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PROJECTS\2-Develop\HP Block 56\2. Finance\2.5 Funding Sources\2.5.4 Equity\TCAC Funding\Application\Final Application\Section 40 - Excel Application\"/>
    </mc:Choice>
  </mc:AlternateContent>
  <xr:revisionPtr revIDLastSave="0" documentId="13_ncr:1_{0608F8CA-C5B0-49ED-A32A-148E064BB808}" xr6:coauthVersionLast="47" xr6:coauthVersionMax="47" xr10:uidLastSave="{00000000-0000-0000-0000-000000000000}"/>
  <bookViews>
    <workbookView xWindow="2736" yWindow="216" windowWidth="18828" windowHeight="11304"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8" r:id="rId7"/>
    <sheet name="Sources and Basis Breakdown" sheetId="13" r:id="rId8"/>
    <sheet name="CalHFA Addendum" sheetId="25" r:id="rId9"/>
    <sheet name="CDLAC Tie Breaker" sheetId="29"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 i="7" l="1"/>
  <c r="O728" i="3"/>
  <c r="O729" i="3"/>
  <c r="O730" i="3"/>
  <c r="O731" i="3"/>
  <c r="O732" i="3"/>
  <c r="O733" i="3"/>
  <c r="O753" i="3"/>
  <c r="AC772" i="3"/>
  <c r="AC773" i="3"/>
  <c r="AC774" i="3"/>
  <c r="AC775" i="3"/>
  <c r="AC776" i="3"/>
  <c r="AC786" i="3"/>
  <c r="AC787" i="3"/>
  <c r="AC788" i="3"/>
  <c r="AC789" i="3"/>
  <c r="AC790" i="3"/>
  <c r="AC791" i="3"/>
  <c r="AC792" i="3"/>
  <c r="AC793" i="3"/>
  <c r="AC794" i="3"/>
  <c r="AC795" i="3"/>
  <c r="AC796" i="3"/>
  <c r="Y799" i="3"/>
  <c r="E4" i="7"/>
  <c r="G4" i="7"/>
  <c r="C5" i="7"/>
  <c r="G5" i="7"/>
  <c r="J4" i="8"/>
  <c r="J5" i="8"/>
  <c r="J6" i="8"/>
  <c r="J7" i="8"/>
  <c r="J8" i="8"/>
  <c r="J9" i="8"/>
  <c r="J10" i="8"/>
  <c r="J11" i="8"/>
  <c r="J12" i="8"/>
  <c r="J13" i="8"/>
  <c r="J14" i="8"/>
  <c r="J15" i="8"/>
  <c r="J16" i="8"/>
  <c r="J17" i="8"/>
  <c r="J18" i="8"/>
  <c r="J19" i="8"/>
  <c r="J20" i="8"/>
  <c r="J21" i="8"/>
  <c r="J22" i="8"/>
  <c r="J23" i="8"/>
  <c r="J24" i="8"/>
  <c r="J25" i="8"/>
  <c r="J26" i="8"/>
  <c r="J27" i="8"/>
  <c r="J28" i="8"/>
  <c r="J30" i="8"/>
  <c r="Z807" i="3"/>
  <c r="E6" i="7"/>
  <c r="G6" i="7"/>
  <c r="C7" i="7"/>
  <c r="G7" i="7"/>
  <c r="Z815" i="3"/>
  <c r="E9" i="7"/>
  <c r="G9" i="7"/>
  <c r="C10" i="7"/>
  <c r="G10" i="7"/>
  <c r="W845" i="3"/>
  <c r="E15" i="7"/>
  <c r="G15" i="7"/>
  <c r="W847" i="3"/>
  <c r="E16" i="7"/>
  <c r="G16" i="7"/>
  <c r="W853" i="3"/>
  <c r="E17" i="7"/>
  <c r="G17" i="7"/>
  <c r="W860" i="3"/>
  <c r="E18" i="7"/>
  <c r="G18" i="7"/>
  <c r="E19" i="7"/>
  <c r="G19" i="7"/>
  <c r="W870" i="3"/>
  <c r="E20" i="7"/>
  <c r="G20" i="7"/>
  <c r="W872" i="3"/>
  <c r="W877" i="3"/>
  <c r="E21" i="7"/>
  <c r="G21" i="7"/>
  <c r="G22" i="7"/>
  <c r="G24" i="7"/>
  <c r="E26" i="7"/>
  <c r="G26" i="7"/>
  <c r="E27" i="7"/>
  <c r="G27" i="7"/>
  <c r="AC887" i="3"/>
  <c r="E28" i="7"/>
  <c r="G28" i="7"/>
  <c r="E29" i="7"/>
  <c r="G29" i="7"/>
  <c r="E30" i="7"/>
  <c r="G30" i="7"/>
  <c r="E31" i="7"/>
  <c r="G31" i="7"/>
  <c r="AC891" i="3"/>
  <c r="E32" i="7"/>
  <c r="G32" i="7"/>
  <c r="E33" i="7"/>
  <c r="G33" i="7"/>
  <c r="G35" i="7"/>
  <c r="G8" i="7"/>
  <c r="I4" i="7"/>
  <c r="I5" i="7"/>
  <c r="I6" i="7"/>
  <c r="I7" i="7"/>
  <c r="I9" i="7"/>
  <c r="I10" i="7"/>
  <c r="I15" i="7"/>
  <c r="I16" i="7"/>
  <c r="I17" i="7"/>
  <c r="I18" i="7"/>
  <c r="I19" i="7"/>
  <c r="I20" i="7"/>
  <c r="I21" i="7"/>
  <c r="I22" i="7"/>
  <c r="I24" i="7"/>
  <c r="I26" i="7"/>
  <c r="I27" i="7"/>
  <c r="I28" i="7"/>
  <c r="I29" i="7"/>
  <c r="I30" i="7"/>
  <c r="I31" i="7"/>
  <c r="I32" i="7"/>
  <c r="I33" i="7"/>
  <c r="I35" i="7"/>
  <c r="I8" i="7"/>
  <c r="K4" i="7"/>
  <c r="K5" i="7"/>
  <c r="K6" i="7"/>
  <c r="K7" i="7"/>
  <c r="K9" i="7"/>
  <c r="K10" i="7"/>
  <c r="K15" i="7"/>
  <c r="K16" i="7"/>
  <c r="K17" i="7"/>
  <c r="K18" i="7"/>
  <c r="K19" i="7"/>
  <c r="K20" i="7"/>
  <c r="K21" i="7"/>
  <c r="K22" i="7"/>
  <c r="K24" i="7"/>
  <c r="K26" i="7"/>
  <c r="K27" i="7"/>
  <c r="K28" i="7"/>
  <c r="K29" i="7"/>
  <c r="K30" i="7"/>
  <c r="K31" i="7"/>
  <c r="K32" i="7"/>
  <c r="K33" i="7"/>
  <c r="K35" i="7"/>
  <c r="K8" i="7"/>
  <c r="M4" i="7"/>
  <c r="M5" i="7"/>
  <c r="M6" i="7"/>
  <c r="M7" i="7"/>
  <c r="M9" i="7"/>
  <c r="M10" i="7"/>
  <c r="M15" i="7"/>
  <c r="M16" i="7"/>
  <c r="M17" i="7"/>
  <c r="M18" i="7"/>
  <c r="M19" i="7"/>
  <c r="M20" i="7"/>
  <c r="M21" i="7"/>
  <c r="M22" i="7"/>
  <c r="M24" i="7"/>
  <c r="M26" i="7"/>
  <c r="M27" i="7"/>
  <c r="M28" i="7"/>
  <c r="M29" i="7"/>
  <c r="M30" i="7"/>
  <c r="M31" i="7"/>
  <c r="M32" i="7"/>
  <c r="M33" i="7"/>
  <c r="M35" i="7"/>
  <c r="M8" i="7"/>
  <c r="O4" i="7"/>
  <c r="O5" i="7"/>
  <c r="O6" i="7"/>
  <c r="O7" i="7"/>
  <c r="O9" i="7"/>
  <c r="O10" i="7"/>
  <c r="O15" i="7"/>
  <c r="O16" i="7"/>
  <c r="O17" i="7"/>
  <c r="O18" i="7"/>
  <c r="O19" i="7"/>
  <c r="O20" i="7"/>
  <c r="O21" i="7"/>
  <c r="O22" i="7"/>
  <c r="O24" i="7"/>
  <c r="O26" i="7"/>
  <c r="O27" i="7"/>
  <c r="O28" i="7"/>
  <c r="O29" i="7"/>
  <c r="O30" i="7"/>
  <c r="O31" i="7"/>
  <c r="O32" i="7"/>
  <c r="O33" i="7"/>
  <c r="O35" i="7"/>
  <c r="O8" i="7"/>
  <c r="Q4" i="7"/>
  <c r="Q5" i="7"/>
  <c r="Q6" i="7"/>
  <c r="Q7" i="7"/>
  <c r="Q9" i="7"/>
  <c r="Q10" i="7"/>
  <c r="Q15" i="7"/>
  <c r="Q16" i="7"/>
  <c r="Q17" i="7"/>
  <c r="Q18" i="7"/>
  <c r="Q19" i="7"/>
  <c r="Q20" i="7"/>
  <c r="Q21" i="7"/>
  <c r="Q22" i="7"/>
  <c r="Q24" i="7"/>
  <c r="Q26" i="7"/>
  <c r="Q27" i="7"/>
  <c r="Q28" i="7"/>
  <c r="Q29" i="7"/>
  <c r="Q30" i="7"/>
  <c r="Q31" i="7"/>
  <c r="Q32" i="7"/>
  <c r="Q33" i="7"/>
  <c r="Q35" i="7"/>
  <c r="Q8" i="7"/>
  <c r="S4" i="7"/>
  <c r="S5" i="7"/>
  <c r="S6" i="7"/>
  <c r="S7" i="7"/>
  <c r="S9" i="7"/>
  <c r="S10" i="7"/>
  <c r="S15" i="7"/>
  <c r="S16" i="7"/>
  <c r="S17" i="7"/>
  <c r="S18" i="7"/>
  <c r="S19" i="7"/>
  <c r="S20" i="7"/>
  <c r="S21" i="7"/>
  <c r="S22" i="7"/>
  <c r="S24" i="7"/>
  <c r="S26" i="7"/>
  <c r="S27" i="7"/>
  <c r="S28" i="7"/>
  <c r="S29" i="7"/>
  <c r="S30" i="7"/>
  <c r="S31" i="7"/>
  <c r="S32" i="7"/>
  <c r="S33" i="7"/>
  <c r="S35" i="7"/>
  <c r="S8" i="7"/>
  <c r="U4" i="7"/>
  <c r="U5" i="7"/>
  <c r="U6" i="7"/>
  <c r="U7" i="7"/>
  <c r="U9" i="7"/>
  <c r="U10" i="7"/>
  <c r="U15" i="7"/>
  <c r="U16" i="7"/>
  <c r="U17" i="7"/>
  <c r="U18" i="7"/>
  <c r="U19" i="7"/>
  <c r="U20" i="7"/>
  <c r="U21" i="7"/>
  <c r="U22" i="7"/>
  <c r="U24" i="7"/>
  <c r="U26" i="7"/>
  <c r="U27" i="7"/>
  <c r="U28" i="7"/>
  <c r="U29" i="7"/>
  <c r="U30" i="7"/>
  <c r="U31" i="7"/>
  <c r="U32" i="7"/>
  <c r="U33" i="7"/>
  <c r="U35" i="7"/>
  <c r="U8" i="7"/>
  <c r="W4" i="7"/>
  <c r="W5" i="7"/>
  <c r="W6" i="7"/>
  <c r="W7" i="7"/>
  <c r="W9" i="7"/>
  <c r="W10" i="7"/>
  <c r="W15" i="7"/>
  <c r="W16" i="7"/>
  <c r="W17" i="7"/>
  <c r="W18" i="7"/>
  <c r="W19" i="7"/>
  <c r="W20" i="7"/>
  <c r="W21" i="7"/>
  <c r="W22" i="7"/>
  <c r="W24" i="7"/>
  <c r="W26" i="7"/>
  <c r="W27" i="7"/>
  <c r="W28" i="7"/>
  <c r="W29" i="7"/>
  <c r="W30" i="7"/>
  <c r="W31" i="7"/>
  <c r="W32" i="7"/>
  <c r="W33" i="7"/>
  <c r="W35" i="7"/>
  <c r="W8" i="7"/>
  <c r="Y4" i="7"/>
  <c r="Y5" i="7"/>
  <c r="Y6" i="7"/>
  <c r="Y7" i="7"/>
  <c r="Y9" i="7"/>
  <c r="Y10" i="7"/>
  <c r="Y15" i="7"/>
  <c r="Y16" i="7"/>
  <c r="Y17" i="7"/>
  <c r="Y18" i="7"/>
  <c r="Y19" i="7"/>
  <c r="Y20" i="7"/>
  <c r="Y21" i="7"/>
  <c r="Y22" i="7"/>
  <c r="Y24" i="7"/>
  <c r="Y26" i="7"/>
  <c r="Y27" i="7"/>
  <c r="Y28" i="7"/>
  <c r="Y29" i="7"/>
  <c r="Y30" i="7"/>
  <c r="Y31" i="7"/>
  <c r="Y32" i="7"/>
  <c r="Y33" i="7"/>
  <c r="Y35" i="7"/>
  <c r="Y8" i="7"/>
  <c r="AA4" i="7"/>
  <c r="AA5" i="7"/>
  <c r="AA6" i="7"/>
  <c r="AA7" i="7"/>
  <c r="AA9" i="7"/>
  <c r="AA10" i="7"/>
  <c r="AA15" i="7"/>
  <c r="AA16" i="7"/>
  <c r="AA17" i="7"/>
  <c r="AA18" i="7"/>
  <c r="AA19" i="7"/>
  <c r="AA20" i="7"/>
  <c r="AA21" i="7"/>
  <c r="AA22" i="7"/>
  <c r="AA24" i="7"/>
  <c r="AA26" i="7"/>
  <c r="AA27" i="7"/>
  <c r="AA28" i="7"/>
  <c r="AA29" i="7"/>
  <c r="AA30" i="7"/>
  <c r="AA31" i="7"/>
  <c r="AA32" i="7"/>
  <c r="AA33" i="7"/>
  <c r="AA35" i="7"/>
  <c r="AA8" i="7"/>
  <c r="AC4" i="7"/>
  <c r="AC5" i="7"/>
  <c r="AC6" i="7"/>
  <c r="AC7" i="7"/>
  <c r="AC9" i="7"/>
  <c r="AC10" i="7"/>
  <c r="AC15" i="7"/>
  <c r="AC16" i="7"/>
  <c r="AC17" i="7"/>
  <c r="AC18" i="7"/>
  <c r="AC19" i="7"/>
  <c r="AC20" i="7"/>
  <c r="AC21" i="7"/>
  <c r="AC22" i="7"/>
  <c r="AC24" i="7"/>
  <c r="AC26" i="7"/>
  <c r="AC27" i="7"/>
  <c r="AC28" i="7"/>
  <c r="AC29" i="7"/>
  <c r="AC30" i="7"/>
  <c r="AC31" i="7"/>
  <c r="AC32" i="7"/>
  <c r="AC33" i="7"/>
  <c r="AC35" i="7"/>
  <c r="AC8" i="7"/>
  <c r="AE4" i="7"/>
  <c r="AE5" i="7"/>
  <c r="AE6" i="7"/>
  <c r="AE7" i="7"/>
  <c r="AE9" i="7"/>
  <c r="AE10" i="7"/>
  <c r="AE15" i="7"/>
  <c r="AE16" i="7"/>
  <c r="AE17" i="7"/>
  <c r="AE18" i="7"/>
  <c r="AE19" i="7"/>
  <c r="AE20" i="7"/>
  <c r="AE21" i="7"/>
  <c r="AE22" i="7"/>
  <c r="AE24" i="7"/>
  <c r="AE26" i="7"/>
  <c r="AE27" i="7"/>
  <c r="AE28" i="7"/>
  <c r="AE29" i="7"/>
  <c r="AE30" i="7"/>
  <c r="AE31" i="7"/>
  <c r="AE32" i="7"/>
  <c r="AE33" i="7"/>
  <c r="AE35" i="7"/>
  <c r="AE8" i="7"/>
  <c r="AG4" i="7"/>
  <c r="AG5" i="7"/>
  <c r="AG6" i="7"/>
  <c r="AG7" i="7"/>
  <c r="AG9" i="7"/>
  <c r="AG10" i="7"/>
  <c r="AG15" i="7"/>
  <c r="AG16" i="7"/>
  <c r="AG17" i="7"/>
  <c r="AG18" i="7"/>
  <c r="AG19" i="7"/>
  <c r="AG20" i="7"/>
  <c r="AG21" i="7"/>
  <c r="AG22" i="7"/>
  <c r="AG24" i="7"/>
  <c r="AG26" i="7"/>
  <c r="AG27" i="7"/>
  <c r="AG28" i="7"/>
  <c r="AG29" i="7"/>
  <c r="AG30" i="7"/>
  <c r="AG31" i="7"/>
  <c r="AG32" i="7"/>
  <c r="AG33" i="7"/>
  <c r="AG35" i="7"/>
  <c r="AG8" i="7"/>
  <c r="E5" i="7"/>
  <c r="E7" i="7"/>
  <c r="E10" i="7"/>
  <c r="E22" i="7"/>
  <c r="E35" i="7"/>
  <c r="E8" i="7"/>
  <c r="AD188" i="28"/>
  <c r="M44" i="29"/>
  <c r="T44" i="29"/>
  <c r="M43" i="29"/>
  <c r="T43" i="29"/>
  <c r="M42" i="29"/>
  <c r="T42" i="29"/>
  <c r="M41" i="29"/>
  <c r="T41" i="29"/>
  <c r="M40" i="29"/>
  <c r="T40" i="29"/>
  <c r="M39" i="29"/>
  <c r="T39" i="29"/>
  <c r="M38" i="29"/>
  <c r="T38" i="29"/>
  <c r="M37" i="29"/>
  <c r="T37" i="29"/>
  <c r="M36" i="29"/>
  <c r="T36" i="29"/>
  <c r="M35" i="29"/>
  <c r="T35" i="29"/>
  <c r="M34" i="29"/>
  <c r="T34" i="29"/>
  <c r="M33" i="29"/>
  <c r="T33" i="29"/>
  <c r="M32" i="29"/>
  <c r="T32" i="29"/>
  <c r="M31" i="29"/>
  <c r="T31" i="29"/>
  <c r="M30" i="29"/>
  <c r="T30" i="29"/>
  <c r="M29" i="29"/>
  <c r="T29" i="29"/>
  <c r="M28" i="29"/>
  <c r="T28" i="29"/>
  <c r="M27" i="29"/>
  <c r="T27" i="29"/>
  <c r="M26" i="29"/>
  <c r="T26" i="29"/>
  <c r="M25" i="29"/>
  <c r="T25" i="29"/>
  <c r="M24" i="29"/>
  <c r="T24" i="29"/>
  <c r="M23" i="29"/>
  <c r="T23" i="29"/>
  <c r="M22" i="29"/>
  <c r="T22" i="29"/>
  <c r="M21" i="29"/>
  <c r="T21" i="29"/>
  <c r="M20" i="29"/>
  <c r="T20" i="29"/>
  <c r="C10" i="4"/>
  <c r="B10" i="4"/>
  <c r="E10" i="4"/>
  <c r="R10" i="4"/>
  <c r="S10" i="4"/>
  <c r="C29" i="4"/>
  <c r="B29" i="4"/>
  <c r="E29" i="4"/>
  <c r="R29" i="4"/>
  <c r="S29" i="4"/>
  <c r="C30" i="4"/>
  <c r="B30" i="4"/>
  <c r="F30" i="4"/>
  <c r="G30" i="4"/>
  <c r="I30" i="4"/>
  <c r="E30" i="4"/>
  <c r="R30" i="4"/>
  <c r="S30" i="4"/>
  <c r="C31" i="4"/>
  <c r="B31" i="4"/>
  <c r="E31" i="4"/>
  <c r="R31" i="4"/>
  <c r="S31" i="4"/>
  <c r="C32" i="4"/>
  <c r="B32" i="4"/>
  <c r="E32" i="4"/>
  <c r="R32" i="4"/>
  <c r="S32" i="4"/>
  <c r="C33" i="4"/>
  <c r="B33" i="4"/>
  <c r="E33" i="4"/>
  <c r="R33" i="4"/>
  <c r="S33" i="4"/>
  <c r="C35" i="4"/>
  <c r="B35" i="4"/>
  <c r="E35" i="4"/>
  <c r="R35" i="4"/>
  <c r="S35" i="4"/>
  <c r="C36" i="4"/>
  <c r="B36" i="4"/>
  <c r="E36" i="4"/>
  <c r="R36" i="4"/>
  <c r="S36" i="4"/>
  <c r="B34" i="4"/>
  <c r="E34" i="4"/>
  <c r="R34" i="4"/>
  <c r="S34" i="4"/>
  <c r="S38" i="4"/>
  <c r="C40" i="4"/>
  <c r="B40" i="4"/>
  <c r="E40" i="4"/>
  <c r="R40" i="4"/>
  <c r="S40" i="4"/>
  <c r="S42" i="4"/>
  <c r="C43" i="4"/>
  <c r="B43" i="4"/>
  <c r="E43" i="4"/>
  <c r="R43" i="4"/>
  <c r="S43" i="4"/>
  <c r="C50" i="4"/>
  <c r="B50" i="4"/>
  <c r="E50" i="4"/>
  <c r="R50" i="4"/>
  <c r="S50" i="4"/>
  <c r="C52" i="4"/>
  <c r="B52" i="4"/>
  <c r="E52" i="4"/>
  <c r="R52" i="4"/>
  <c r="S52" i="4"/>
  <c r="C65" i="4"/>
  <c r="B65" i="4"/>
  <c r="E65" i="4"/>
  <c r="R65" i="4"/>
  <c r="S65" i="4"/>
  <c r="C69" i="4"/>
  <c r="B69" i="4"/>
  <c r="E69" i="4"/>
  <c r="R69" i="4"/>
  <c r="S69" i="4"/>
  <c r="S70" i="4"/>
  <c r="C79" i="4"/>
  <c r="B79" i="4"/>
  <c r="E79" i="4"/>
  <c r="R79" i="4"/>
  <c r="S79" i="4"/>
  <c r="C84" i="4"/>
  <c r="B84" i="4"/>
  <c r="E84" i="4"/>
  <c r="R84" i="4"/>
  <c r="S84" i="4"/>
  <c r="C85" i="4"/>
  <c r="B85" i="4"/>
  <c r="E85" i="4"/>
  <c r="R85" i="4"/>
  <c r="S85" i="4"/>
  <c r="C86" i="4"/>
  <c r="B86" i="4"/>
  <c r="E86" i="4"/>
  <c r="R86" i="4"/>
  <c r="S86" i="4"/>
  <c r="C87" i="4"/>
  <c r="B87" i="4"/>
  <c r="E87" i="4"/>
  <c r="R87" i="4"/>
  <c r="S87" i="4"/>
  <c r="C89" i="4"/>
  <c r="B89" i="4"/>
  <c r="E89" i="4"/>
  <c r="R89" i="4"/>
  <c r="S89" i="4"/>
  <c r="C92" i="4"/>
  <c r="B92" i="4"/>
  <c r="E92" i="4"/>
  <c r="R92" i="4"/>
  <c r="S92" i="4"/>
  <c r="S96" i="4"/>
  <c r="C4" i="4"/>
  <c r="C6" i="4"/>
  <c r="C8" i="4"/>
  <c r="C11" i="4"/>
  <c r="C37" i="4"/>
  <c r="C38" i="4"/>
  <c r="C42" i="4"/>
  <c r="C51" i="4"/>
  <c r="C58" i="4"/>
  <c r="C61" i="4"/>
  <c r="C62" i="4"/>
  <c r="C70" i="4"/>
  <c r="C76" i="4"/>
  <c r="C88" i="4"/>
  <c r="C90" i="4"/>
  <c r="L69" i="29"/>
  <c r="L68" i="29"/>
  <c r="L67" i="29"/>
  <c r="L66" i="29"/>
  <c r="L65" i="29"/>
  <c r="L64" i="29"/>
  <c r="L63" i="29"/>
  <c r="L62" i="29"/>
  <c r="G62" i="29"/>
  <c r="B15" i="4"/>
  <c r="AD199" i="28"/>
  <c r="G113" i="29"/>
  <c r="CB799" i="3"/>
  <c r="R971" i="3"/>
  <c r="G112" i="29"/>
  <c r="G110" i="29"/>
  <c r="G90" i="29"/>
  <c r="G88"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N44" i="29"/>
  <c r="L44" i="29"/>
  <c r="N43" i="29"/>
  <c r="L43" i="29"/>
  <c r="N42" i="29"/>
  <c r="L42" i="29"/>
  <c r="N41" i="29"/>
  <c r="L41" i="29"/>
  <c r="N40" i="29"/>
  <c r="L40" i="29"/>
  <c r="N39" i="29"/>
  <c r="L39" i="29"/>
  <c r="N38" i="29"/>
  <c r="L38" i="29"/>
  <c r="N37" i="29"/>
  <c r="L37" i="29"/>
  <c r="N36" i="29"/>
  <c r="L36" i="29"/>
  <c r="N35" i="29"/>
  <c r="L35" i="29"/>
  <c r="N34" i="29"/>
  <c r="L34" i="29"/>
  <c r="N33" i="29"/>
  <c r="L33" i="29"/>
  <c r="N32" i="29"/>
  <c r="L32" i="29"/>
  <c r="N31" i="29"/>
  <c r="L31" i="29"/>
  <c r="N30" i="29"/>
  <c r="L30" i="29"/>
  <c r="N29" i="29"/>
  <c r="L29" i="29"/>
  <c r="N28" i="29"/>
  <c r="L28" i="29"/>
  <c r="N27" i="29"/>
  <c r="L27" i="29"/>
  <c r="N26" i="29"/>
  <c r="L26" i="29"/>
  <c r="N25" i="29"/>
  <c r="L25" i="29"/>
  <c r="N24" i="29"/>
  <c r="L24" i="29"/>
  <c r="N23" i="29"/>
  <c r="L23" i="29"/>
  <c r="N22" i="29"/>
  <c r="L22" i="29"/>
  <c r="N21" i="29"/>
  <c r="L21" i="29"/>
  <c r="N20" i="29"/>
  <c r="L20" i="29"/>
  <c r="P18" i="29"/>
  <c r="AJ1011" i="3"/>
  <c r="AJ1015" i="3"/>
  <c r="I14" i="29"/>
  <c r="BN616" i="3"/>
  <c r="BN611" i="3"/>
  <c r="BN617" i="3"/>
  <c r="BN612" i="3"/>
  <c r="BN618" i="3"/>
  <c r="BN613" i="3"/>
  <c r="BN610" i="3"/>
  <c r="BN614" i="3"/>
  <c r="BN615" i="3"/>
  <c r="BN619" i="3"/>
  <c r="BN620" i="3"/>
  <c r="BN621" i="3"/>
  <c r="BN622" i="3"/>
  <c r="BN623" i="3"/>
  <c r="BN624" i="3"/>
  <c r="BN625" i="3"/>
  <c r="BN626" i="3"/>
  <c r="BN627" i="3"/>
  <c r="BN628" i="3"/>
  <c r="BN629" i="3"/>
  <c r="BN630" i="3"/>
  <c r="BN631" i="3"/>
  <c r="BN632" i="3"/>
  <c r="BN633" i="3"/>
  <c r="BN634" i="3"/>
  <c r="BN635" i="3"/>
  <c r="BN640" i="3"/>
  <c r="BN641" i="3"/>
  <c r="BN642" i="3"/>
  <c r="BN643" i="3"/>
  <c r="BN644" i="3"/>
  <c r="BN648" i="3"/>
  <c r="BN649" i="3"/>
  <c r="BN650" i="3"/>
  <c r="BN651" i="3"/>
  <c r="BN652" i="3"/>
  <c r="BN653" i="3"/>
  <c r="BN654" i="3"/>
  <c r="BN655" i="3"/>
  <c r="BN656" i="3"/>
  <c r="BN657" i="3"/>
  <c r="BN658" i="3"/>
  <c r="BN663" i="3"/>
  <c r="AB969" i="3"/>
  <c r="R969" i="3"/>
  <c r="AJ969" i="3"/>
  <c r="BS616" i="3"/>
  <c r="BS611" i="3"/>
  <c r="BS617" i="3"/>
  <c r="BS612" i="3"/>
  <c r="BS618" i="3"/>
  <c r="BS613" i="3"/>
  <c r="BS610" i="3"/>
  <c r="BS614" i="3"/>
  <c r="BS615" i="3"/>
  <c r="BS619" i="3"/>
  <c r="BS620" i="3"/>
  <c r="BS621" i="3"/>
  <c r="BS622" i="3"/>
  <c r="BS623" i="3"/>
  <c r="BS624" i="3"/>
  <c r="BS625" i="3"/>
  <c r="BS626" i="3"/>
  <c r="BS627" i="3"/>
  <c r="BS628" i="3"/>
  <c r="BS629" i="3"/>
  <c r="BS630" i="3"/>
  <c r="BS631" i="3"/>
  <c r="BS632" i="3"/>
  <c r="BS633" i="3"/>
  <c r="BS634" i="3"/>
  <c r="BS635" i="3"/>
  <c r="BS640" i="3"/>
  <c r="BS641" i="3"/>
  <c r="BS642" i="3"/>
  <c r="BS643" i="3"/>
  <c r="BS644" i="3"/>
  <c r="BS648" i="3"/>
  <c r="BS649" i="3"/>
  <c r="BS650" i="3"/>
  <c r="BS651" i="3"/>
  <c r="BS652" i="3"/>
  <c r="BS653" i="3"/>
  <c r="BS654" i="3"/>
  <c r="BS655" i="3"/>
  <c r="BS656" i="3"/>
  <c r="BS657" i="3"/>
  <c r="BS658" i="3"/>
  <c r="BS663" i="3"/>
  <c r="AB970" i="3"/>
  <c r="R970" i="3"/>
  <c r="AJ970" i="3"/>
  <c r="BX616" i="3"/>
  <c r="BX611" i="3"/>
  <c r="BX617" i="3"/>
  <c r="BX612" i="3"/>
  <c r="BX618" i="3"/>
  <c r="BX613" i="3"/>
  <c r="BX610" i="3"/>
  <c r="BX614" i="3"/>
  <c r="BX615" i="3"/>
  <c r="BX619" i="3"/>
  <c r="BX620" i="3"/>
  <c r="BX621" i="3"/>
  <c r="BX622" i="3"/>
  <c r="BX623" i="3"/>
  <c r="BX624" i="3"/>
  <c r="BX625" i="3"/>
  <c r="BX626" i="3"/>
  <c r="BX627" i="3"/>
  <c r="BX628" i="3"/>
  <c r="BX629" i="3"/>
  <c r="BX630" i="3"/>
  <c r="BX631" i="3"/>
  <c r="BX632" i="3"/>
  <c r="BX633" i="3"/>
  <c r="BX634" i="3"/>
  <c r="BX635" i="3"/>
  <c r="BX640" i="3"/>
  <c r="BX641" i="3"/>
  <c r="BX642" i="3"/>
  <c r="BX643" i="3"/>
  <c r="BX644" i="3"/>
  <c r="BX648" i="3"/>
  <c r="BX649" i="3"/>
  <c r="BX650" i="3"/>
  <c r="BX651" i="3"/>
  <c r="BX652" i="3"/>
  <c r="BX653" i="3"/>
  <c r="BX654" i="3"/>
  <c r="BX655" i="3"/>
  <c r="BX656" i="3"/>
  <c r="BX657" i="3"/>
  <c r="BX658" i="3"/>
  <c r="BX663" i="3"/>
  <c r="AB971" i="3"/>
  <c r="AJ971" i="3"/>
  <c r="CC616" i="3"/>
  <c r="CC611" i="3"/>
  <c r="CC617" i="3"/>
  <c r="CC612" i="3"/>
  <c r="CC618" i="3"/>
  <c r="CC613" i="3"/>
  <c r="CC610" i="3"/>
  <c r="CC614" i="3"/>
  <c r="CC615" i="3"/>
  <c r="CC619" i="3"/>
  <c r="CC620" i="3"/>
  <c r="CC621" i="3"/>
  <c r="CC622" i="3"/>
  <c r="CC623" i="3"/>
  <c r="CC624" i="3"/>
  <c r="CC625" i="3"/>
  <c r="CC626" i="3"/>
  <c r="CC627" i="3"/>
  <c r="CC628" i="3"/>
  <c r="CC629" i="3"/>
  <c r="CC630" i="3"/>
  <c r="CC631" i="3"/>
  <c r="CC632" i="3"/>
  <c r="CC633" i="3"/>
  <c r="CC634" i="3"/>
  <c r="CC635" i="3"/>
  <c r="CC640" i="3"/>
  <c r="CC641" i="3"/>
  <c r="CC642" i="3"/>
  <c r="CC643" i="3"/>
  <c r="CC644" i="3"/>
  <c r="CC648" i="3"/>
  <c r="CC649" i="3"/>
  <c r="CC650" i="3"/>
  <c r="CC651" i="3"/>
  <c r="CC652" i="3"/>
  <c r="CC653" i="3"/>
  <c r="CC654" i="3"/>
  <c r="CC655" i="3"/>
  <c r="CC656" i="3"/>
  <c r="CC657" i="3"/>
  <c r="CC658" i="3"/>
  <c r="CC663" i="3"/>
  <c r="AB972" i="3"/>
  <c r="R972" i="3"/>
  <c r="AJ972" i="3"/>
  <c r="CM616" i="3"/>
  <c r="CM611" i="3"/>
  <c r="CM617" i="3"/>
  <c r="CM612" i="3"/>
  <c r="CM618" i="3"/>
  <c r="CM613" i="3"/>
  <c r="CM610" i="3"/>
  <c r="CM614" i="3"/>
  <c r="CM615" i="3"/>
  <c r="CM619" i="3"/>
  <c r="CM620" i="3"/>
  <c r="CM621" i="3"/>
  <c r="CM622" i="3"/>
  <c r="CM623" i="3"/>
  <c r="CM624" i="3"/>
  <c r="CM625" i="3"/>
  <c r="CM626" i="3"/>
  <c r="CM627" i="3"/>
  <c r="CM628" i="3"/>
  <c r="CM629" i="3"/>
  <c r="CM630" i="3"/>
  <c r="CM631" i="3"/>
  <c r="CM632" i="3"/>
  <c r="CM633" i="3"/>
  <c r="CM634" i="3"/>
  <c r="CM635" i="3"/>
  <c r="CM648" i="3"/>
  <c r="CM649" i="3"/>
  <c r="CM650" i="3"/>
  <c r="CM651" i="3"/>
  <c r="CM652" i="3"/>
  <c r="CM653" i="3"/>
  <c r="CM654" i="3"/>
  <c r="CM655" i="3"/>
  <c r="CM656" i="3"/>
  <c r="CM657" i="3"/>
  <c r="CM658" i="3"/>
  <c r="CM640" i="3"/>
  <c r="CM641" i="3"/>
  <c r="CM642" i="3"/>
  <c r="CM643" i="3"/>
  <c r="CM644" i="3"/>
  <c r="CM663" i="3"/>
  <c r="CH616" i="3"/>
  <c r="CH611" i="3"/>
  <c r="CH617" i="3"/>
  <c r="CH612" i="3"/>
  <c r="CH618" i="3"/>
  <c r="CH613" i="3"/>
  <c r="CH610" i="3"/>
  <c r="CH614" i="3"/>
  <c r="CH615" i="3"/>
  <c r="CH619" i="3"/>
  <c r="CH620" i="3"/>
  <c r="CH621" i="3"/>
  <c r="CH622" i="3"/>
  <c r="CH623" i="3"/>
  <c r="CH624" i="3"/>
  <c r="CH625" i="3"/>
  <c r="CH626" i="3"/>
  <c r="CH627" i="3"/>
  <c r="CH628" i="3"/>
  <c r="CH629" i="3"/>
  <c r="CH630" i="3"/>
  <c r="CH631" i="3"/>
  <c r="CH632" i="3"/>
  <c r="CH633" i="3"/>
  <c r="CH634" i="3"/>
  <c r="CH635" i="3"/>
  <c r="CH640" i="3"/>
  <c r="CH641" i="3"/>
  <c r="CH642" i="3"/>
  <c r="CH643" i="3"/>
  <c r="CH644" i="3"/>
  <c r="CH648" i="3"/>
  <c r="CH649" i="3"/>
  <c r="CH650" i="3"/>
  <c r="CH651" i="3"/>
  <c r="CH652" i="3"/>
  <c r="CH653" i="3"/>
  <c r="CH654" i="3"/>
  <c r="CH655" i="3"/>
  <c r="CH656" i="3"/>
  <c r="CH657" i="3"/>
  <c r="CH658" i="3"/>
  <c r="CH663" i="3"/>
  <c r="AB973" i="3"/>
  <c r="R973" i="3"/>
  <c r="AJ973" i="3"/>
  <c r="AJ975" i="3"/>
  <c r="AJ977" i="3"/>
  <c r="I13" i="29"/>
  <c r="AV111" i="28" a="1"/>
  <c r="AV111" i="28"/>
  <c r="AV110" i="28" a="1"/>
  <c r="AV110" i="28"/>
  <c r="AV114" i="28" a="1"/>
  <c r="AV114" i="28"/>
  <c r="AV115" i="28" a="1"/>
  <c r="AV115" i="28"/>
  <c r="AV113" i="28" a="1"/>
  <c r="AV113" i="28"/>
  <c r="AV112" i="28" a="1"/>
  <c r="AV112" i="28"/>
  <c r="AJ980" i="3"/>
  <c r="AJ986" i="3"/>
  <c r="AJ990" i="3"/>
  <c r="AJ992" i="3"/>
  <c r="AJ995" i="3"/>
  <c r="AJ1008" i="3"/>
  <c r="AJ1020" i="3"/>
  <c r="BE611" i="3"/>
  <c r="BG611" i="3"/>
  <c r="BE616" i="3"/>
  <c r="BG616" i="3"/>
  <c r="BE617" i="3"/>
  <c r="BG617" i="3"/>
  <c r="BE612" i="3"/>
  <c r="BG612" i="3"/>
  <c r="BE618" i="3"/>
  <c r="BG618" i="3"/>
  <c r="BE613" i="3"/>
  <c r="BG613" i="3"/>
  <c r="BE610" i="3"/>
  <c r="BG610" i="3"/>
  <c r="BE614" i="3"/>
  <c r="BG614" i="3"/>
  <c r="BE615" i="3"/>
  <c r="BG615"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G635" i="3"/>
  <c r="X1027" i="3"/>
  <c r="G753" i="3"/>
  <c r="O796" i="3"/>
  <c r="BA987" i="3"/>
  <c r="I1027" i="3"/>
  <c r="BA989" i="3"/>
  <c r="AJ1024" i="3"/>
  <c r="BI611" i="3"/>
  <c r="BK611" i="3"/>
  <c r="BI616" i="3"/>
  <c r="BK616" i="3"/>
  <c r="BI617" i="3"/>
  <c r="BK617" i="3"/>
  <c r="BI612" i="3"/>
  <c r="BK612" i="3"/>
  <c r="BI618" i="3"/>
  <c r="BK618" i="3"/>
  <c r="BI613" i="3"/>
  <c r="BK613" i="3"/>
  <c r="BI610" i="3"/>
  <c r="BK610" i="3"/>
  <c r="BI614" i="3"/>
  <c r="BK614" i="3"/>
  <c r="BI615" i="3"/>
  <c r="BK615"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K635" i="3"/>
  <c r="X1031" i="3"/>
  <c r="I1031" i="3"/>
  <c r="BA990" i="3"/>
  <c r="AJ1028" i="3"/>
  <c r="AJ1032" i="3"/>
  <c r="AP546" i="28"/>
  <c r="AP542" i="28"/>
  <c r="AP541" i="28"/>
  <c r="AP539" i="28"/>
  <c r="AP346" i="28"/>
  <c r="AP347" i="28"/>
  <c r="AP348" i="28"/>
  <c r="AP349" i="28"/>
  <c r="AP350" i="28"/>
  <c r="AP351" i="28"/>
  <c r="AP352" i="28"/>
  <c r="AP353" i="28"/>
  <c r="AP354" i="28"/>
  <c r="AP355" i="28"/>
  <c r="AQ355" i="28"/>
  <c r="AP357" i="28"/>
  <c r="AP358" i="28"/>
  <c r="AP359" i="28"/>
  <c r="AP360" i="28"/>
  <c r="AP361" i="28"/>
  <c r="AP362" i="28"/>
  <c r="AP364" i="28"/>
  <c r="AQ364" i="28"/>
  <c r="AS347" i="28"/>
  <c r="AK458" i="28"/>
  <c r="U363" i="28"/>
  <c r="BR637" i="3"/>
  <c r="BW637" i="3"/>
  <c r="CB637" i="3"/>
  <c r="CG637" i="3"/>
  <c r="CL637" i="3"/>
  <c r="CQ637" i="3"/>
  <c r="CS637" i="3"/>
  <c r="BR659" i="3"/>
  <c r="BW659" i="3"/>
  <c r="CB659" i="3"/>
  <c r="CG659" i="3"/>
  <c r="CL659" i="3"/>
  <c r="CQ659" i="3"/>
  <c r="CS661" i="3"/>
  <c r="CS663" i="3"/>
  <c r="U362" i="28"/>
  <c r="EW610" i="3"/>
  <c r="EW638" i="3"/>
  <c r="EW611" i="3"/>
  <c r="EW639" i="3"/>
  <c r="EW612" i="3"/>
  <c r="EW640" i="3"/>
  <c r="EW613" i="3"/>
  <c r="EW641" i="3"/>
  <c r="EW614" i="3"/>
  <c r="EW642" i="3"/>
  <c r="EW615" i="3"/>
  <c r="EW643" i="3"/>
  <c r="EW616" i="3"/>
  <c r="EW644" i="3"/>
  <c r="EW617" i="3"/>
  <c r="EW645" i="3"/>
  <c r="EW618" i="3"/>
  <c r="EW646" i="3"/>
  <c r="EW619" i="3"/>
  <c r="EW647" i="3"/>
  <c r="EW620" i="3"/>
  <c r="EW648" i="3"/>
  <c r="EW621" i="3"/>
  <c r="EW649" i="3"/>
  <c r="EW622" i="3"/>
  <c r="EW650" i="3"/>
  <c r="EW623" i="3"/>
  <c r="EW651" i="3"/>
  <c r="EW624" i="3"/>
  <c r="EW652" i="3"/>
  <c r="EW625" i="3"/>
  <c r="EW653" i="3"/>
  <c r="EW626" i="3"/>
  <c r="EW654" i="3"/>
  <c r="EW627" i="3"/>
  <c r="EW655" i="3"/>
  <c r="EW628" i="3"/>
  <c r="EW656" i="3"/>
  <c r="EW629" i="3"/>
  <c r="EW657" i="3"/>
  <c r="EW630" i="3"/>
  <c r="EW658" i="3"/>
  <c r="EW631" i="3"/>
  <c r="EW659" i="3"/>
  <c r="EW632" i="3"/>
  <c r="EW660" i="3"/>
  <c r="EW633" i="3"/>
  <c r="EW661" i="3"/>
  <c r="EW634" i="3"/>
  <c r="EW662" i="3"/>
  <c r="EW663" i="3"/>
  <c r="AD124" i="28"/>
  <c r="ER610" i="3"/>
  <c r="ER638" i="3"/>
  <c r="ER611" i="3"/>
  <c r="ER639" i="3"/>
  <c r="ER612" i="3"/>
  <c r="ER640" i="3"/>
  <c r="ER613" i="3"/>
  <c r="ER641" i="3"/>
  <c r="ER614" i="3"/>
  <c r="ER642" i="3"/>
  <c r="ER615" i="3"/>
  <c r="ER643" i="3"/>
  <c r="ER616" i="3"/>
  <c r="ER644" i="3"/>
  <c r="ER617" i="3"/>
  <c r="ER645" i="3"/>
  <c r="ER618" i="3"/>
  <c r="ER646" i="3"/>
  <c r="ER619" i="3"/>
  <c r="ER647" i="3"/>
  <c r="ER620" i="3"/>
  <c r="ER648" i="3"/>
  <c r="ER621" i="3"/>
  <c r="ER649" i="3"/>
  <c r="ER622" i="3"/>
  <c r="ER650" i="3"/>
  <c r="ER623" i="3"/>
  <c r="ER651" i="3"/>
  <c r="ER624" i="3"/>
  <c r="ER652" i="3"/>
  <c r="ER625" i="3"/>
  <c r="ER653" i="3"/>
  <c r="ER626" i="3"/>
  <c r="ER654" i="3"/>
  <c r="ER627" i="3"/>
  <c r="ER655" i="3"/>
  <c r="ER628" i="3"/>
  <c r="ER656" i="3"/>
  <c r="ER629" i="3"/>
  <c r="ER657" i="3"/>
  <c r="ER630" i="3"/>
  <c r="ER658" i="3"/>
  <c r="ER631" i="3"/>
  <c r="ER659" i="3"/>
  <c r="ER632" i="3"/>
  <c r="ER660" i="3"/>
  <c r="ER633" i="3"/>
  <c r="ER661" i="3"/>
  <c r="ER634" i="3"/>
  <c r="ER662" i="3"/>
  <c r="ER663" i="3"/>
  <c r="Y124" i="28"/>
  <c r="EM610" i="3"/>
  <c r="EM638" i="3"/>
  <c r="EM611" i="3"/>
  <c r="EM639" i="3"/>
  <c r="EM612" i="3"/>
  <c r="EM640" i="3"/>
  <c r="EM613" i="3"/>
  <c r="EM641" i="3"/>
  <c r="EM614" i="3"/>
  <c r="EM642" i="3"/>
  <c r="EM615" i="3"/>
  <c r="EM643" i="3"/>
  <c r="EM616" i="3"/>
  <c r="EM644" i="3"/>
  <c r="EM617" i="3"/>
  <c r="EM645" i="3"/>
  <c r="EM618" i="3"/>
  <c r="EM646" i="3"/>
  <c r="EM619" i="3"/>
  <c r="EM647" i="3"/>
  <c r="EM620" i="3"/>
  <c r="EM648" i="3"/>
  <c r="EM621" i="3"/>
  <c r="EM649" i="3"/>
  <c r="EM622" i="3"/>
  <c r="EM650" i="3"/>
  <c r="EM623" i="3"/>
  <c r="EM651" i="3"/>
  <c r="EM624" i="3"/>
  <c r="EM652" i="3"/>
  <c r="EM625" i="3"/>
  <c r="EM653" i="3"/>
  <c r="EM626" i="3"/>
  <c r="EM654" i="3"/>
  <c r="EM627" i="3"/>
  <c r="EM655" i="3"/>
  <c r="EM628" i="3"/>
  <c r="EM656" i="3"/>
  <c r="EM629" i="3"/>
  <c r="EM657" i="3"/>
  <c r="EM630" i="3"/>
  <c r="EM658" i="3"/>
  <c r="EM631" i="3"/>
  <c r="EM659" i="3"/>
  <c r="EM632" i="3"/>
  <c r="EM660" i="3"/>
  <c r="EM633" i="3"/>
  <c r="EM661" i="3"/>
  <c r="EM634" i="3"/>
  <c r="EM662" i="3"/>
  <c r="EM663" i="3"/>
  <c r="T124" i="28"/>
  <c r="EH610" i="3"/>
  <c r="EH638" i="3"/>
  <c r="EH611" i="3"/>
  <c r="EH639" i="3"/>
  <c r="EH612" i="3"/>
  <c r="EH640" i="3"/>
  <c r="EH613" i="3"/>
  <c r="EH641" i="3"/>
  <c r="EH614" i="3"/>
  <c r="EH642" i="3"/>
  <c r="EH615" i="3"/>
  <c r="EH643" i="3"/>
  <c r="EH616" i="3"/>
  <c r="EH644" i="3"/>
  <c r="EH617" i="3"/>
  <c r="EH645" i="3"/>
  <c r="EH618" i="3"/>
  <c r="EH646" i="3"/>
  <c r="EH619" i="3"/>
  <c r="EH647" i="3"/>
  <c r="EH620" i="3"/>
  <c r="EH648" i="3"/>
  <c r="EH621" i="3"/>
  <c r="EH649" i="3"/>
  <c r="EH622" i="3"/>
  <c r="EH650" i="3"/>
  <c r="EH623" i="3"/>
  <c r="EH651" i="3"/>
  <c r="EH624" i="3"/>
  <c r="EH652" i="3"/>
  <c r="EH625" i="3"/>
  <c r="EH653" i="3"/>
  <c r="EH626" i="3"/>
  <c r="EH654" i="3"/>
  <c r="EH627" i="3"/>
  <c r="EH655" i="3"/>
  <c r="EH628" i="3"/>
  <c r="EH656" i="3"/>
  <c r="EH629" i="3"/>
  <c r="EH657" i="3"/>
  <c r="EH630" i="3"/>
  <c r="EH658" i="3"/>
  <c r="EH631" i="3"/>
  <c r="EH659" i="3"/>
  <c r="EH632" i="3"/>
  <c r="EH660" i="3"/>
  <c r="EH633" i="3"/>
  <c r="EH661" i="3"/>
  <c r="EH634" i="3"/>
  <c r="EH662" i="3"/>
  <c r="EH663" i="3"/>
  <c r="O124" i="28"/>
  <c r="EC610" i="3"/>
  <c r="EC638" i="3"/>
  <c r="EC611" i="3"/>
  <c r="EC639" i="3"/>
  <c r="EC612" i="3"/>
  <c r="EC640" i="3"/>
  <c r="EC613" i="3"/>
  <c r="EC641" i="3"/>
  <c r="EC614" i="3"/>
  <c r="EC642" i="3"/>
  <c r="EC615" i="3"/>
  <c r="EC643" i="3"/>
  <c r="EC616" i="3"/>
  <c r="EC644" i="3"/>
  <c r="EC617" i="3"/>
  <c r="EC645" i="3"/>
  <c r="EC618" i="3"/>
  <c r="EC646" i="3"/>
  <c r="EC619" i="3"/>
  <c r="EC647" i="3"/>
  <c r="EC620" i="3"/>
  <c r="EC648" i="3"/>
  <c r="EC621" i="3"/>
  <c r="EC649" i="3"/>
  <c r="EC622" i="3"/>
  <c r="EC650" i="3"/>
  <c r="EC623" i="3"/>
  <c r="EC651" i="3"/>
  <c r="EC624" i="3"/>
  <c r="EC652" i="3"/>
  <c r="EC625" i="3"/>
  <c r="EC653" i="3"/>
  <c r="EC626" i="3"/>
  <c r="EC654" i="3"/>
  <c r="EC627" i="3"/>
  <c r="EC655" i="3"/>
  <c r="EC628" i="3"/>
  <c r="EC656" i="3"/>
  <c r="EC629" i="3"/>
  <c r="EC657" i="3"/>
  <c r="EC630" i="3"/>
  <c r="EC658" i="3"/>
  <c r="EC631" i="3"/>
  <c r="EC659" i="3"/>
  <c r="EC632" i="3"/>
  <c r="EC660" i="3"/>
  <c r="EC633" i="3"/>
  <c r="EC661" i="3"/>
  <c r="EC634" i="3"/>
  <c r="EC662" i="3"/>
  <c r="EC663" i="3"/>
  <c r="J124" i="28"/>
  <c r="DX610" i="3"/>
  <c r="DX638" i="3"/>
  <c r="DX611" i="3"/>
  <c r="DX639" i="3"/>
  <c r="DX612" i="3"/>
  <c r="DX640" i="3"/>
  <c r="DX613" i="3"/>
  <c r="DX641" i="3"/>
  <c r="DX614" i="3"/>
  <c r="DX642" i="3"/>
  <c r="DX615" i="3"/>
  <c r="DX643" i="3"/>
  <c r="DX616" i="3"/>
  <c r="DX644" i="3"/>
  <c r="DX617" i="3"/>
  <c r="DX645" i="3"/>
  <c r="DX618" i="3"/>
  <c r="DX646" i="3"/>
  <c r="DX619" i="3"/>
  <c r="DX647" i="3"/>
  <c r="DX620" i="3"/>
  <c r="DX648" i="3"/>
  <c r="DX621" i="3"/>
  <c r="DX649" i="3"/>
  <c r="DX622" i="3"/>
  <c r="DX650" i="3"/>
  <c r="DX623" i="3"/>
  <c r="DX651" i="3"/>
  <c r="DX624" i="3"/>
  <c r="DX652" i="3"/>
  <c r="DX625" i="3"/>
  <c r="DX653" i="3"/>
  <c r="DX626" i="3"/>
  <c r="DX654" i="3"/>
  <c r="DX627" i="3"/>
  <c r="DX655" i="3"/>
  <c r="DX628" i="3"/>
  <c r="DX656" i="3"/>
  <c r="DX629" i="3"/>
  <c r="DX657" i="3"/>
  <c r="DX630" i="3"/>
  <c r="DX658" i="3"/>
  <c r="DX631" i="3"/>
  <c r="DX659" i="3"/>
  <c r="DX632" i="3"/>
  <c r="DX660" i="3"/>
  <c r="DX633" i="3"/>
  <c r="DX661" i="3"/>
  <c r="DX634" i="3"/>
  <c r="DX662" i="3"/>
  <c r="DX663" i="3"/>
  <c r="E124" i="28"/>
  <c r="AQ130" i="28"/>
  <c r="AO130" i="28"/>
  <c r="AQ129" i="28"/>
  <c r="AO129" i="28"/>
  <c r="AQ128" i="28"/>
  <c r="AO128" i="28"/>
  <c r="AQ127" i="28"/>
  <c r="AO127" i="28"/>
  <c r="AQ126" i="28"/>
  <c r="AO126" i="28"/>
  <c r="AQ125" i="28"/>
  <c r="AO125" i="28"/>
  <c r="AQ124" i="28"/>
  <c r="AO124" i="28"/>
  <c r="AQ123" i="28"/>
  <c r="AO123" i="28"/>
  <c r="AQ122" i="28"/>
  <c r="AO122" i="28"/>
  <c r="AQ121" i="28"/>
  <c r="AO121" i="28"/>
  <c r="AQ120" i="28"/>
  <c r="AO120" i="28"/>
  <c r="AQ119" i="28"/>
  <c r="AO119" i="28"/>
  <c r="AQ118" i="28"/>
  <c r="AO118" i="28"/>
  <c r="AQ117" i="28"/>
  <c r="AO117" i="28"/>
  <c r="AQ116" i="28"/>
  <c r="AO116" i="28"/>
  <c r="AQ115" i="28"/>
  <c r="AO115" i="28"/>
  <c r="AQ114" i="28"/>
  <c r="AO114" i="28"/>
  <c r="AQ113" i="28"/>
  <c r="AO113" i="28"/>
  <c r="AQ112" i="28"/>
  <c r="AO112" i="28"/>
  <c r="AQ111" i="28"/>
  <c r="AO111" i="28"/>
  <c r="AQ110" i="28"/>
  <c r="AO110" i="28"/>
  <c r="AQ109" i="28"/>
  <c r="AO109" i="28"/>
  <c r="AQ108" i="28"/>
  <c r="AO108" i="28"/>
  <c r="AQ107" i="28"/>
  <c r="AO107" i="28"/>
  <c r="AQ106" i="28"/>
  <c r="AO106" i="28"/>
  <c r="E99" i="28"/>
  <c r="E98" i="28"/>
  <c r="BG672" i="3"/>
  <c r="BG677" i="3"/>
  <c r="BG678" i="3"/>
  <c r="BG673" i="3"/>
  <c r="BG679" i="3"/>
  <c r="BG674" i="3"/>
  <c r="BG671" i="3"/>
  <c r="BG675" i="3"/>
  <c r="BG676" i="3"/>
  <c r="BG680" i="3"/>
  <c r="BG681" i="3"/>
  <c r="BG682" i="3"/>
  <c r="BG683" i="3"/>
  <c r="BG684" i="3"/>
  <c r="BG685" i="3"/>
  <c r="BG686" i="3"/>
  <c r="BG687" i="3"/>
  <c r="BG688" i="3"/>
  <c r="BG689" i="3"/>
  <c r="BG690" i="3"/>
  <c r="BG691" i="3"/>
  <c r="BG692" i="3"/>
  <c r="BG693" i="3"/>
  <c r="BG694" i="3"/>
  <c r="BG695" i="3"/>
  <c r="BG696"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I696" i="3"/>
  <c r="AC753" i="3"/>
  <c r="E97" i="28"/>
  <c r="E87" i="28"/>
  <c r="G114" i="29"/>
  <c r="E112" i="29"/>
  <c r="G102" i="29"/>
  <c r="E104" i="29"/>
  <c r="E95" i="29"/>
  <c r="G94" i="29"/>
  <c r="G92" i="29"/>
  <c r="B85" i="29"/>
  <c r="G77" i="29"/>
  <c r="S18" i="29"/>
  <c r="G44" i="29"/>
  <c r="G79" i="29"/>
  <c r="G67" i="29"/>
  <c r="B60" i="29"/>
  <c r="G53" i="29"/>
  <c r="E22" i="29"/>
  <c r="E23" i="29"/>
  <c r="E24" i="29"/>
  <c r="E25" i="29"/>
  <c r="E26" i="29"/>
  <c r="E27" i="29"/>
  <c r="G54" i="29"/>
  <c r="G56" i="29"/>
  <c r="G58" i="29"/>
  <c r="B51" i="29"/>
  <c r="G45" i="29"/>
  <c r="G47" i="29"/>
  <c r="G49" i="29"/>
  <c r="R44" i="29"/>
  <c r="Q44" i="29" a="1"/>
  <c r="Q44" i="29"/>
  <c r="P44" i="29" a="1"/>
  <c r="P44" i="29"/>
  <c r="O44" i="29"/>
  <c r="R43" i="29"/>
  <c r="Q43" i="29" a="1"/>
  <c r="Q43" i="29"/>
  <c r="P43" i="29" a="1"/>
  <c r="P43" i="29"/>
  <c r="O43" i="29"/>
  <c r="R42" i="29"/>
  <c r="Q42" i="29" a="1"/>
  <c r="Q42" i="29"/>
  <c r="P42" i="29" a="1"/>
  <c r="P42" i="29"/>
  <c r="O42" i="29"/>
  <c r="B42" i="29"/>
  <c r="R41" i="29"/>
  <c r="Q41" i="29" a="1"/>
  <c r="Q41" i="29"/>
  <c r="P41" i="29" a="1"/>
  <c r="P41" i="29"/>
  <c r="O41" i="29"/>
  <c r="R40" i="29"/>
  <c r="Q40" i="29" a="1"/>
  <c r="Q40" i="29"/>
  <c r="P40" i="29" a="1"/>
  <c r="P40" i="29"/>
  <c r="O40" i="29"/>
  <c r="Q20" i="29" a="1"/>
  <c r="Q20" i="29"/>
  <c r="G35" i="29" a="1"/>
  <c r="G35" i="29"/>
  <c r="G36" i="29"/>
  <c r="O20" i="29"/>
  <c r="P20" i="29" a="1"/>
  <c r="P20" i="29"/>
  <c r="R20" i="29"/>
  <c r="Q21" i="29" a="1"/>
  <c r="Q21" i="29"/>
  <c r="O21" i="29"/>
  <c r="P21" i="29" a="1"/>
  <c r="P21" i="29"/>
  <c r="R21" i="29"/>
  <c r="Q22" i="29" a="1"/>
  <c r="Q22" i="29"/>
  <c r="O22" i="29"/>
  <c r="P22" i="29" a="1"/>
  <c r="P22" i="29"/>
  <c r="R22" i="29"/>
  <c r="Q23" i="29" a="1"/>
  <c r="Q23" i="29"/>
  <c r="O23" i="29"/>
  <c r="P23" i="29" a="1"/>
  <c r="P23" i="29"/>
  <c r="R23" i="29"/>
  <c r="Q24" i="29" a="1"/>
  <c r="Q24" i="29"/>
  <c r="O24" i="29"/>
  <c r="P24" i="29" a="1"/>
  <c r="P24" i="29"/>
  <c r="R24" i="29"/>
  <c r="Q25" i="29" a="1"/>
  <c r="Q25" i="29"/>
  <c r="O25" i="29"/>
  <c r="P25" i="29" a="1"/>
  <c r="P25" i="29"/>
  <c r="R25" i="29"/>
  <c r="Q26" i="29" a="1"/>
  <c r="Q26" i="29"/>
  <c r="O26" i="29"/>
  <c r="P26" i="29" a="1"/>
  <c r="P26" i="29"/>
  <c r="R26" i="29"/>
  <c r="Q27" i="29" a="1"/>
  <c r="Q27" i="29"/>
  <c r="O27" i="29"/>
  <c r="P27" i="29" a="1"/>
  <c r="P27" i="29"/>
  <c r="R27" i="29"/>
  <c r="Q28" i="29" a="1"/>
  <c r="Q28" i="29"/>
  <c r="O28" i="29"/>
  <c r="P28" i="29" a="1"/>
  <c r="P28" i="29"/>
  <c r="R28" i="29"/>
  <c r="R29" i="29"/>
  <c r="R30" i="29"/>
  <c r="R31" i="29"/>
  <c r="R32" i="29"/>
  <c r="R33" i="29"/>
  <c r="R34" i="29"/>
  <c r="R35" i="29"/>
  <c r="R36" i="29"/>
  <c r="R37" i="29"/>
  <c r="R38" i="29"/>
  <c r="R39" i="29"/>
  <c r="G38" i="29"/>
  <c r="G39" i="29"/>
  <c r="G40" i="29"/>
  <c r="Q39" i="29" a="1"/>
  <c r="Q39" i="29"/>
  <c r="P39" i="29" a="1"/>
  <c r="P39" i="29"/>
  <c r="O39" i="29"/>
  <c r="Q38" i="29" a="1"/>
  <c r="Q38" i="29"/>
  <c r="P38" i="29" a="1"/>
  <c r="P38" i="29"/>
  <c r="O38" i="29"/>
  <c r="Q37" i="29" a="1"/>
  <c r="Q37" i="29"/>
  <c r="P37" i="29" a="1"/>
  <c r="P37" i="29"/>
  <c r="O37" i="29"/>
  <c r="Q36" i="29" a="1"/>
  <c r="Q36" i="29"/>
  <c r="P36" i="29" a="1"/>
  <c r="P36" i="29"/>
  <c r="O36" i="29"/>
  <c r="Q35" i="29" a="1"/>
  <c r="Q35" i="29"/>
  <c r="P35" i="29" a="1"/>
  <c r="P35" i="29"/>
  <c r="O35" i="29"/>
  <c r="Q34" i="29" a="1"/>
  <c r="Q34" i="29"/>
  <c r="P34" i="29" a="1"/>
  <c r="P34" i="29"/>
  <c r="O34" i="29"/>
  <c r="Q33" i="29" a="1"/>
  <c r="Q33" i="29"/>
  <c r="P33" i="29" a="1"/>
  <c r="P33" i="29"/>
  <c r="O33" i="29"/>
  <c r="B33" i="29"/>
  <c r="Q32" i="29" a="1"/>
  <c r="Q32" i="29"/>
  <c r="P32" i="29" a="1"/>
  <c r="P32" i="29"/>
  <c r="O32" i="29"/>
  <c r="Q31" i="29" a="1"/>
  <c r="Q31" i="29"/>
  <c r="P31" i="29" a="1"/>
  <c r="P31" i="29"/>
  <c r="O31" i="29"/>
  <c r="Q30" i="29" a="1"/>
  <c r="Q30" i="29"/>
  <c r="P30" i="29" a="1"/>
  <c r="P30" i="29"/>
  <c r="O30" i="29"/>
  <c r="Q29" i="29" a="1"/>
  <c r="Q29" i="29"/>
  <c r="P29" i="29" a="1"/>
  <c r="P29" i="29"/>
  <c r="O29" i="29"/>
  <c r="F22" i="29"/>
  <c r="F23" i="29"/>
  <c r="F25" i="29"/>
  <c r="F26" i="29"/>
  <c r="F24" i="29"/>
  <c r="F27" i="29"/>
  <c r="D26" i="29"/>
  <c r="G26" i="29"/>
  <c r="D25" i="29"/>
  <c r="G25" i="29"/>
  <c r="G24" i="29"/>
  <c r="G23" i="29"/>
  <c r="G22" i="29"/>
  <c r="M18" i="29"/>
  <c r="B18" i="29"/>
  <c r="I15" i="29"/>
  <c r="E12" i="29"/>
  <c r="E11" i="29"/>
  <c r="E10" i="29"/>
  <c r="AO13" i="28"/>
  <c r="AO14" i="28"/>
  <c r="AO15" i="28"/>
  <c r="AO16" i="28"/>
  <c r="AO17" i="28"/>
  <c r="AO20" i="28"/>
  <c r="AO21" i="28"/>
  <c r="AO22" i="28"/>
  <c r="AO24" i="28"/>
  <c r="AO25" i="28"/>
  <c r="AO28" i="28"/>
  <c r="AO29" i="28"/>
  <c r="AO36" i="28"/>
  <c r="AK56" i="28"/>
  <c r="T789" i="28"/>
  <c r="AF789" i="28"/>
  <c r="AO62" i="28"/>
  <c r="AO63" i="28"/>
  <c r="AO64" i="28"/>
  <c r="AO65" i="28"/>
  <c r="AK78" i="28"/>
  <c r="T790" i="28"/>
  <c r="AF790" i="28"/>
  <c r="AP89" i="28"/>
  <c r="E100" i="28"/>
  <c r="AP100" i="28"/>
  <c r="AK103" i="28"/>
  <c r="T791" i="28"/>
  <c r="AF791" i="28"/>
  <c r="E127" i="28"/>
  <c r="AV116" i="28"/>
  <c r="AW110" i="28"/>
  <c r="E130" i="28"/>
  <c r="J127" i="28"/>
  <c r="AW111" i="28"/>
  <c r="J130" i="28"/>
  <c r="O127" i="28"/>
  <c r="AW112" i="28"/>
  <c r="O130" i="28"/>
  <c r="T127" i="28"/>
  <c r="AW113" i="28"/>
  <c r="T130" i="28"/>
  <c r="Y127" i="28"/>
  <c r="AW114" i="28"/>
  <c r="Y130" i="28"/>
  <c r="AD127" i="28"/>
  <c r="AW115" i="28"/>
  <c r="AD130" i="28"/>
  <c r="E132" i="28"/>
  <c r="E133" i="28"/>
  <c r="AK137" i="28"/>
  <c r="T792" i="28"/>
  <c r="AF792" i="28"/>
  <c r="AJ155" i="28"/>
  <c r="T794" i="28"/>
  <c r="AJ169" i="28"/>
  <c r="T795" i="28"/>
  <c r="T793" i="28"/>
  <c r="AF793" i="28"/>
  <c r="AK180" i="28"/>
  <c r="T796" i="28"/>
  <c r="AF796" i="28"/>
  <c r="AB213" i="28"/>
  <c r="AB214" i="28"/>
  <c r="AB215" i="28"/>
  <c r="AB216" i="28"/>
  <c r="AB217" i="28"/>
  <c r="AB218" i="28"/>
  <c r="AB219" i="28"/>
  <c r="AB220" i="28"/>
  <c r="AB221" i="28"/>
  <c r="AB222" i="28"/>
  <c r="AB223" i="28"/>
  <c r="AB234" i="28"/>
  <c r="AB236" i="28"/>
  <c r="AB239" i="28"/>
  <c r="AB241" i="28"/>
  <c r="AB243" i="28"/>
  <c r="AB249" i="28"/>
  <c r="AD198" i="28"/>
  <c r="AD200" i="28"/>
  <c r="AG469" i="28"/>
  <c r="AG474" i="28"/>
  <c r="AG476" i="28"/>
  <c r="AG481" i="28"/>
  <c r="AG485" i="28"/>
  <c r="AG487" i="28"/>
  <c r="AG492" i="28"/>
  <c r="AG497" i="28"/>
  <c r="AG501" i="28"/>
  <c r="AG504" i="28"/>
  <c r="AG508" i="28"/>
  <c r="AG512" i="28"/>
  <c r="AK524" i="28"/>
  <c r="T798" i="28"/>
  <c r="AF798" i="28"/>
  <c r="AK274" i="28"/>
  <c r="T799" i="28"/>
  <c r="AF799" i="28"/>
  <c r="AP282" i="28"/>
  <c r="AP283" i="28"/>
  <c r="AP284" i="28"/>
  <c r="AK327" i="28"/>
  <c r="T800" i="28"/>
  <c r="AF800" i="28"/>
  <c r="AS351" i="28"/>
  <c r="T802" i="28"/>
  <c r="AF802" i="28"/>
  <c r="AP545" i="28"/>
  <c r="AP543" i="28"/>
  <c r="AP548" i="28"/>
  <c r="AF541" i="28"/>
  <c r="AJ610" i="28"/>
  <c r="AJ629" i="28"/>
  <c r="AJ641" i="28"/>
  <c r="AJ676" i="28"/>
  <c r="AJ696" i="28"/>
  <c r="AJ710" i="28"/>
  <c r="AJ722" i="28"/>
  <c r="AJ738" i="28"/>
  <c r="AJ750" i="28"/>
  <c r="AJ766" i="28"/>
  <c r="AJ777" i="28"/>
  <c r="AK779" i="28"/>
  <c r="T804" i="28"/>
  <c r="AF804" i="28"/>
  <c r="AF805" i="28"/>
  <c r="T801" i="28"/>
  <c r="AO586" i="28"/>
  <c r="AS349" i="28"/>
  <c r="AK172" i="28"/>
  <c r="AW116" i="28"/>
  <c r="AU115" i="28"/>
  <c r="AU114" i="28"/>
  <c r="AU113" i="28"/>
  <c r="AU112" i="28"/>
  <c r="AU111" i="28"/>
  <c r="AU110" i="28"/>
  <c r="E88" i="28"/>
  <c r="E89" i="28"/>
  <c r="A33" i="7"/>
  <c r="A32" i="7"/>
  <c r="AA932" i="3"/>
  <c r="AE709" i="3"/>
  <c r="W564" i="3"/>
  <c r="AG447" i="3"/>
  <c r="AG445" i="3"/>
  <c r="AG441" i="3"/>
  <c r="AG442" i="3"/>
  <c r="AD64" i="15"/>
  <c r="AD67" i="15"/>
  <c r="CX649" i="3"/>
  <c r="DC649" i="3"/>
  <c r="T25" i="15"/>
  <c r="T7" i="15"/>
  <c r="S26" i="4"/>
  <c r="AG440" i="3"/>
  <c r="AG443" i="3"/>
  <c r="C26" i="4"/>
  <c r="Y67" i="15"/>
  <c r="D30" i="8"/>
  <c r="B4" i="8"/>
  <c r="B5" i="8"/>
  <c r="B6" i="8"/>
  <c r="B10" i="8"/>
  <c r="CS648" i="3"/>
  <c r="CS649" i="3"/>
  <c r="CX648" i="3"/>
  <c r="DC648" i="3"/>
  <c r="DH649" i="3"/>
  <c r="DM648" i="3"/>
  <c r="DM649" i="3"/>
  <c r="DR648" i="3"/>
  <c r="DR649" i="3"/>
  <c r="B7" i="8"/>
  <c r="AV778"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E36" i="13"/>
  <c r="B66" i="4"/>
  <c r="E66" i="4"/>
  <c r="R66" i="4"/>
  <c r="B67" i="4"/>
  <c r="E67" i="4"/>
  <c r="R67" i="4"/>
  <c r="B68" i="4"/>
  <c r="E68"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B70" i="4"/>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G56" i="7"/>
  <c r="G53" i="7"/>
  <c r="G57" i="7"/>
  <c r="G58" i="7"/>
  <c r="I57" i="7"/>
  <c r="K57" i="7"/>
  <c r="M57" i="7"/>
  <c r="O57" i="7"/>
  <c r="Q57" i="7"/>
  <c r="S57" i="7"/>
  <c r="U57" i="7"/>
  <c r="W57" i="7"/>
  <c r="Y57" i="7"/>
  <c r="AA57" i="7"/>
  <c r="AC57" i="7"/>
  <c r="AE57" i="7"/>
  <c r="AG57" i="7"/>
  <c r="I53" i="7"/>
  <c r="K53" i="7"/>
  <c r="M53" i="7"/>
  <c r="O53" i="7"/>
  <c r="Q53" i="7"/>
  <c r="A61" i="15"/>
  <c r="AF1005" i="3"/>
  <c r="BA500" i="3"/>
  <c r="BA492" i="3"/>
  <c r="B100" i="4"/>
  <c r="E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3" i="15"/>
  <c r="BA1000" i="3"/>
  <c r="T11" i="4"/>
  <c r="B59" i="4"/>
  <c r="E59" i="4"/>
  <c r="C80" i="11"/>
  <c r="B80" i="11"/>
  <c r="I96" i="13"/>
  <c r="J96" i="13"/>
  <c r="J81" i="13"/>
  <c r="I81" i="13"/>
  <c r="G81" i="13"/>
  <c r="F81" i="13"/>
  <c r="D81" i="13"/>
  <c r="C81" i="13"/>
  <c r="H80" i="13"/>
  <c r="D81" i="4"/>
  <c r="F81" i="4"/>
  <c r="G81" i="4"/>
  <c r="H81" i="4"/>
  <c r="I81" i="4"/>
  <c r="J81" i="4"/>
  <c r="K81" i="4"/>
  <c r="L81" i="4"/>
  <c r="M81" i="4"/>
  <c r="N81" i="4"/>
  <c r="O81" i="4"/>
  <c r="P81" i="4"/>
  <c r="Q81" i="4"/>
  <c r="T81" i="4"/>
  <c r="H81" i="13"/>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51" i="13"/>
  <c r="E49" i="13"/>
  <c r="E48" i="13"/>
  <c r="E47" i="13"/>
  <c r="E41" i="13"/>
  <c r="E37"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4" i="13"/>
  <c r="B73" i="13"/>
  <c r="B72" i="13"/>
  <c r="B65" i="13"/>
  <c r="B61" i="13"/>
  <c r="B60" i="13"/>
  <c r="B59" i="13"/>
  <c r="B58" i="13"/>
  <c r="B57" i="13"/>
  <c r="B56" i="13"/>
  <c r="B52" i="13"/>
  <c r="B51" i="13"/>
  <c r="B50" i="13"/>
  <c r="B48" i="13"/>
  <c r="B47"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59" i="4"/>
  <c r="R27" i="4"/>
  <c r="R25" i="4"/>
  <c r="R23" i="4"/>
  <c r="R22" i="4"/>
  <c r="R21" i="4"/>
  <c r="R20" i="4"/>
  <c r="R19" i="4"/>
  <c r="R18" i="4"/>
  <c r="R17" i="4"/>
  <c r="B5" i="11"/>
  <c r="C5" i="11"/>
  <c r="B6" i="11"/>
  <c r="C6" i="11"/>
  <c r="B7" i="11"/>
  <c r="C7" i="11"/>
  <c r="C8" i="11"/>
  <c r="B8" i="11"/>
  <c r="B10" i="11"/>
  <c r="B11" i="11"/>
  <c r="C10" i="11"/>
  <c r="C11" i="11"/>
  <c r="D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C49" i="11"/>
  <c r="D49" i="11"/>
  <c r="B51" i="11"/>
  <c r="B52" i="11"/>
  <c r="C52" i="11"/>
  <c r="D52" i="11"/>
  <c r="B53" i="11"/>
  <c r="C48" i="11"/>
  <c r="C51" i="11"/>
  <c r="C53" i="11"/>
  <c r="B57" i="11"/>
  <c r="C57" i="11"/>
  <c r="B58" i="11"/>
  <c r="C58" i="11"/>
  <c r="B59" i="11"/>
  <c r="C59" i="11"/>
  <c r="B60" i="11"/>
  <c r="C60" i="11"/>
  <c r="D60" i="11"/>
  <c r="B61" i="11"/>
  <c r="C61" i="11"/>
  <c r="B62" i="11"/>
  <c r="C62" i="11"/>
  <c r="B66" i="11"/>
  <c r="C66" i="11"/>
  <c r="B73" i="11"/>
  <c r="C73" i="11"/>
  <c r="D73" i="11"/>
  <c r="B74" i="11"/>
  <c r="C74" i="11"/>
  <c r="B75" i="11"/>
  <c r="C75" i="11"/>
  <c r="B77" i="11"/>
  <c r="C77" i="11"/>
  <c r="A4" i="8"/>
  <c r="G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E40" i="7"/>
  <c r="M40" i="7"/>
  <c r="M41" i="7"/>
  <c r="M42" i="7"/>
  <c r="M43" i="7"/>
  <c r="G41" i="7"/>
  <c r="I41" i="7"/>
  <c r="K41" i="7"/>
  <c r="O41" i="7"/>
  <c r="Q41" i="7"/>
  <c r="S41" i="7"/>
  <c r="U41" i="7"/>
  <c r="W41" i="7"/>
  <c r="Y41" i="7"/>
  <c r="AA41" i="7"/>
  <c r="AC41" i="7"/>
  <c r="AE41" i="7"/>
  <c r="AG41" i="7"/>
  <c r="G42" i="7"/>
  <c r="I42" i="7"/>
  <c r="K42" i="7"/>
  <c r="O42" i="7"/>
  <c r="Q42" i="7"/>
  <c r="S42" i="7"/>
  <c r="U42" i="7"/>
  <c r="W42" i="7"/>
  <c r="Y42" i="7"/>
  <c r="AA42" i="7"/>
  <c r="AC42" i="7"/>
  <c r="AE42" i="7"/>
  <c r="AG42" i="7"/>
  <c r="E58" i="7"/>
  <c r="H11" i="13"/>
  <c r="T26" i="4"/>
  <c r="H26" i="13"/>
  <c r="T38" i="4"/>
  <c r="H38" i="13"/>
  <c r="T42" i="4"/>
  <c r="T54" i="4"/>
  <c r="H54" i="13"/>
  <c r="T70" i="4"/>
  <c r="H70" i="13"/>
  <c r="T96" i="4"/>
  <c r="H96" i="13"/>
  <c r="B11" i="13"/>
  <c r="B26" i="13"/>
  <c r="B38" i="13"/>
  <c r="B62" i="13"/>
  <c r="D8" i="4"/>
  <c r="D11" i="4"/>
  <c r="D26" i="4"/>
  <c r="D38" i="4"/>
  <c r="D42" i="4"/>
  <c r="D54" i="4"/>
  <c r="D62" i="4"/>
  <c r="D77" i="4"/>
  <c r="D96" i="4"/>
  <c r="D104" i="4"/>
  <c r="E26" i="13"/>
  <c r="F2" i="4"/>
  <c r="G2" i="4"/>
  <c r="H2" i="4"/>
  <c r="I2" i="4"/>
  <c r="J2" i="4"/>
  <c r="K2" i="4"/>
  <c r="L2" i="4"/>
  <c r="M2" i="4"/>
  <c r="N2" i="4"/>
  <c r="O2" i="4"/>
  <c r="P2" i="4"/>
  <c r="Q2" i="4"/>
  <c r="B4" i="4"/>
  <c r="E4" i="4"/>
  <c r="R4" i="4"/>
  <c r="B5" i="4"/>
  <c r="E5" i="4"/>
  <c r="R5" i="4"/>
  <c r="B6" i="4"/>
  <c r="E6" i="4"/>
  <c r="R6" i="4"/>
  <c r="B7" i="4"/>
  <c r="E7" i="4"/>
  <c r="R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c r="R9" i="4"/>
  <c r="E11" i="4"/>
  <c r="F11" i="4"/>
  <c r="F26" i="4"/>
  <c r="F38" i="4"/>
  <c r="F42" i="4"/>
  <c r="F54" i="4"/>
  <c r="F62" i="4"/>
  <c r="N11" i="4"/>
  <c r="O11" i="4"/>
  <c r="B13" i="4"/>
  <c r="E13" i="4"/>
  <c r="R13" i="4"/>
  <c r="B14" i="4"/>
  <c r="E14" i="4"/>
  <c r="R14" i="4"/>
  <c r="E15" i="4"/>
  <c r="R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30" i="13"/>
  <c r="E31" i="13"/>
  <c r="E32" i="13"/>
  <c r="E33" i="13"/>
  <c r="E34" i="13"/>
  <c r="E35" i="13"/>
  <c r="B37" i="4"/>
  <c r="E37" i="4"/>
  <c r="R37" i="4"/>
  <c r="G38" i="4"/>
  <c r="H38" i="4"/>
  <c r="K38" i="4"/>
  <c r="L38" i="4"/>
  <c r="O38" i="4"/>
  <c r="P38" i="4"/>
  <c r="P42" i="4"/>
  <c r="P54" i="4"/>
  <c r="P62" i="4"/>
  <c r="P70" i="4"/>
  <c r="P77" i="4"/>
  <c r="P96" i="4"/>
  <c r="P104" i="4"/>
  <c r="Q38" i="4"/>
  <c r="B41" i="4"/>
  <c r="E41" i="4"/>
  <c r="R41" i="4"/>
  <c r="G42" i="4"/>
  <c r="H42" i="4"/>
  <c r="K42" i="4"/>
  <c r="L42" i="4"/>
  <c r="O42" i="4"/>
  <c r="Q42" i="4"/>
  <c r="E43" i="13"/>
  <c r="B47" i="4"/>
  <c r="E47" i="4"/>
  <c r="R47" i="4"/>
  <c r="B48" i="4"/>
  <c r="E48" i="4"/>
  <c r="R48" i="4"/>
  <c r="E50" i="13"/>
  <c r="B51" i="4"/>
  <c r="E51" i="4"/>
  <c r="R51" i="4"/>
  <c r="E52" i="13"/>
  <c r="G54" i="4"/>
  <c r="K54" i="4"/>
  <c r="L54" i="4"/>
  <c r="O54" i="4"/>
  <c r="Q54" i="4"/>
  <c r="B56" i="4"/>
  <c r="E56" i="4"/>
  <c r="R56" i="4"/>
  <c r="B57" i="4"/>
  <c r="E57" i="4"/>
  <c r="R57" i="4"/>
  <c r="B58" i="4"/>
  <c r="E58" i="4"/>
  <c r="R58" i="4"/>
  <c r="B60" i="4"/>
  <c r="E60" i="4"/>
  <c r="R60" i="4"/>
  <c r="B61" i="4"/>
  <c r="E61" i="4"/>
  <c r="R61" i="4"/>
  <c r="G62" i="4"/>
  <c r="H62" i="4"/>
  <c r="K62" i="4"/>
  <c r="L62" i="4"/>
  <c r="O62" i="4"/>
  <c r="O70" i="4"/>
  <c r="O77" i="4"/>
  <c r="O96" i="4"/>
  <c r="O104" i="4"/>
  <c r="Q62" i="4"/>
  <c r="E65" i="13"/>
  <c r="F70" i="4"/>
  <c r="G70" i="4"/>
  <c r="H70" i="4"/>
  <c r="I70" i="4"/>
  <c r="K70" i="4"/>
  <c r="L70" i="4"/>
  <c r="Q70" i="4"/>
  <c r="B72" i="4"/>
  <c r="E72" i="4"/>
  <c r="R72" i="4"/>
  <c r="B73" i="4"/>
  <c r="E73" i="4"/>
  <c r="R73" i="4"/>
  <c r="B74" i="4"/>
  <c r="E74" i="4"/>
  <c r="R74" i="4"/>
  <c r="B76" i="4"/>
  <c r="E76" i="4"/>
  <c r="R76" i="4"/>
  <c r="F77" i="4"/>
  <c r="G77" i="4"/>
  <c r="H77" i="4"/>
  <c r="I77" i="4"/>
  <c r="K77" i="4"/>
  <c r="L77" i="4"/>
  <c r="Q77" i="4"/>
  <c r="E79" i="13"/>
  <c r="E84" i="13"/>
  <c r="E85" i="13"/>
  <c r="E86" i="13"/>
  <c r="E87" i="13"/>
  <c r="B88" i="4"/>
  <c r="E88" i="4"/>
  <c r="R88" i="4"/>
  <c r="E89" i="13"/>
  <c r="B90" i="4"/>
  <c r="E90" i="4"/>
  <c r="R90" i="4"/>
  <c r="B91" i="4"/>
  <c r="E91" i="4"/>
  <c r="R91" i="4"/>
  <c r="E92" i="13"/>
  <c r="B93" i="4"/>
  <c r="E93" i="4"/>
  <c r="R93" i="4"/>
  <c r="B94" i="4"/>
  <c r="E94" i="4"/>
  <c r="R94" i="4"/>
  <c r="B95" i="4"/>
  <c r="E95" i="4"/>
  <c r="R95" i="4"/>
  <c r="F96" i="4"/>
  <c r="G96" i="4"/>
  <c r="H96" i="4"/>
  <c r="I96" i="4"/>
  <c r="K96" i="4"/>
  <c r="L96" i="4"/>
  <c r="Q96" i="4"/>
  <c r="B101" i="4"/>
  <c r="E101" i="4"/>
  <c r="R101" i="4"/>
  <c r="B102" i="4"/>
  <c r="E102" i="4"/>
  <c r="R102" i="4"/>
  <c r="B103" i="4"/>
  <c r="E103" i="4"/>
  <c r="R103" i="4"/>
  <c r="F104" i="4"/>
  <c r="G104" i="4"/>
  <c r="H104" i="4"/>
  <c r="I104" i="4"/>
  <c r="K104" i="4"/>
  <c r="L104" i="4"/>
  <c r="Q104" i="4"/>
  <c r="F108" i="4"/>
  <c r="G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c r="M830" i="3"/>
  <c r="Q830" i="3"/>
  <c r="U830" i="3"/>
  <c r="Y830" i="3"/>
  <c r="AC830" i="3"/>
  <c r="AG830" i="3"/>
  <c r="BI844" i="3"/>
  <c r="Z899" i="3"/>
  <c r="BA997" i="3"/>
  <c r="BA998" i="3"/>
  <c r="BA999" i="3"/>
  <c r="BA1001" i="3"/>
  <c r="BA1002" i="3"/>
  <c r="BA1003" i="3"/>
  <c r="BA1004" i="3"/>
  <c r="BA1005" i="3"/>
  <c r="AF1000" i="3"/>
  <c r="B26" i="4"/>
  <c r="AH734" i="3"/>
  <c r="J63" i="13"/>
  <c r="L12" i="4"/>
  <c r="D48" i="11"/>
  <c r="G12" i="4"/>
  <c r="Q12" i="4"/>
  <c r="G63" i="13"/>
  <c r="G97" i="13"/>
  <c r="G105" i="13"/>
  <c r="G107" i="13"/>
  <c r="D20" i="11"/>
  <c r="D8" i="11"/>
  <c r="B43" i="11"/>
  <c r="D102" i="11"/>
  <c r="D94" i="11"/>
  <c r="K12" i="4"/>
  <c r="C43" i="11"/>
  <c r="D95" i="11"/>
  <c r="D25" i="11"/>
  <c r="D12" i="4"/>
  <c r="H12" i="4"/>
  <c r="D23" i="11"/>
  <c r="D19" i="11"/>
  <c r="D35" i="11"/>
  <c r="D31" i="11"/>
  <c r="D32" i="11"/>
  <c r="D15" i="11"/>
  <c r="D14" i="11"/>
  <c r="Q63" i="4"/>
  <c r="Q97" i="4"/>
  <c r="Q105" i="4"/>
  <c r="N12" i="4"/>
  <c r="D58" i="11"/>
  <c r="D62" i="11"/>
  <c r="D24" i="11"/>
  <c r="D101" i="11"/>
  <c r="C63" i="13"/>
  <c r="C97" i="13"/>
  <c r="C105" i="13"/>
  <c r="D92" i="11"/>
  <c r="D75" i="11"/>
  <c r="D28" i="11"/>
  <c r="D103" i="11"/>
  <c r="D88" i="11"/>
  <c r="D42" i="11"/>
  <c r="D21" i="11"/>
  <c r="D16" i="11"/>
  <c r="B12" i="11"/>
  <c r="F63" i="13"/>
  <c r="F97" i="13"/>
  <c r="F105" i="13"/>
  <c r="F107" i="13"/>
  <c r="B42" i="4"/>
  <c r="C71" i="11"/>
  <c r="G63" i="4"/>
  <c r="U40" i="7"/>
  <c r="S40" i="7"/>
  <c r="S43" i="7"/>
  <c r="E43" i="7"/>
  <c r="I40" i="7"/>
  <c r="K40" i="7"/>
  <c r="K43" i="7"/>
  <c r="W40" i="7"/>
  <c r="W43" i="7"/>
  <c r="Y40" i="7"/>
  <c r="Y43" i="7"/>
  <c r="G40" i="7"/>
  <c r="O40" i="7"/>
  <c r="O43" i="7"/>
  <c r="AE40" i="7"/>
  <c r="AE43" i="7"/>
  <c r="AA40" i="7"/>
  <c r="AA43" i="7"/>
  <c r="AG40" i="7"/>
  <c r="AG43" i="7"/>
  <c r="Q40" i="7"/>
  <c r="Q43" i="7"/>
  <c r="AC40" i="7"/>
  <c r="AC43" i="7"/>
  <c r="D104" i="11"/>
  <c r="D26" i="11"/>
  <c r="D96" i="11"/>
  <c r="P63" i="4"/>
  <c r="P97" i="4"/>
  <c r="P105" i="4"/>
  <c r="F12" i="4"/>
  <c r="M12" i="4"/>
  <c r="J63" i="4"/>
  <c r="J97" i="4"/>
  <c r="J105" i="4"/>
  <c r="D74" i="11"/>
  <c r="D61" i="11"/>
  <c r="D57" i="11"/>
  <c r="D41" i="11"/>
  <c r="D22" i="11"/>
  <c r="D6" i="11"/>
  <c r="D36" i="11"/>
  <c r="D91" i="11"/>
  <c r="D87" i="11"/>
  <c r="J28" i="25"/>
  <c r="AD68" i="15"/>
  <c r="M63" i="4"/>
  <c r="M97" i="4"/>
  <c r="M105" i="4"/>
  <c r="L63" i="4"/>
  <c r="CQ645" i="3"/>
  <c r="K63" i="4"/>
  <c r="K97" i="4"/>
  <c r="K105" i="4"/>
  <c r="R8" i="4"/>
  <c r="D77" i="11"/>
  <c r="D59" i="11"/>
  <c r="D44" i="11"/>
  <c r="G43" i="7"/>
  <c r="BW645" i="3"/>
  <c r="CS658" i="3"/>
  <c r="BG243" i="3"/>
  <c r="BO245" i="3"/>
  <c r="T266" i="3"/>
  <c r="I43" i="7"/>
  <c r="U43" i="7"/>
  <c r="C12" i="13"/>
  <c r="J97" i="13"/>
  <c r="J105" i="13"/>
  <c r="J107" i="13"/>
  <c r="I56" i="7"/>
  <c r="K56" i="7"/>
  <c r="M56" i="7"/>
  <c r="O56" i="7"/>
  <c r="Q56" i="7"/>
  <c r="S56" i="7"/>
  <c r="U56" i="7"/>
  <c r="W56" i="7"/>
  <c r="Y56" i="7"/>
  <c r="AA56" i="7"/>
  <c r="AC56" i="7"/>
  <c r="AE56" i="7"/>
  <c r="AG56" i="7"/>
  <c r="D86" i="11"/>
  <c r="DR658" i="3"/>
  <c r="DM658" i="3"/>
  <c r="AG444" i="3"/>
  <c r="CX658" i="3"/>
  <c r="E70" i="4"/>
  <c r="D66" i="11"/>
  <c r="C63" i="11"/>
  <c r="D38" i="11"/>
  <c r="D7" i="11"/>
  <c r="B70" i="13"/>
  <c r="E8" i="4"/>
  <c r="E12" i="4"/>
  <c r="B11" i="4"/>
  <c r="D70" i="11"/>
  <c r="D89" i="11"/>
  <c r="D93" i="11"/>
  <c r="D85" i="11"/>
  <c r="E42" i="4"/>
  <c r="B62" i="4"/>
  <c r="AH728" i="3"/>
  <c r="AH729" i="3"/>
  <c r="AH731" i="3"/>
  <c r="AH730" i="3"/>
  <c r="K55" i="7"/>
  <c r="I58" i="7"/>
  <c r="R11" i="4"/>
  <c r="R12" i="4"/>
  <c r="E10" i="13"/>
  <c r="N63" i="4"/>
  <c r="N97" i="4"/>
  <c r="N105" i="4"/>
  <c r="O63" i="4"/>
  <c r="O97" i="4"/>
  <c r="O105" i="4"/>
  <c r="O12" i="4"/>
  <c r="I12" i="4"/>
  <c r="I63" i="4"/>
  <c r="I97" i="4"/>
  <c r="I105" i="4"/>
  <c r="E96" i="13"/>
  <c r="S53" i="7"/>
  <c r="L97" i="4"/>
  <c r="L105" i="4"/>
  <c r="C27" i="11"/>
  <c r="D18" i="11"/>
  <c r="D27" i="11"/>
  <c r="J12" i="4"/>
  <c r="BA995" i="3"/>
  <c r="R62" i="4"/>
  <c r="B27" i="11"/>
  <c r="C12" i="11"/>
  <c r="D12" i="11"/>
  <c r="D10" i="11"/>
  <c r="B63" i="11"/>
  <c r="D63" i="11"/>
  <c r="H42" i="13"/>
  <c r="T63" i="4"/>
  <c r="R26" i="4"/>
  <c r="DC658" i="3"/>
  <c r="E29" i="13"/>
  <c r="E38" i="13"/>
  <c r="D63" i="13"/>
  <c r="D97" i="13"/>
  <c r="D105" i="13"/>
  <c r="D12" i="13"/>
  <c r="I63" i="13"/>
  <c r="I97" i="13"/>
  <c r="I105" i="13"/>
  <c r="I107" i="13"/>
  <c r="AI27" i="15"/>
  <c r="T27" i="15"/>
  <c r="Y27" i="15"/>
  <c r="AD27" i="15"/>
  <c r="R42" i="4"/>
  <c r="D63" i="4"/>
  <c r="D97" i="4"/>
  <c r="D105" i="4"/>
  <c r="D34" i="11"/>
  <c r="CL645" i="3"/>
  <c r="D30" i="11"/>
  <c r="D5" i="11"/>
  <c r="CG645" i="3"/>
  <c r="D51" i="11"/>
  <c r="CB645" i="3"/>
  <c r="R70" i="4"/>
  <c r="D90" i="11"/>
  <c r="G97" i="4"/>
  <c r="G105" i="4"/>
  <c r="D43" i="11"/>
  <c r="E62" i="4"/>
  <c r="E38" i="4"/>
  <c r="Y798" i="3"/>
  <c r="AH733" i="3"/>
  <c r="F63" i="4"/>
  <c r="F97" i="4"/>
  <c r="F105" i="4"/>
  <c r="D53" i="11"/>
  <c r="DH648" i="3"/>
  <c r="DH658" i="3"/>
  <c r="DR660" i="3"/>
  <c r="BR645" i="3"/>
  <c r="AH732" i="3"/>
  <c r="B9" i="11"/>
  <c r="B13" i="11"/>
  <c r="R38" i="4"/>
  <c r="N157" i="25"/>
  <c r="D80" i="11"/>
  <c r="B71" i="11"/>
  <c r="D71" i="11"/>
  <c r="B38" i="4"/>
  <c r="B39" i="11"/>
  <c r="C39" i="11"/>
  <c r="D33" i="11"/>
  <c r="AC881" i="3"/>
  <c r="AC883" i="3"/>
  <c r="C12" i="4"/>
  <c r="B12" i="13"/>
  <c r="C9" i="11"/>
  <c r="B8" i="4"/>
  <c r="Y7" i="15"/>
  <c r="AD7" i="15"/>
  <c r="AI7" i="15"/>
  <c r="BG728" i="3"/>
  <c r="BH722" i="3"/>
  <c r="BI722" i="3"/>
  <c r="G30" i="8"/>
  <c r="CX635" i="3"/>
  <c r="CS635" i="3"/>
  <c r="EC635" i="3"/>
  <c r="EM635" i="3"/>
  <c r="AG1028" i="3"/>
  <c r="EH635" i="3"/>
  <c r="J22" i="25"/>
  <c r="ER635" i="3"/>
  <c r="DR635" i="3"/>
  <c r="DM635" i="3"/>
  <c r="DX635" i="3"/>
  <c r="DH635" i="3"/>
  <c r="DC635" i="3"/>
  <c r="J21" i="25"/>
  <c r="BH727" i="3"/>
  <c r="BI727" i="3"/>
  <c r="BH704" i="3"/>
  <c r="BH717" i="3"/>
  <c r="BI717" i="3"/>
  <c r="BH711" i="3"/>
  <c r="BI711" i="3"/>
  <c r="BH710" i="3"/>
  <c r="BI710" i="3"/>
  <c r="BH706" i="3"/>
  <c r="BH709" i="3"/>
  <c r="BI709" i="3"/>
  <c r="BH708" i="3"/>
  <c r="BH721" i="3"/>
  <c r="BI721" i="3"/>
  <c r="BH723" i="3"/>
  <c r="BI723" i="3"/>
  <c r="BH713" i="3"/>
  <c r="BI713" i="3"/>
  <c r="BH724" i="3"/>
  <c r="BI724" i="3"/>
  <c r="BH705" i="3"/>
  <c r="BH712" i="3"/>
  <c r="BI712" i="3"/>
  <c r="BH707" i="3"/>
  <c r="BI707" i="3"/>
  <c r="BH703" i="3"/>
  <c r="BH719" i="3"/>
  <c r="BI719" i="3"/>
  <c r="BH720" i="3"/>
  <c r="BI720" i="3"/>
  <c r="BH716" i="3"/>
  <c r="BI716" i="3"/>
  <c r="BH726" i="3"/>
  <c r="BI726" i="3"/>
  <c r="BH714" i="3"/>
  <c r="BI714" i="3"/>
  <c r="J23" i="25"/>
  <c r="J26" i="25"/>
  <c r="J19" i="25"/>
  <c r="P29" i="25"/>
  <c r="V29" i="25"/>
  <c r="J24" i="25"/>
  <c r="AB29" i="25"/>
  <c r="AH29" i="25"/>
  <c r="AN29" i="25"/>
  <c r="J27" i="25"/>
  <c r="J20" i="25"/>
  <c r="J25" i="25"/>
  <c r="EW635" i="3"/>
  <c r="BH718" i="3"/>
  <c r="BI718" i="3"/>
  <c r="BH725" i="3"/>
  <c r="BI725" i="3"/>
  <c r="BH715" i="3"/>
  <c r="BI715" i="3"/>
  <c r="CS660" i="3"/>
  <c r="CS645" i="3"/>
  <c r="BI704" i="3"/>
  <c r="BI705" i="3"/>
  <c r="BI706" i="3"/>
  <c r="BI708" i="3"/>
  <c r="E69" i="13"/>
  <c r="E70" i="13"/>
  <c r="CS644" i="3"/>
  <c r="H63" i="13"/>
  <c r="T97" i="4"/>
  <c r="U53" i="7"/>
  <c r="E40" i="13"/>
  <c r="E42" i="13"/>
  <c r="M55" i="7"/>
  <c r="K58" i="7"/>
  <c r="D39" i="11"/>
  <c r="N158" i="25"/>
  <c r="N164" i="25"/>
  <c r="B12" i="4"/>
  <c r="D9" i="11"/>
  <c r="C13" i="11"/>
  <c r="D13" i="11"/>
  <c r="AG1024" i="3"/>
  <c r="CM636" i="3"/>
  <c r="BH728" i="3"/>
  <c r="BI703" i="3"/>
  <c r="J29" i="25"/>
  <c r="AT20" i="25"/>
  <c r="BH696" i="3"/>
  <c r="Z816" i="3"/>
  <c r="BI728" i="3"/>
  <c r="AH753" i="3"/>
  <c r="O55" i="7"/>
  <c r="M58" i="7"/>
  <c r="W53" i="7"/>
  <c r="H97" i="13"/>
  <c r="T105" i="4"/>
  <c r="P420" i="3"/>
  <c r="E11" i="7"/>
  <c r="E37" i="7"/>
  <c r="AT19" i="25"/>
  <c r="AT24" i="25"/>
  <c r="AT29" i="25"/>
  <c r="AU37" i="25"/>
  <c r="AU40" i="25"/>
  <c r="AU45" i="25"/>
  <c r="AU44" i="25"/>
  <c r="AU41" i="25"/>
  <c r="AT28" i="25"/>
  <c r="AU38" i="25"/>
  <c r="AU43" i="25"/>
  <c r="AU46" i="25"/>
  <c r="AU42" i="25"/>
  <c r="AU36" i="25"/>
  <c r="AU39" i="25"/>
  <c r="AU47" i="25"/>
  <c r="AT22" i="25"/>
  <c r="AT21" i="25"/>
  <c r="AT23" i="25"/>
  <c r="AT26" i="25"/>
  <c r="AT27" i="25"/>
  <c r="AT25" i="25"/>
  <c r="T107" i="4"/>
  <c r="H107" i="13"/>
  <c r="H105" i="13"/>
  <c r="O756" i="3"/>
  <c r="Y53" i="7"/>
  <c r="Q55" i="7"/>
  <c r="O58" i="7"/>
  <c r="B1039" i="3"/>
  <c r="AB974" i="3"/>
  <c r="G11" i="7"/>
  <c r="G37" i="7"/>
  <c r="E45" i="7"/>
  <c r="E49" i="7"/>
  <c r="AA53" i="7"/>
  <c r="AZ849" i="3"/>
  <c r="AZ846" i="3"/>
  <c r="AZ854" i="3"/>
  <c r="T24" i="15"/>
  <c r="S55" i="7"/>
  <c r="Q58" i="7"/>
  <c r="AI11" i="15"/>
  <c r="AI23" i="15"/>
  <c r="AI26" i="15"/>
  <c r="AI28" i="15"/>
  <c r="AD11" i="15"/>
  <c r="AD23" i="15"/>
  <c r="AD26" i="15"/>
  <c r="AD28" i="15"/>
  <c r="I11" i="7"/>
  <c r="I37" i="7"/>
  <c r="E60" i="7"/>
  <c r="E47" i="7"/>
  <c r="G49" i="7"/>
  <c r="G45" i="7"/>
  <c r="U55" i="7"/>
  <c r="S58" i="7"/>
  <c r="AC53" i="7"/>
  <c r="G48" i="7"/>
  <c r="G47" i="7"/>
  <c r="G60" i="7"/>
  <c r="E67" i="7"/>
  <c r="E62" i="7"/>
  <c r="E66" i="7"/>
  <c r="I49" i="7"/>
  <c r="I45" i="7"/>
  <c r="K11" i="7"/>
  <c r="K37" i="7"/>
  <c r="AE53" i="7"/>
  <c r="W55" i="7"/>
  <c r="U58" i="7"/>
  <c r="E70" i="7"/>
  <c r="E72" i="7"/>
  <c r="M11" i="7"/>
  <c r="M37" i="7"/>
  <c r="K45" i="7"/>
  <c r="K49" i="7"/>
  <c r="I47" i="7"/>
  <c r="I60" i="7"/>
  <c r="I48" i="7"/>
  <c r="G67" i="7"/>
  <c r="G66" i="7"/>
  <c r="G62" i="7"/>
  <c r="Y55" i="7"/>
  <c r="W58" i="7"/>
  <c r="AG53" i="7"/>
  <c r="G70" i="7"/>
  <c r="G72" i="7"/>
  <c r="M49" i="7"/>
  <c r="M45" i="7"/>
  <c r="I66" i="7"/>
  <c r="I62" i="7"/>
  <c r="I67" i="7"/>
  <c r="K48" i="7"/>
  <c r="K47" i="7"/>
  <c r="K60" i="7"/>
  <c r="O11" i="7"/>
  <c r="O37" i="7"/>
  <c r="AA55" i="7"/>
  <c r="Y58" i="7"/>
  <c r="O45" i="7"/>
  <c r="O49" i="7"/>
  <c r="Q11" i="7"/>
  <c r="Q37" i="7"/>
  <c r="K66" i="7"/>
  <c r="K67" i="7"/>
  <c r="K62" i="7"/>
  <c r="I70" i="7"/>
  <c r="I72" i="7"/>
  <c r="M48" i="7"/>
  <c r="M47" i="7"/>
  <c r="M60" i="7"/>
  <c r="AC55" i="7"/>
  <c r="AA58" i="7"/>
  <c r="M62" i="7"/>
  <c r="M66" i="7"/>
  <c r="M67" i="7"/>
  <c r="K70" i="7"/>
  <c r="K72" i="7"/>
  <c r="Q45" i="7"/>
  <c r="Q49" i="7"/>
  <c r="S11" i="7"/>
  <c r="S37" i="7"/>
  <c r="O60" i="7"/>
  <c r="O47" i="7"/>
  <c r="O48" i="7"/>
  <c r="AE55" i="7"/>
  <c r="AC58" i="7"/>
  <c r="M70" i="7"/>
  <c r="M72" i="7"/>
  <c r="S45" i="7"/>
  <c r="S49" i="7"/>
  <c r="O62" i="7"/>
  <c r="O67" i="7"/>
  <c r="O66" i="7"/>
  <c r="U11" i="7"/>
  <c r="U37" i="7"/>
  <c r="Q47" i="7"/>
  <c r="Q48" i="7"/>
  <c r="Q60" i="7"/>
  <c r="AG55" i="7"/>
  <c r="AG58" i="7"/>
  <c r="AE58" i="7"/>
  <c r="O70" i="7"/>
  <c r="O72" i="7"/>
  <c r="U45" i="7"/>
  <c r="U49" i="7"/>
  <c r="Q67" i="7"/>
  <c r="Q62" i="7"/>
  <c r="Q66" i="7"/>
  <c r="W11" i="7"/>
  <c r="W37" i="7"/>
  <c r="S47" i="7"/>
  <c r="S60" i="7"/>
  <c r="S48" i="7"/>
  <c r="W49" i="7"/>
  <c r="W45" i="7"/>
  <c r="S67" i="7"/>
  <c r="S66" i="7"/>
  <c r="S62" i="7"/>
  <c r="Y11" i="7"/>
  <c r="Y37" i="7"/>
  <c r="Q70" i="7"/>
  <c r="Q72" i="7"/>
  <c r="U47" i="7"/>
  <c r="U48" i="7"/>
  <c r="U60" i="7"/>
  <c r="S70" i="7"/>
  <c r="S72" i="7"/>
  <c r="U67" i="7"/>
  <c r="U66" i="7"/>
  <c r="U62" i="7"/>
  <c r="AA11" i="7"/>
  <c r="AA37" i="7"/>
  <c r="Y45" i="7"/>
  <c r="Y49" i="7"/>
  <c r="W60" i="7"/>
  <c r="W48" i="7"/>
  <c r="W47" i="7"/>
  <c r="W62" i="7"/>
  <c r="W67" i="7"/>
  <c r="W66" i="7"/>
  <c r="Y60" i="7"/>
  <c r="Y48" i="7"/>
  <c r="Y47" i="7"/>
  <c r="AA45" i="7"/>
  <c r="AA49" i="7"/>
  <c r="AC11" i="7"/>
  <c r="AC37" i="7"/>
  <c r="U70" i="7"/>
  <c r="U72" i="7"/>
  <c r="AC45" i="7"/>
  <c r="AC49" i="7"/>
  <c r="Y67" i="7"/>
  <c r="Y66" i="7"/>
  <c r="Y62" i="7"/>
  <c r="AG11" i="7"/>
  <c r="AG37" i="7"/>
  <c r="AG49" i="7"/>
  <c r="AE11" i="7"/>
  <c r="AE37" i="7"/>
  <c r="W70" i="7"/>
  <c r="W72" i="7"/>
  <c r="AA48" i="7"/>
  <c r="AA60" i="7"/>
  <c r="AA47" i="7"/>
  <c r="Y70" i="7"/>
  <c r="Y72" i="7"/>
  <c r="AG45" i="7"/>
  <c r="AG47" i="7"/>
  <c r="AE45" i="7"/>
  <c r="AE49" i="7"/>
  <c r="AA66" i="7"/>
  <c r="AA62" i="7"/>
  <c r="AA67" i="7"/>
  <c r="AC48" i="7"/>
  <c r="AC60" i="7"/>
  <c r="AC47" i="7"/>
  <c r="AG60" i="7"/>
  <c r="AG62" i="7"/>
  <c r="AG48" i="7"/>
  <c r="AC67" i="7"/>
  <c r="AC62" i="7"/>
  <c r="AC66" i="7"/>
  <c r="AA70" i="7"/>
  <c r="AA72" i="7"/>
  <c r="AE60" i="7"/>
  <c r="AE47" i="7"/>
  <c r="AE48" i="7"/>
  <c r="AG67" i="7"/>
  <c r="AG66" i="7"/>
  <c r="AC70" i="7"/>
  <c r="AC72" i="7"/>
  <c r="AE67" i="7"/>
  <c r="AE62" i="7"/>
  <c r="AE66" i="7"/>
  <c r="AG70" i="7"/>
  <c r="AG72" i="7"/>
  <c r="AE70" i="7"/>
  <c r="AE72" i="7"/>
  <c r="G27" i="29"/>
  <c r="G29" i="29"/>
  <c r="G31" i="29"/>
  <c r="E9" i="29"/>
  <c r="G64" i="29"/>
  <c r="G81" i="29"/>
  <c r="G69" i="29"/>
  <c r="G65" i="29"/>
  <c r="G83" i="29"/>
  <c r="E13" i="29"/>
  <c r="G95" i="29"/>
  <c r="G96" i="29"/>
  <c r="G104" i="29"/>
  <c r="G106" i="29"/>
  <c r="E14" i="29"/>
  <c r="E15" i="29"/>
  <c r="E16" i="29"/>
  <c r="H3" i="29"/>
  <c r="S45" i="4"/>
  <c r="C46" i="4"/>
  <c r="B46" i="4"/>
  <c r="E46" i="4"/>
  <c r="R46" i="4"/>
  <c r="S46" i="4"/>
  <c r="C53" i="4"/>
  <c r="B53" i="4"/>
  <c r="AM566" i="3"/>
  <c r="AO639" i="3"/>
  <c r="H53" i="4"/>
  <c r="E53" i="4"/>
  <c r="R53" i="4"/>
  <c r="S53" i="4"/>
  <c r="S54" i="4"/>
  <c r="S63" i="4"/>
  <c r="C80" i="4"/>
  <c r="B80" i="4"/>
  <c r="E80" i="4"/>
  <c r="R80" i="4"/>
  <c r="S80" i="4"/>
  <c r="S81" i="4"/>
  <c r="S97" i="4"/>
  <c r="C99" i="4"/>
  <c r="B99" i="4"/>
  <c r="E99" i="4"/>
  <c r="R99" i="4"/>
  <c r="S99" i="4"/>
  <c r="S104" i="4"/>
  <c r="S105" i="4"/>
  <c r="S107" i="4"/>
  <c r="E107" i="13"/>
  <c r="T11" i="15"/>
  <c r="T23" i="15"/>
  <c r="Y11" i="15"/>
  <c r="Y23" i="15"/>
  <c r="T26" i="15"/>
  <c r="T28" i="15"/>
  <c r="Y26" i="15"/>
  <c r="Y28" i="15"/>
  <c r="Y38" i="15"/>
  <c r="Y40" i="15"/>
  <c r="AD38" i="15"/>
  <c r="AD40" i="15"/>
  <c r="Y41" i="15"/>
  <c r="C45" i="4"/>
  <c r="C49" i="4"/>
  <c r="C54" i="4"/>
  <c r="C63" i="4"/>
  <c r="C75" i="4"/>
  <c r="C77" i="4"/>
  <c r="C81" i="4"/>
  <c r="C83" i="4"/>
  <c r="C96" i="4"/>
  <c r="C97" i="4"/>
  <c r="C104" i="4"/>
  <c r="C105" i="4"/>
  <c r="B105" i="4"/>
  <c r="AB47" i="15"/>
  <c r="AO649" i="3"/>
  <c r="AB48" i="15"/>
  <c r="AB49" i="15"/>
  <c r="AO650" i="3"/>
  <c r="AB50" i="15"/>
  <c r="AB54" i="15"/>
  <c r="AB55" i="15"/>
  <c r="AB56" i="15"/>
  <c r="M26" i="3"/>
  <c r="Y64" i="15"/>
  <c r="Y68" i="15"/>
  <c r="AB57" i="15"/>
  <c r="AB59" i="15"/>
  <c r="AB76" i="15"/>
  <c r="AB77" i="15"/>
  <c r="M27" i="3"/>
  <c r="P203" i="3"/>
  <c r="P204" i="3"/>
  <c r="AC453" i="3"/>
  <c r="AC454" i="3"/>
  <c r="AC455" i="3"/>
  <c r="AM564" i="3"/>
  <c r="AM565" i="3"/>
  <c r="AM567" i="3"/>
  <c r="AM569" i="3"/>
  <c r="AM576" i="3"/>
  <c r="AO651" i="3"/>
  <c r="AC884" i="3"/>
  <c r="AA915" i="3"/>
  <c r="T29" i="15"/>
  <c r="AB78" i="15"/>
  <c r="AB80" i="15"/>
  <c r="J81" i="15"/>
  <c r="N154" i="25"/>
  <c r="N155" i="25"/>
  <c r="N165" i="25"/>
  <c r="I9" i="29"/>
  <c r="I10" i="29"/>
  <c r="I11" i="29"/>
  <c r="I16" i="29"/>
  <c r="H4" i="29"/>
  <c r="H5" i="29"/>
  <c r="AB255" i="28"/>
  <c r="AG257" i="28"/>
  <c r="AG258" i="28"/>
  <c r="AG259" i="28"/>
  <c r="AK262" i="28"/>
  <c r="AF540" i="28"/>
  <c r="AF542" i="28"/>
  <c r="AK548" i="28"/>
  <c r="T797" i="28"/>
  <c r="AF797" i="28"/>
  <c r="T803" i="28"/>
  <c r="AF803" i="28"/>
  <c r="AF806" i="28"/>
  <c r="B46" i="11"/>
  <c r="C46" i="11"/>
  <c r="D46" i="11"/>
  <c r="B47" i="11"/>
  <c r="C47" i="11"/>
  <c r="D47" i="11"/>
  <c r="B50" i="11"/>
  <c r="C50" i="11"/>
  <c r="D50" i="11"/>
  <c r="B54" i="11"/>
  <c r="C54" i="11"/>
  <c r="D54" i="11"/>
  <c r="B55" i="11"/>
  <c r="C55" i="11"/>
  <c r="D55" i="11"/>
  <c r="B64" i="11"/>
  <c r="C64" i="11"/>
  <c r="D64" i="11"/>
  <c r="B76" i="11"/>
  <c r="C76" i="11"/>
  <c r="D76" i="11"/>
  <c r="B78" i="11"/>
  <c r="C78" i="11"/>
  <c r="D78" i="11"/>
  <c r="B81" i="11"/>
  <c r="C81" i="11"/>
  <c r="D81" i="11"/>
  <c r="B82" i="11"/>
  <c r="C82" i="11"/>
  <c r="D82" i="11"/>
  <c r="B84" i="11"/>
  <c r="C84" i="11"/>
  <c r="D84" i="11"/>
  <c r="B97" i="11"/>
  <c r="C97" i="11"/>
  <c r="D97" i="11"/>
  <c r="B98" i="11"/>
  <c r="C98" i="11"/>
  <c r="D98" i="11"/>
  <c r="B100" i="11"/>
  <c r="C100" i="11"/>
  <c r="D100" i="11"/>
  <c r="B105" i="11"/>
  <c r="C105" i="11"/>
  <c r="D105" i="11"/>
  <c r="B106" i="11"/>
  <c r="C106" i="11"/>
  <c r="D106" i="11"/>
  <c r="B45" i="13"/>
  <c r="E45" i="13"/>
  <c r="B46" i="13"/>
  <c r="E46" i="13"/>
  <c r="B49" i="13"/>
  <c r="B53" i="13"/>
  <c r="E53" i="13"/>
  <c r="B54" i="13"/>
  <c r="E54" i="13"/>
  <c r="B63" i="13"/>
  <c r="E63" i="13"/>
  <c r="B75" i="13"/>
  <c r="B77" i="13"/>
  <c r="B80" i="13"/>
  <c r="E80" i="13"/>
  <c r="B81" i="13"/>
  <c r="E81" i="13"/>
  <c r="B83" i="13"/>
  <c r="B96" i="13"/>
  <c r="B97" i="13"/>
  <c r="E97" i="13"/>
  <c r="B99" i="13"/>
  <c r="E99" i="13"/>
  <c r="B104" i="13"/>
  <c r="E104" i="13"/>
  <c r="B105" i="13"/>
  <c r="E105" i="13"/>
  <c r="B45" i="4"/>
  <c r="E45" i="4"/>
  <c r="R45" i="4"/>
  <c r="B49" i="4"/>
  <c r="E49" i="4"/>
  <c r="R49" i="4"/>
  <c r="B54" i="4"/>
  <c r="E54" i="4"/>
  <c r="H54" i="4"/>
  <c r="R54" i="4"/>
  <c r="B63" i="4"/>
  <c r="E63" i="4"/>
  <c r="H63" i="4"/>
  <c r="R63" i="4"/>
  <c r="B75" i="4"/>
  <c r="E75" i="4"/>
  <c r="R75" i="4"/>
  <c r="B77" i="4"/>
  <c r="E77" i="4"/>
  <c r="R77" i="4"/>
  <c r="B81" i="4"/>
  <c r="E81" i="4"/>
  <c r="R81" i="4"/>
  <c r="B83" i="4"/>
  <c r="E83" i="4"/>
  <c r="R83" i="4"/>
  <c r="B96" i="4"/>
  <c r="E96" i="4"/>
  <c r="R96" i="4"/>
  <c r="B97" i="4"/>
  <c r="E97" i="4"/>
  <c r="H97" i="4"/>
  <c r="R97" i="4"/>
  <c r="B104" i="4"/>
  <c r="E104" i="4"/>
  <c r="R104" i="4"/>
  <c r="E105" i="4"/>
  <c r="H105" i="4"/>
  <c r="R105" i="4"/>
  <c r="E108" i="4"/>
  <c r="H1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6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6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6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B00-000001000000}">
      <text>
        <r>
          <rPr>
            <sz val="9"/>
            <color indexed="81"/>
            <rFont val="Tahoma"/>
            <family val="2"/>
          </rPr>
          <t>INSERT PERCENTAGE SHARE OF RESIDUAL RECEIPTS CASH FLOW</t>
        </r>
      </text>
    </comment>
    <comment ref="C65"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<sst xmlns="http://schemas.openxmlformats.org/spreadsheetml/2006/main" count="5175" uniqueCount="2753">
  <si>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</si>
  <si>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</si>
  <si>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</si>
  <si>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</si>
  <si>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</si>
  <si>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</si>
  <si>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</si>
  <si>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</si>
  <si>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</si>
  <si>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</si>
  <si>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</si>
  <si>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</si>
  <si>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</si>
  <si>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</si>
  <si>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</si>
  <si>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</si>
  <si>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</si>
  <si>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</si>
  <si>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</si>
  <si>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</si>
  <si>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</si>
  <si>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</si>
  <si>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</si>
  <si>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</si>
  <si>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</si>
  <si>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</si>
  <si>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</si>
  <si>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</si>
  <si>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</si>
  <si>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</si>
  <si>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</si>
  <si>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</si>
  <si>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</si>
  <si>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</si>
  <si>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</si>
  <si>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</si>
  <si>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</si>
  <si>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</si>
  <si>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</si>
  <si>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</si>
  <si>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</si>
  <si>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</si>
  <si>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</si>
  <si>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</si>
  <si>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</si>
  <si>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</si>
  <si>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</si>
  <si>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</si>
  <si>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</si>
  <si>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</si>
  <si>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</si>
  <si>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</si>
  <si>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</si>
  <si>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</si>
  <si>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</si>
  <si>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</si>
  <si>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</si>
  <si>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</si>
  <si>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</si>
  <si>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</si>
  <si>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</si>
  <si>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</si>
  <si>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</si>
  <si>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</si>
  <si>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</si>
  <si>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</si>
  <si>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</si>
  <si>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</si>
  <si>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</si>
  <si>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</si>
  <si>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</si>
  <si>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</si>
  <si>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</si>
  <si>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</si>
  <si>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</si>
  <si>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</si>
  <si>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</si>
  <si>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</si>
  <si>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</si>
  <si>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</si>
  <si>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</si>
  <si>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</si>
  <si>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</si>
  <si>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</si>
  <si>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</si>
  <si>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</si>
  <si>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</si>
  <si>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</si>
  <si>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</si>
  <si>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</si>
  <si>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</si>
  <si>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</si>
  <si>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</si>
  <si>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</si>
  <si>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</si>
  <si>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</si>
  <si>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</si>
  <si>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</si>
  <si>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</si>
  <si>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</si>
  <si>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</si>
  <si>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</si>
  <si>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</si>
  <si>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</si>
  <si>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</si>
  <si>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</si>
  <si>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</si>
  <si>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</si>
  <si>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</si>
  <si>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</si>
  <si>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</si>
  <si>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</si>
  <si>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</si>
  <si>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</si>
  <si>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</si>
  <si>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</si>
  <si>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</si>
  <si>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</si>
  <si>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</si>
  <si>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</si>
  <si>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</si>
  <si>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</si>
  <si>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</si>
  <si>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</si>
  <si>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</si>
  <si>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</si>
  <si>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</si>
  <si>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</si>
  <si>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</si>
  <si>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</si>
  <si>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</si>
  <si>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</si>
  <si>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</si>
  <si>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</si>
  <si>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</si>
  <si>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</si>
  <si>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</si>
  <si>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</si>
  <si>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</si>
  <si>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</si>
  <si>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</si>
  <si>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</si>
  <si>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</si>
  <si>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</si>
  <si>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</si>
  <si>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</si>
  <si>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</si>
  <si>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</si>
  <si>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</si>
  <si>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</si>
  <si>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</si>
  <si>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</si>
  <si>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</si>
  <si>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</si>
  <si>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</si>
  <si>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</si>
  <si>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</si>
  <si>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</si>
  <si>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</si>
  <si>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</si>
  <si>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</si>
  <si>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</si>
  <si>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</si>
  <si>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</si>
  <si>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</si>
  <si>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</si>
  <si>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</si>
  <si>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</si>
  <si>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</si>
  <si>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</si>
  <si>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</si>
  <si>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</si>
  <si>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</si>
  <si>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</si>
  <si>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</si>
  <si>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</si>
  <si>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</si>
  <si>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</si>
  <si>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</si>
  <si>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</si>
  <si>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</si>
  <si>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</si>
  <si>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</si>
  <si>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</si>
  <si>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</si>
  <si>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</si>
  <si>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</si>
  <si>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</si>
  <si>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</si>
  <si>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</si>
  <si>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</si>
  <si>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</si>
  <si>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</si>
  <si>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</si>
  <si>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</si>
  <si>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</si>
  <si>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</si>
  <si>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</si>
  <si>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</si>
  <si>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</si>
  <si>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</si>
  <si>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</si>
  <si>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</si>
  <si>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</si>
  <si>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</si>
  <si>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</si>
  <si>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</si>
  <si>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</si>
  <si>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</si>
  <si>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</si>
  <si>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</si>
  <si>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</si>
  <si>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</si>
  <si>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</si>
  <si>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</si>
  <si>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</si>
  <si>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</si>
  <si>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</si>
  <si>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</si>
  <si>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</si>
  <si>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</si>
  <si>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</si>
  <si>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</si>
  <si>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</si>
  <si>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</si>
  <si>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</si>
  <si>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</si>
  <si>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</si>
  <si>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</si>
  <si>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</si>
  <si>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</si>
  <si>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</si>
  <si>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</si>
  <si>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</si>
  <si>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</si>
  <si>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</si>
  <si>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</si>
  <si>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</si>
  <si>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</si>
  <si>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</si>
  <si>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</si>
  <si>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</si>
  <si>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</si>
  <si>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</si>
  <si>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</si>
  <si>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</si>
  <si>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</si>
  <si>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</si>
  <si>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</si>
  <si>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</si>
  <si>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</si>
  <si>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</si>
  <si>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</si>
  <si>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</si>
  <si>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</si>
  <si>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</si>
  <si>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</si>
  <si>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</si>
  <si>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</si>
  <si>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</si>
  <si>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</si>
  <si>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</si>
  <si>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</si>
  <si>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</si>
  <si>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</si>
  <si>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</si>
  <si>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</si>
  <si>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</si>
  <si>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</si>
  <si>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</si>
  <si>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</si>
  <si>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</si>
  <si>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</si>
  <si>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</si>
  <si>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</si>
  <si>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</si>
  <si>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</si>
  <si>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</si>
  <si>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</si>
  <si>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</si>
  <si>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</si>
  <si>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</si>
  <si>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</si>
  <si>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</si>
  <si>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</si>
  <si>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</si>
  <si>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</si>
  <si>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</si>
  <si>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</si>
  <si>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</si>
  <si>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</si>
  <si>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</si>
  <si>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</si>
  <si>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</si>
  <si>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</si>
  <si>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</si>
  <si>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</si>
  <si>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</si>
  <si>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</si>
  <si>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</si>
  <si>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</si>
  <si>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</si>
  <si>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</si>
  <si>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</si>
  <si>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</si>
  <si>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</si>
  <si>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</si>
  <si>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</si>
  <si>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</si>
  <si>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</si>
  <si>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</si>
  <si>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</si>
  <si>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</si>
  <si>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</si>
  <si>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</si>
  <si>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</si>
  <si>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</si>
  <si>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</si>
  <si>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</si>
  <si>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</si>
  <si>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</si>
  <si>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</si>
  <si>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</si>
  <si>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</si>
  <si>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</si>
  <si>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</si>
  <si>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</si>
  <si>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</si>
  <si>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</si>
  <si>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</si>
  <si>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</si>
  <si>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</si>
  <si>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</si>
  <si>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</si>
  <si>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</si>
  <si>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</si>
  <si>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</si>
  <si>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</si>
  <si>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</si>
  <si>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</si>
  <si>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</si>
  <si>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</si>
  <si>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</si>
  <si>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</si>
  <si>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</si>
  <si>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</si>
  <si>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</si>
  <si>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</si>
  <si>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</si>
  <si>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</si>
  <si>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</si>
  <si>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</si>
  <si>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</si>
  <si>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</si>
  <si>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</si>
  <si>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</si>
  <si>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</si>
  <si>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</si>
  <si>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</si>
  <si>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</si>
  <si>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</si>
  <si>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</si>
  <si>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</si>
  <si>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</si>
  <si>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</si>
  <si>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</si>
  <si>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</si>
  <si>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</si>
  <si>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</si>
  <si>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</si>
  <si>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</si>
  <si>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</si>
  <si>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</si>
  <si>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</si>
  <si>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</si>
  <si>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</si>
  <si>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</si>
  <si>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</si>
  <si>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</si>
  <si>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</si>
  <si>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</si>
  <si>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</si>
  <si>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</si>
  <si>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</si>
  <si>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</si>
  <si>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</si>
  <si>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</si>
  <si>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</si>
  <si>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</si>
  <si>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</si>
  <si>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</si>
  <si>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</si>
  <si>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</si>
  <si>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</si>
  <si>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</si>
  <si>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</si>
  <si>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</si>
  <si>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</si>
  <si>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</si>
  <si>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</si>
  <si>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</si>
  <si>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</si>
  <si>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</si>
  <si>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</si>
  <si>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</si>
  <si>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</si>
  <si>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</si>
  <si>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</si>
  <si>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</si>
  <si>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</si>
  <si>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</si>
  <si>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</si>
  <si>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</si>
  <si>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</si>
  <si>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</si>
  <si>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</si>
  <si>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</si>
  <si>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</si>
  <si>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</si>
  <si>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</si>
  <si>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</si>
  <si>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</si>
  <si>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</si>
  <si>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</si>
  <si>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</si>
  <si>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</si>
  <si>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</si>
  <si>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</si>
  <si>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</si>
  <si>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</si>
  <si>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</si>
  <si>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</si>
  <si>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</si>
  <si>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</si>
  <si>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</si>
  <si>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</si>
  <si>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</si>
  <si>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</si>
  <si>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</si>
  <si>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</si>
  <si>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</si>
  <si>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</si>
  <si>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</si>
  <si>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</si>
  <si>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</si>
  <si>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</si>
  <si>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</si>
  <si>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</si>
  <si>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</si>
  <si>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</si>
  <si>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</si>
  <si>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</si>
  <si>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</si>
  <si>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</si>
  <si>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</si>
  <si>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</si>
  <si>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</si>
  <si>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</si>
  <si>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</si>
  <si>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</si>
  <si>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</si>
  <si>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</si>
  <si>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</si>
  <si>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</si>
  <si>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</si>
  <si>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</si>
  <si>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</si>
  <si>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</si>
  <si>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</si>
  <si>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</si>
  <si>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</si>
  <si>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</si>
  <si>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</si>
  <si>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</si>
  <si>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</si>
  <si>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</si>
  <si>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</si>
  <si>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</si>
  <si>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</si>
  <si>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</si>
  <si>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</si>
  <si>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</si>
  <si>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</si>
  <si>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</si>
  <si>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</si>
  <si>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</si>
  <si>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</si>
  <si>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</si>
  <si>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</si>
  <si>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</si>
  <si>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</si>
  <si>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</si>
  <si>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</si>
  <si>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</si>
  <si>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</si>
  <si>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</si>
  <si>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</si>
  <si>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</si>
  <si>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</si>
  <si>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</si>
  <si>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</si>
  <si>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</si>
  <si>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</si>
  <si>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</si>
  <si>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</si>
  <si>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</si>
  <si>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</si>
  <si>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</si>
  <si>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</si>
  <si>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</si>
  <si>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</si>
  <si>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</si>
  <si>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</si>
  <si>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</si>
  <si>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</si>
  <si>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</si>
  <si>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</si>
  <si>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</si>
  <si>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</si>
  <si>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</si>
  <si>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</si>
  <si>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</si>
  <si>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</si>
  <si>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</si>
  <si>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</si>
  <si>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</si>
  <si>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</si>
  <si>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</si>
  <si>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</si>
  <si>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</si>
  <si>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</si>
  <si>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</si>
  <si>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</si>
  <si>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</si>
  <si>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</si>
  <si>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</si>
  <si>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</si>
  <si>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</si>
  <si>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</si>
  <si>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</si>
  <si>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</si>
  <si>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</si>
  <si>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</si>
  <si>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</si>
  <si>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</si>
  <si>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</si>
  <si>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</si>
  <si>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</si>
  <si>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</si>
  <si>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</si>
  <si>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</si>
  <si>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</si>
  <si>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</si>
  <si>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</si>
  <si>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</si>
  <si>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</si>
  <si>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</si>
  <si>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</si>
  <si>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</si>
  <si>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</si>
  <si>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</si>
  <si>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</si>
  <si>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</si>
  <si>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</si>
  <si>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</si>
  <si>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</si>
  <si>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</si>
  <si>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</si>
  <si>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</si>
  <si>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</si>
  <si>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</si>
  <si>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</si>
  <si>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</si>
  <si>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</si>
  <si>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</si>
  <si>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</si>
  <si>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</si>
  <si>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</si>
  <si>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</si>
  <si>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</si>
  <si>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</si>
  <si>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</si>
  <si>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</si>
  <si>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</si>
  <si>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</si>
  <si>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</si>
  <si>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</si>
  <si>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</si>
  <si>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</si>
  <si>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</si>
  <si>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</si>
  <si>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</si>
  <si>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</si>
  <si>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</si>
  <si>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</si>
  <si>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</si>
  <si>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</si>
  <si>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</si>
  <si>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</si>
  <si>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</si>
  <si>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</si>
  <si>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</si>
  <si>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</si>
  <si>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</si>
  <si>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</si>
  <si>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</si>
  <si>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</si>
  <si>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</si>
  <si>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</si>
  <si>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</si>
  <si>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</si>
  <si>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</si>
  <si>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</si>
  <si>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</si>
  <si>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</si>
  <si>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</si>
  <si>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</si>
  <si>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</si>
  <si>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</si>
  <si>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</si>
  <si>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</si>
  <si>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</si>
  <si>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</si>
  <si>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</si>
  <si>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</si>
  <si>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</si>
  <si>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</si>
  <si>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</si>
  <si>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</si>
  <si>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</si>
  <si>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</si>
  <si>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</si>
  <si>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</si>
  <si>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</si>
  <si>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</si>
  <si>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</si>
  <si>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</si>
  <si>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</si>
  <si>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</si>
  <si>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</si>
  <si>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</si>
  <si>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</si>
  <si>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</si>
  <si>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</si>
  <si>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</si>
  <si>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</si>
  <si>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</si>
  <si>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</si>
  <si>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</si>
  <si>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</si>
  <si>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</si>
  <si>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</si>
  <si>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</si>
  <si>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</si>
  <si>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</si>
  <si>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</si>
  <si>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</si>
  <si>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</si>
  <si>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</si>
  <si>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</si>
  <si>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</si>
  <si>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</si>
  <si>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</si>
  <si>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</si>
  <si>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</si>
  <si>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</si>
  <si>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</si>
  <si>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</si>
  <si>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</si>
  <si>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</si>
  <si>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</si>
  <si>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</si>
  <si>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</si>
  <si>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</si>
  <si>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</si>
  <si>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</si>
  <si>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</si>
  <si>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</si>
  <si>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</si>
  <si>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</si>
  <si>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</si>
  <si>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</si>
  <si>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</si>
  <si>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</si>
  <si>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</si>
  <si>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</si>
  <si>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</si>
  <si>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</si>
  <si>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</si>
  <si>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</si>
  <si>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</si>
  <si>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</si>
  <si>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</si>
  <si>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</si>
  <si>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</si>
  <si>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</si>
  <si>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</si>
  <si>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</si>
  <si>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</si>
  <si>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</si>
  <si>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</si>
  <si>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</si>
  <si>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</si>
  <si>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</si>
  <si>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</si>
  <si>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</si>
  <si>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</si>
  <si>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</si>
  <si>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</si>
  <si>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</si>
  <si>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</si>
  <si>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</si>
  <si>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</si>
  <si>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</si>
  <si>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</si>
  <si>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</si>
  <si>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</si>
  <si>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</si>
  <si>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</si>
  <si>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</si>
  <si>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</si>
  <si>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</si>
  <si>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</si>
  <si>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</si>
  <si>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</si>
  <si>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</si>
  <si>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</si>
  <si>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</si>
  <si>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</si>
  <si>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</si>
  <si>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</si>
  <si>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</si>
  <si>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</si>
  <si>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</si>
  <si>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</si>
  <si>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</si>
  <si>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</si>
  <si>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</si>
  <si>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</si>
  <si>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</si>
  <si>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</si>
  <si>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</si>
  <si>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</si>
  <si>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</si>
  <si>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</si>
  <si>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</si>
  <si>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</si>
  <si>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</si>
  <si>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</si>
  <si>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</si>
  <si>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</si>
  <si>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</si>
  <si>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</si>
  <si>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</si>
  <si>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</si>
  <si>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</si>
  <si>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</si>
  <si>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</si>
  <si>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</si>
  <si>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</si>
  <si>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</si>
  <si>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</si>
  <si>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</si>
  <si>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</si>
  <si>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</si>
  <si>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</si>
  <si>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</si>
  <si>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</si>
  <si>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</si>
  <si>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</si>
  <si>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</si>
  <si>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</si>
  <si>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</si>
  <si>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</si>
  <si>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</si>
  <si>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</si>
  <si>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</si>
  <si>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</si>
  <si>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</si>
  <si>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</si>
  <si>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</si>
  <si>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</si>
  <si>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</si>
  <si>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</si>
  <si>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</si>
  <si>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</si>
  <si>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</si>
  <si>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</si>
  <si>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</si>
  <si>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</si>
  <si>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</si>
  <si>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</si>
  <si>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</si>
  <si>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</si>
  <si>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</si>
  <si>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</si>
  <si>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</si>
  <si>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</si>
  <si>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</si>
  <si>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</si>
  <si>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</si>
  <si>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</si>
  <si>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</si>
  <si>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</si>
  <si>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</si>
  <si>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</si>
  <si>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</si>
  <si>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</si>
  <si>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</si>
  <si>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</si>
  <si>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</si>
  <si>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</si>
  <si>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</si>
  <si>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</si>
  <si>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</si>
  <si>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</si>
  <si>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</si>
  <si>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</si>
  <si>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</si>
  <si>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</si>
  <si>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</si>
  <si>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</si>
  <si>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</si>
  <si>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</si>
  <si>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</si>
  <si>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</si>
  <si>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</si>
  <si>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</si>
  <si>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</si>
  <si>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</si>
  <si>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</si>
  <si>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</si>
  <si>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</si>
  <si>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</si>
  <si>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</si>
  <si>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</si>
  <si>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</si>
  <si>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</si>
  <si>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</si>
  <si>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</si>
  <si>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</si>
  <si>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</si>
  <si>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</si>
  <si>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</si>
  <si>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</si>
  <si>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</si>
  <si>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</si>
  <si>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</si>
  <si>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</si>
  <si>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</si>
  <si>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</si>
  <si>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</si>
  <si>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</si>
  <si>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</si>
  <si>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</si>
  <si>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</si>
  <si>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</si>
  <si>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</si>
  <si>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</si>
  <si>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</si>
  <si>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</si>
  <si>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</si>
  <si>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</si>
  <si>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</si>
  <si>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</si>
  <si>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</si>
  <si>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</si>
  <si>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</si>
  <si>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</si>
  <si>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</si>
  <si>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</si>
  <si>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</si>
  <si>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</si>
  <si>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</si>
  <si>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</si>
  <si>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</si>
  <si>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</si>
  <si>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</si>
  <si>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</si>
  <si>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</si>
  <si>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</si>
  <si>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</si>
  <si>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</si>
  <si>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</si>
  <si>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</si>
  <si>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</si>
  <si>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</si>
  <si>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</si>
  <si>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</si>
  <si>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</si>
  <si>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</si>
  <si>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</si>
  <si>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</si>
  <si>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</si>
  <si>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</si>
  <si>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</si>
  <si>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</si>
  <si>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</si>
  <si>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</si>
  <si>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</si>
  <si>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</si>
  <si>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</si>
  <si>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</si>
  <si>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</si>
  <si>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</si>
  <si>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</si>
  <si>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</si>
  <si>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</si>
  <si>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</si>
  <si>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</si>
  <si>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</si>
  <si>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</si>
  <si>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</si>
  <si>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</si>
  <si>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</si>
  <si>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</si>
  <si>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</si>
  <si>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</si>
  <si>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</si>
  <si>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</si>
  <si>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</si>
  <si>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</si>
  <si>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</si>
  <si>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</si>
  <si>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</si>
  <si>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</si>
  <si>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</si>
  <si>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</si>
  <si>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</si>
  <si>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</si>
  <si>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</si>
  <si>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</si>
  <si>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</si>
  <si>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</si>
  <si>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</si>
  <si>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</si>
  <si>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</si>
  <si>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</si>
  <si>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</si>
  <si>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</si>
  <si>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</si>
  <si>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</si>
  <si>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</si>
  <si>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</si>
  <si>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</si>
  <si>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</si>
  <si>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</si>
  <si>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</si>
  <si>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</si>
  <si>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</si>
  <si>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</si>
  <si>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</si>
  <si>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</si>
  <si>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</si>
  <si>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</si>
  <si>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</si>
  <si>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</si>
  <si>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</si>
  <si>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</si>
  <si>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</si>
  <si>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</si>
  <si>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</si>
  <si>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</si>
  <si>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</si>
  <si>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</si>
  <si>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</si>
  <si>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</si>
  <si>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</si>
  <si>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</si>
  <si>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</si>
  <si>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</si>
  <si>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</si>
  <si>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</si>
  <si>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</si>
  <si>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</si>
  <si>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</si>
  <si>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</si>
  <si>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</si>
  <si>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</si>
  <si>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</si>
  <si>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</si>
  <si>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</si>
  <si>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</si>
  <si>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</si>
  <si>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</si>
  <si>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</si>
  <si>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</si>
  <si>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</si>
  <si>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</si>
  <si>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</si>
  <si>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</si>
  <si>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</si>
  <si>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</si>
  <si>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</si>
  <si>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</si>
  <si>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</si>
  <si>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</si>
  <si>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</si>
  <si>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</si>
  <si>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</si>
  <si>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</si>
  <si>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</si>
  <si>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</si>
  <si>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</si>
  <si>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</si>
  <si>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</si>
  <si>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</si>
  <si>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</si>
  <si>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</si>
  <si>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</si>
  <si>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</si>
  <si>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</si>
  <si>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</si>
  <si>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</si>
  <si>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</si>
  <si>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</si>
  <si>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</si>
  <si>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</si>
  <si>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</si>
  <si>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</si>
  <si>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</si>
  <si>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</si>
  <si>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</si>
  <si>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</si>
  <si>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</si>
  <si>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</si>
  <si>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</si>
  <si>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</si>
  <si>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</si>
  <si>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</si>
  <si>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</si>
  <si>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</si>
  <si>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</si>
  <si>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</si>
  <si>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</si>
  <si>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</si>
  <si>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</si>
  <si>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</si>
  <si>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</si>
  <si>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</si>
  <si>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</si>
  <si>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</si>
  <si>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</si>
  <si>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</si>
  <si>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</si>
  <si>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</si>
  <si>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</si>
  <si>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</si>
  <si>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</si>
  <si>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</si>
  <si>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</si>
  <si>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</si>
  <si>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</si>
  <si>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</si>
  <si>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</si>
  <si>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</si>
  <si>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</si>
  <si>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</si>
  <si>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</si>
  <si>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</si>
  <si>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</si>
  <si>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</si>
  <si>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</si>
  <si>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</si>
  <si>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</si>
  <si>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</si>
  <si>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</si>
  <si>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</si>
  <si>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</si>
  <si>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</si>
  <si>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</si>
  <si>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</si>
  <si>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</si>
  <si>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</si>
  <si>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</si>
  <si>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</si>
  <si>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</si>
  <si>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</si>
  <si>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</si>
  <si>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</si>
  <si>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</si>
  <si>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</si>
  <si>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</si>
  <si>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</si>
  <si>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</si>
  <si>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</si>
  <si>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</si>
  <si>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</si>
  <si>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</si>
  <si>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</si>
  <si>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</si>
  <si>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</si>
  <si>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</si>
  <si>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</si>
  <si>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</si>
  <si>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</si>
  <si>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</si>
  <si>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</si>
  <si>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</si>
  <si>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</si>
  <si>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</si>
  <si>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</si>
  <si>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</si>
  <si>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</si>
  <si>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</si>
  <si>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</si>
  <si>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</si>
  <si>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</si>
  <si>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</si>
  <si>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</si>
  <si>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</si>
  <si>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</si>
  <si>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</si>
  <si>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</si>
  <si>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</si>
  <si>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</si>
  <si>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</si>
  <si>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</si>
  <si>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</si>
  <si>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</si>
  <si>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</si>
  <si>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</si>
  <si>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</si>
  <si>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</si>
  <si>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</si>
  <si>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</si>
  <si>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</si>
  <si>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</si>
  <si>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</si>
  <si>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</si>
  <si>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</si>
  <si>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</si>
  <si>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</si>
  <si>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</si>
  <si>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</si>
  <si>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</si>
  <si>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</si>
  <si>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</si>
  <si>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</si>
  <si>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</si>
  <si>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</si>
  <si>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</si>
  <si>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</si>
  <si>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</si>
  <si>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</si>
  <si>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</si>
  <si>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</si>
  <si>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</si>
  <si>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</si>
  <si>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</si>
  <si>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</si>
  <si>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</si>
  <si>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</si>
  <si>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</si>
  <si>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</si>
  <si>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</si>
  <si>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</si>
  <si>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</si>
  <si>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</si>
  <si>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</si>
  <si>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</si>
  <si>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</si>
  <si>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</si>
  <si>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</si>
  <si>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</si>
  <si>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</si>
  <si>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</si>
  <si>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</si>
  <si>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</si>
  <si>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</si>
  <si>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</si>
  <si>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</si>
  <si>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</si>
  <si>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</si>
  <si>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</si>
  <si>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</si>
  <si>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</si>
  <si>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</si>
  <si>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</si>
  <si>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</si>
  <si>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</si>
  <si>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</si>
  <si>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</si>
  <si>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</si>
  <si>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</si>
  <si>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</si>
  <si>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</si>
  <si>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</si>
  <si>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</si>
  <si>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</si>
  <si>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</si>
  <si>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</si>
  <si>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</si>
  <si>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</si>
  <si>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</si>
  <si>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</si>
  <si>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</si>
  <si>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</si>
  <si>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</si>
  <si>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</si>
  <si>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</si>
  <si>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</si>
  <si>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</si>
  <si>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</si>
  <si>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</si>
  <si>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</si>
  <si>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</si>
  <si>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</si>
  <si>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</si>
  <si>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</si>
  <si>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</si>
  <si>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</si>
  <si>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</si>
  <si>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</si>
  <si>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</si>
  <si>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</si>
  <si>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</si>
  <si>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</si>
  <si>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</si>
  <si>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</si>
  <si>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</si>
  <si>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</si>
  <si>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</si>
  <si>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</si>
  <si>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</si>
  <si>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</si>
  <si>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</si>
  <si>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</si>
  <si>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</si>
  <si>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</si>
  <si>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</si>
  <si>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</si>
  <si>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</si>
  <si>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</si>
  <si>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</si>
  <si>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</si>
  <si>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</si>
  <si>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</si>
  <si>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</si>
  <si>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</si>
  <si>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</si>
  <si>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</si>
  <si>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</si>
  <si>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</si>
  <si>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</si>
  <si>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</si>
  <si>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</si>
  <si>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</si>
  <si>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</si>
  <si>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</si>
  <si>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</si>
  <si>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</si>
  <si>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</si>
  <si>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</si>
  <si>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</si>
  <si>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</si>
  <si>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</si>
  <si>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</si>
  <si>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</si>
  <si>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</si>
  <si>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</si>
  <si>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</si>
  <si>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</si>
  <si>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</si>
  <si>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</si>
  <si>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</si>
  <si>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</si>
  <si>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</si>
  <si>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</si>
  <si>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</si>
  <si>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</si>
  <si>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</si>
  <si>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</si>
  <si>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</si>
  <si>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</si>
  <si>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</si>
  <si>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</si>
  <si>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</si>
  <si>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</si>
  <si>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</si>
  <si>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</si>
  <si>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</si>
  <si>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</si>
  <si>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</si>
  <si>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</si>
  <si>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</si>
  <si>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</si>
  <si>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</si>
  <si>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</si>
  <si>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</si>
  <si>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</si>
  <si>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</si>
  <si>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</si>
  <si>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</si>
  <si>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</si>
  <si>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</si>
  <si>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</si>
  <si>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</si>
  <si>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</si>
  <si>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</si>
  <si>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</si>
  <si>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</si>
  <si>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</si>
  <si>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</si>
  <si>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</si>
  <si>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</si>
  <si>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</si>
  <si>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</si>
  <si>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</si>
  <si>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</si>
  <si>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</si>
  <si>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</si>
  <si>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</si>
  <si>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</si>
  <si>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</si>
  <si>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</si>
  <si>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</si>
  <si>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</si>
  <si>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</si>
  <si>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</si>
  <si>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</si>
  <si>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</si>
  <si>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</si>
  <si>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</si>
  <si>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</si>
  <si>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</si>
  <si>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</si>
  <si>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</si>
  <si>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</si>
  <si>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</si>
  <si>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</si>
  <si>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</si>
  <si>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</si>
  <si>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</si>
  <si>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</si>
  <si>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</si>
  <si>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</si>
  <si>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</si>
  <si>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</si>
  <si>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</si>
  <si>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</si>
  <si>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</si>
  <si>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</si>
  <si>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</si>
  <si>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</si>
  <si>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</si>
  <si>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</si>
  <si>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</si>
  <si>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</si>
  <si>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</si>
  <si>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</si>
  <si>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</si>
  <si>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</si>
  <si>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</si>
  <si>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</si>
  <si>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</si>
  <si>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</si>
  <si>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</si>
  <si>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</si>
  <si>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</si>
  <si>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</si>
  <si>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</si>
  <si>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</si>
  <si>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</si>
  <si>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</si>
  <si>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</si>
  <si>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</si>
  <si>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</si>
  <si>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</si>
  <si>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</si>
  <si>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</si>
  <si>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</si>
  <si>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</si>
  <si>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</si>
  <si>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</si>
  <si>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</si>
  <si>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</si>
  <si>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</si>
  <si>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</si>
  <si>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</si>
  <si>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</si>
  <si>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</si>
  <si>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</si>
  <si>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</si>
  <si>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</si>
  <si>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</si>
  <si>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</si>
  <si>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</si>
  <si>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</si>
  <si>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</si>
  <si>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</si>
  <si>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</si>
  <si>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</si>
  <si>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</si>
  <si>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</si>
  <si>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</si>
  <si>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</si>
  <si>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</si>
  <si>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</si>
  <si>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</si>
  <si>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</si>
  <si>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</si>
  <si>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</si>
  <si>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</si>
  <si>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</si>
  <si>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</si>
  <si>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</si>
  <si>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</si>
  <si>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</si>
  <si>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</si>
  <si>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</si>
  <si>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</si>
  <si>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</si>
  <si>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</si>
  <si>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</si>
  <si>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</si>
  <si>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</si>
  <si>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</si>
  <si>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</si>
  <si>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</si>
  <si>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</si>
  <si>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</si>
  <si>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</si>
  <si>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</si>
  <si>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</si>
  <si>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</si>
  <si>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</si>
  <si>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</si>
  <si>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</si>
  <si>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</si>
  <si>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</si>
  <si>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</si>
  <si>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</si>
  <si>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</si>
  <si>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</si>
  <si>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</si>
  <si>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</si>
  <si>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</si>
  <si>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</si>
  <si>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</si>
  <si>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</si>
  <si>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</si>
  <si>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</si>
  <si>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</si>
  <si>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</si>
  <si>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</si>
  <si>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</si>
  <si>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</si>
  <si>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</si>
  <si>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</si>
  <si>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</si>
  <si>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</si>
  <si>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</si>
  <si>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</si>
  <si>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</si>
  <si>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</si>
  <si>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</si>
  <si>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</si>
  <si>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</si>
  <si>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</si>
  <si>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</si>
  <si>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</si>
  <si>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</si>
  <si>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</si>
  <si>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</si>
  <si>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</si>
  <si>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</si>
  <si>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</si>
  <si>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</si>
  <si>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</si>
  <si>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</si>
  <si>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</si>
  <si>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</si>
  <si>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</si>
  <si>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</si>
  <si>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</si>
  <si>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</si>
  <si>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</si>
  <si>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</si>
  <si>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</si>
  <si>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</si>
  <si>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</si>
  <si>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</si>
  <si>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</si>
  <si>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</si>
  <si>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</si>
  <si>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</si>
  <si>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</si>
  <si>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</si>
  <si>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</si>
  <si>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</si>
  <si>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</si>
  <si>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</si>
  <si>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</si>
  <si>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</si>
  <si>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</si>
  <si>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</si>
  <si>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</si>
  <si>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</si>
  <si>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</si>
  <si>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</si>
  <si>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</si>
  <si>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</si>
  <si>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</si>
  <si>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</si>
  <si>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</si>
  <si>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</si>
  <si>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</si>
  <si>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</si>
  <si>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</si>
  <si>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</si>
  <si>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</si>
  <si>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</si>
  <si>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</si>
  <si>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</si>
  <si>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</si>
  <si>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</si>
  <si>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</si>
  <si>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</si>
  <si>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</si>
  <si>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</si>
  <si>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</si>
  <si>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</si>
  <si>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</si>
  <si>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</si>
  <si>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</si>
  <si>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</si>
  <si>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</si>
  <si>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</si>
  <si>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</si>
  <si>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</si>
  <si>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</si>
  <si>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</si>
  <si>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</si>
  <si>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</si>
  <si>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</si>
  <si>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</si>
  <si>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</si>
  <si>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</si>
  <si>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</si>
  <si>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</si>
  <si>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</si>
  <si>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</si>
  <si>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</si>
  <si>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</si>
  <si>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</si>
  <si>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</si>
  <si>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</si>
  <si>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</si>
  <si>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</si>
  <si>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</si>
  <si>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</si>
  <si>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</si>
  <si>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</si>
  <si>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</si>
  <si>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</si>
  <si>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</si>
  <si>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</si>
  <si>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</si>
  <si>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</si>
  <si>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</si>
  <si>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</si>
  <si>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</si>
  <si>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</si>
  <si>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</si>
  <si>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</si>
  <si>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</si>
  <si>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</si>
  <si>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</si>
  <si>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</si>
  <si>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</si>
  <si>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</si>
  <si>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</si>
  <si>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</si>
  <si>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</si>
  <si>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</si>
  <si>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</si>
  <si>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</si>
  <si>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</si>
  <si>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</si>
  <si>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</si>
  <si>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</si>
  <si>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</si>
  <si>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</si>
  <si>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</si>
  <si>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</si>
  <si>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</si>
  <si>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</si>
  <si>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</si>
  <si>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</si>
  <si>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</si>
  <si>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</si>
  <si>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</si>
  <si>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</si>
  <si>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</si>
  <si>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</si>
  <si>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</si>
  <si>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</si>
  <si>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</si>
  <si>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</si>
  <si>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</si>
  <si>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</si>
  <si>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</si>
  <si>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</si>
  <si>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</si>
  <si>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</si>
  <si>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</si>
  <si>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</si>
  <si>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</si>
  <si>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</si>
  <si>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</si>
  <si>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</si>
  <si>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</si>
  <si>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</si>
  <si>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</si>
  <si>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</si>
  <si>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</si>
  <si>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</si>
  <si>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</si>
  <si>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</si>
  <si>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</si>
  <si>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</si>
  <si>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</si>
  <si>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</si>
  <si>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</si>
  <si>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</si>
  <si>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</si>
  <si>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</si>
  <si>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</si>
  <si>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</si>
  <si>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</si>
  <si>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</si>
  <si>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</si>
  <si>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</si>
  <si>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</si>
  <si>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</si>
  <si>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</si>
  <si>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</si>
  <si>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</si>
  <si>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</si>
  <si>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</si>
  <si>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</si>
  <si>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</si>
  <si>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</si>
  <si>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</si>
  <si>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</si>
  <si>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</si>
  <si>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</si>
  <si>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</si>
  <si>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</si>
  <si>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</si>
  <si>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</si>
  <si>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</si>
  <si>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</si>
  <si>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</si>
  <si>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</si>
  <si>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</si>
  <si>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</si>
  <si>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</si>
  <si>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</si>
  <si>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</si>
  <si>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</si>
  <si>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</si>
  <si>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</si>
  <si>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</si>
  <si>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</si>
  <si>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</si>
  <si>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</si>
  <si>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</si>
  <si>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</si>
  <si>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</si>
  <si>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</si>
  <si>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</si>
  <si>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</si>
  <si>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</si>
  <si>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</si>
  <si>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</si>
  <si>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</si>
  <si>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</si>
  <si>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</si>
  <si>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</si>
  <si>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</si>
  <si>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</si>
  <si>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</si>
  <si>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</si>
  <si>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</si>
  <si>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</si>
  <si>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</si>
  <si>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</si>
  <si>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</si>
  <si>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</si>
  <si>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</si>
  <si>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</si>
  <si>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</si>
  <si>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</si>
  <si>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</si>
  <si>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</si>
  <si>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</si>
  <si>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</si>
  <si>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</si>
  <si>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</si>
  <si>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</si>
  <si>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</si>
  <si>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</si>
  <si>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</si>
  <si>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</si>
  <si>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</si>
  <si>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</si>
  <si>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</si>
  <si>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</si>
  <si>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</si>
  <si>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</si>
  <si>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</si>
  <si>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</si>
  <si>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</si>
  <si>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</si>
  <si>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</si>
  <si>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</si>
  <si>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</si>
  <si>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</si>
  <si>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</si>
  <si>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</si>
  <si>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</si>
  <si>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</si>
  <si>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</si>
  <si>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</si>
  <si>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</si>
  <si>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</si>
  <si>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</si>
  <si>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</si>
  <si>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</si>
  <si>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</si>
  <si>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</si>
  <si>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</si>
  <si>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</si>
  <si>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</si>
  <si>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</si>
  <si>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</si>
  <si>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</si>
  <si>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</si>
  <si>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</si>
  <si>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</si>
  <si>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</si>
  <si>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</si>
  <si>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</si>
  <si>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</si>
  <si>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</si>
  <si>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</si>
  <si>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</si>
  <si>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</si>
  <si>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</si>
  <si>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</si>
  <si>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</si>
  <si>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</si>
  <si>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</si>
  <si>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</si>
  <si>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</si>
  <si>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</si>
  <si>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</si>
  <si>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</si>
  <si>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</si>
  <si>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</si>
  <si>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</si>
  <si>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</si>
  <si>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</si>
  <si>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</si>
  <si>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</si>
  <si>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</si>
  <si>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</si>
  <si>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</si>
  <si>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</si>
  <si>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</si>
  <si>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</si>
  <si>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</si>
  <si>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</si>
  <si>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</si>
  <si>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</si>
  <si>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</si>
  <si>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</si>
  <si>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</si>
  <si>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</si>
  <si>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</si>
  <si>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</si>
  <si>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</si>
  <si>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</si>
  <si>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</si>
  <si>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</si>
  <si>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</si>
  <si>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</si>
  <si>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</si>
  <si>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</si>
  <si>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</si>
  <si>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</si>
  <si>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</si>
  <si>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</si>
  <si>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</si>
  <si>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</si>
  <si>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</si>
  <si>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</si>
  <si>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</si>
  <si>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</si>
  <si>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</si>
  <si>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</si>
  <si>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</si>
  <si>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</si>
  <si>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</si>
  <si>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</si>
  <si>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</si>
  <si>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</si>
  <si>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</si>
  <si>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</si>
  <si>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</si>
  <si>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</si>
  <si>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</si>
  <si>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</si>
  <si>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</si>
  <si>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</si>
  <si>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</si>
  <si>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</si>
  <si>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</si>
  <si>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</si>
  <si>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</si>
  <si>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</si>
  <si>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</si>
  <si>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</si>
  <si>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</si>
  <si>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</si>
  <si>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</si>
  <si>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</si>
  <si>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</si>
  <si>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</si>
  <si>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</si>
  <si>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</si>
  <si>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</si>
  <si>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</si>
  <si>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</si>
  <si>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</si>
  <si>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</si>
  <si>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</si>
  <si>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</si>
  <si>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</si>
  <si>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</si>
  <si>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</si>
  <si>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</si>
  <si>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</si>
  <si>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</si>
  <si>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</si>
  <si>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</si>
  <si>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</si>
  <si>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</si>
  <si>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</si>
  <si>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</si>
  <si>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</si>
  <si>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</si>
  <si>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</si>
  <si>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</si>
  <si>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</si>
  <si>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</si>
  <si>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</si>
  <si>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</si>
  <si>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</si>
  <si>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</si>
  <si>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</si>
  <si>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</si>
  <si>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</si>
  <si>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</si>
  <si>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</si>
  <si>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</si>
  <si>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</si>
  <si>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</si>
  <si>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</si>
  <si>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</si>
  <si>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</si>
  <si>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</si>
  <si>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</si>
  <si>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</si>
  <si>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</si>
  <si>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</si>
  <si>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</si>
  <si>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</si>
  <si>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</si>
  <si>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</si>
  <si>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</si>
  <si>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</si>
  <si>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</si>
  <si>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</si>
  <si>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</si>
  <si>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</si>
  <si>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</si>
  <si>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</si>
  <si>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</si>
  <si>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</si>
  <si>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</si>
  <si>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</si>
  <si>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</si>
  <si>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</si>
  <si>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</si>
  <si>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</si>
  <si>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</si>
  <si>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</si>
  <si>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</si>
  <si>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</si>
  <si>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</si>
  <si>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</si>
  <si>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</si>
  <si>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</si>
  <si>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</si>
  <si>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</si>
  <si>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</si>
  <si>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</si>
  <si>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</si>
  <si>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</si>
  <si>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</si>
  <si>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</si>
  <si>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</si>
  <si>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</si>
  <si>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</si>
  <si>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</si>
  <si>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</si>
  <si>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</si>
  <si>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</si>
  <si>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</si>
  <si>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</si>
  <si>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</si>
  <si>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</si>
  <si>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</si>
  <si>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</si>
  <si>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</si>
  <si>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</si>
  <si>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</si>
  <si>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</si>
  <si>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</si>
  <si>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</si>
  <si>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</si>
  <si>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</si>
  <si>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</si>
  <si>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</si>
  <si>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</si>
  <si>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</si>
  <si>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</si>
  <si>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</si>
  <si>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</si>
  <si>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</si>
  <si>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</si>
  <si>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</si>
  <si>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</si>
  <si>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</si>
  <si>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</si>
  <si>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</si>
  <si>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</si>
  <si>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</si>
  <si>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</si>
  <si>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</si>
  <si>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</si>
  <si>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</si>
  <si>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</si>
  <si>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</si>
  <si>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</si>
  <si>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</si>
  <si>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</si>
  <si>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</si>
  <si>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</si>
  <si>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</si>
  <si>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</si>
  <si>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</si>
  <si>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</si>
  <si>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</si>
  <si>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</si>
  <si>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</si>
  <si>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</si>
  <si>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</si>
  <si>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</si>
  <si>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</si>
  <si>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</si>
  <si>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</si>
  <si>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</si>
  <si>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</si>
  <si>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</si>
  <si>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</si>
  <si>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</si>
  <si>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</si>
  <si>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</si>
  <si>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</si>
  <si>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</si>
  <si>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</si>
  <si>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</si>
  <si>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</si>
  <si>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</si>
  <si>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</si>
  <si>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</si>
  <si>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</si>
  <si>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</si>
  <si>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</si>
  <si>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</si>
  <si>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</si>
  <si>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</si>
  <si>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</si>
  <si>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</si>
  <si>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</si>
  <si>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</si>
  <si>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</si>
  <si>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</si>
  <si>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</si>
  <si>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</si>
  <si>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</si>
  <si>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</si>
  <si>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</si>
  <si>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</si>
  <si>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</si>
  <si>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</si>
  <si>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</si>
  <si>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</si>
  <si>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</si>
  <si>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</si>
  <si>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</si>
  <si>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</si>
  <si>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</si>
  <si>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</si>
  <si>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</si>
  <si>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</si>
  <si>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</si>
  <si>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</si>
  <si>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</si>
  <si>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</si>
  <si>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</si>
  <si>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</si>
  <si>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</si>
  <si>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</si>
  <si>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</si>
  <si>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</si>
  <si>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</si>
  <si>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</si>
  <si>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</si>
  <si>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</si>
  <si>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</si>
  <si>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</si>
  <si>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</si>
  <si>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</si>
  <si>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</si>
  <si>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</si>
  <si>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</si>
  <si>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</si>
  <si>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</si>
  <si>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</si>
  <si>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</si>
  <si>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</si>
  <si>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</si>
  <si>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</si>
  <si>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</si>
  <si>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</si>
  <si>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</si>
  <si>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</si>
  <si>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</si>
  <si>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</si>
  <si>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</si>
  <si>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</si>
  <si>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</si>
  <si>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</si>
  <si>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</si>
  <si>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</si>
  <si>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</si>
  <si>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</si>
  <si>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</si>
  <si>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</si>
  <si>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</si>
  <si>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</si>
  <si>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</si>
  <si>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</si>
  <si>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</si>
  <si>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</si>
  <si>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</si>
  <si>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</si>
  <si>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</si>
  <si>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</si>
  <si>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</si>
  <si>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</si>
  <si>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</si>
  <si>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</si>
  <si>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</si>
  <si>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</si>
  <si>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</si>
  <si>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</si>
  <si>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</si>
  <si>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</si>
  <si>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</si>
  <si>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</si>
  <si>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</si>
  <si>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</si>
  <si>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</si>
  <si>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</si>
  <si>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</si>
  <si>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</si>
  <si>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</si>
  <si>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</si>
  <si>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</si>
  <si>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</si>
  <si>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</si>
  <si>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</si>
  <si>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</si>
  <si>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</si>
  <si>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</si>
  <si>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</si>
  <si>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</si>
  <si>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</si>
  <si>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</si>
  <si>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</si>
  <si>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</si>
  <si>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</si>
  <si>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</si>
  <si>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</si>
  <si>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</si>
  <si>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</si>
  <si>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</si>
  <si>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</si>
  <si>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</si>
  <si>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</si>
  <si>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</si>
  <si>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</si>
  <si>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</si>
  <si>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</si>
  <si>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</si>
  <si>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</si>
  <si>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</si>
  <si>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</si>
  <si>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</si>
  <si>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</si>
  <si>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</si>
  <si>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</si>
  <si>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</si>
  <si>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</si>
  <si>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</si>
  <si>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</si>
  <si>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</si>
  <si>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</si>
  <si>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</si>
  <si>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</si>
  <si>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</si>
  <si>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</si>
  <si>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</si>
  <si>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</si>
  <si>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</si>
  <si>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</si>
  <si>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</si>
  <si>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</si>
  <si>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</si>
  <si>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</si>
  <si>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</si>
  <si>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</si>
  <si>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</si>
  <si>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</si>
  <si>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</si>
  <si>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</si>
  <si>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</si>
  <si>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</si>
  <si>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</si>
  <si>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</si>
  <si>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</si>
  <si>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</si>
  <si>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</si>
  <si>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</si>
  <si>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</si>
  <si>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</si>
  <si>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</si>
  <si>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</si>
  <si>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</si>
  <si>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</si>
  <si>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</si>
  <si>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</si>
  <si>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</si>
  <si>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</si>
  <si>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</si>
  <si>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</si>
  <si>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</si>
  <si>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</si>
  <si>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</si>
  <si>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</si>
  <si>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</si>
  <si>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</si>
  <si>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</si>
  <si>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</si>
  <si>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</si>
  <si>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</si>
  <si>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</si>
  <si>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</si>
  <si>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</si>
  <si>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</si>
  <si>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</si>
  <si>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</si>
  <si>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</si>
  <si>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</si>
  <si>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</si>
  <si>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</si>
  <si>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</si>
  <si>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</si>
  <si>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</si>
  <si>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</si>
  <si>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</si>
  <si>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</si>
  <si>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</si>
  <si>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</si>
  <si>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</si>
  <si>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</si>
  <si>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</si>
  <si>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</si>
  <si>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</si>
  <si>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</si>
  <si>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</si>
  <si>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</si>
  <si>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</si>
  <si>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</si>
  <si>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</si>
  <si>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</si>
  <si>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</si>
  <si>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</si>
  <si>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</si>
  <si>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</si>
  <si>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</si>
  <si>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</si>
  <si>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</si>
  <si>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</si>
  <si>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</si>
  <si>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</si>
  <si>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</si>
  <si>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</si>
  <si>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</si>
  <si>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</si>
  <si>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</si>
  <si>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</si>
  <si>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</si>
  <si>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</si>
  <si>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</si>
  <si>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</si>
  <si>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</si>
  <si>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</si>
  <si>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</si>
  <si>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</si>
  <si>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</si>
  <si>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</si>
  <si>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</si>
  <si>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</si>
  <si>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</si>
  <si>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</si>
  <si>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</si>
  <si>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</si>
  <si>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</si>
  <si>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</si>
  <si>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</si>
  <si>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</si>
  <si>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</si>
  <si>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</si>
  <si>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</si>
  <si>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</si>
  <si>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</si>
  <si>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</si>
  <si>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</si>
  <si>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</si>
  <si>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</si>
  <si>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</si>
  <si>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</si>
  <si>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</si>
  <si>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</si>
  <si>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</si>
  <si>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</si>
  <si>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</si>
  <si>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</si>
  <si>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</si>
  <si>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</si>
  <si>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</si>
  <si>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</si>
  <si>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</si>
  <si>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</si>
  <si>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</si>
  <si>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</si>
  <si>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</si>
  <si>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</si>
  <si>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</si>
  <si>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</si>
  <si>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</si>
  <si>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</si>
  <si>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</si>
  <si>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</si>
  <si>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</si>
  <si>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</si>
  <si>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</si>
  <si>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</si>
  <si>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</si>
  <si>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</si>
  <si>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</si>
  <si>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</si>
  <si>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</si>
  <si>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</si>
  <si>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</si>
  <si>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</si>
  <si>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</si>
  <si>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</si>
  <si>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</si>
  <si>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</si>
  <si>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</si>
  <si>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</si>
  <si>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</si>
  <si>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</si>
  <si>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</si>
  <si>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</si>
  <si>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</si>
  <si>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</si>
  <si>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</si>
  <si>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</si>
  <si>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</si>
  <si>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</si>
  <si>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</si>
  <si>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</si>
  <si>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</si>
  <si>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</si>
  <si>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</si>
  <si>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</si>
  <si>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</si>
  <si>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</si>
  <si>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</si>
  <si>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</si>
  <si>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</si>
  <si>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</si>
  <si>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</si>
  <si>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</si>
  <si>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</si>
  <si>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</si>
  <si>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</si>
  <si>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</si>
  <si>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</si>
  <si>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</si>
  <si>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</si>
  <si>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</si>
  <si>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</si>
  <si>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</si>
  <si>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</si>
  <si>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</si>
  <si>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</si>
  <si>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</si>
  <si>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</si>
  <si>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</si>
  <si>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</si>
  <si>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</si>
  <si>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</si>
  <si>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</si>
  <si>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</si>
  <si>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</si>
  <si>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</si>
  <si>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</si>
  <si>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</si>
  <si>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</si>
  <si>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</si>
  <si>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</si>
  <si>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</si>
  <si>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</si>
  <si>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</si>
  <si>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</si>
  <si>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</si>
  <si>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</si>
  <si>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</si>
  <si>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</si>
  <si>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</si>
  <si>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</si>
  <si>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</si>
  <si>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</si>
  <si>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</si>
  <si>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</si>
  <si>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</si>
  <si>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</si>
  <si>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</si>
  <si>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</si>
  <si>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</si>
  <si>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</si>
  <si>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</si>
  <si>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</si>
  <si>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</si>
  <si>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</si>
  <si>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</si>
  <si>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</si>
  <si>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</si>
  <si>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</si>
  <si>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</si>
  <si>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</si>
  <si>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</si>
  <si>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</si>
  <si>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</si>
  <si>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</si>
  <si>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</si>
  <si>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</si>
  <si>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</si>
  <si>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</si>
  <si>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</si>
  <si>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</si>
  <si>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</si>
  <si>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</si>
  <si>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</si>
  <si>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</si>
  <si>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</si>
  <si>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</si>
  <si>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</si>
  <si>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</si>
  <si>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</si>
  <si>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</si>
  <si>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</si>
  <si>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</si>
  <si>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</si>
  <si>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</si>
  <si>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</si>
  <si>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</si>
  <si>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</si>
  <si>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</si>
  <si>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</si>
  <si>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</si>
  <si>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</si>
  <si>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</si>
  <si>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</si>
  <si>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</si>
  <si>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</si>
  <si>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</si>
  <si>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</si>
  <si>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</si>
  <si>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</si>
  <si>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</si>
  <si>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</si>
  <si>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</si>
  <si>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</si>
  <si>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</si>
  <si>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</si>
  <si>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</si>
  <si>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</si>
  <si>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</si>
  <si>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</si>
  <si>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</si>
  <si>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</si>
  <si>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</si>
  <si>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</si>
  <si>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</si>
  <si>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</si>
  <si>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</si>
  <si>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</si>
  <si>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</si>
  <si>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</si>
  <si>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</si>
  <si>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</si>
  <si>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</si>
  <si>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</si>
  <si>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</si>
  <si>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</si>
  <si>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</si>
  <si>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</si>
  <si>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</si>
  <si>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</si>
  <si>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</si>
  <si>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</si>
  <si>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</si>
  <si>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</si>
  <si>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</si>
  <si>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</si>
  <si>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</si>
  <si>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</si>
  <si>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</si>
  <si>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</si>
  <si>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</si>
  <si>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</si>
  <si>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</si>
  <si>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</si>
  <si>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Hunters Point Block 56, L.P.</t>
  </si>
  <si>
    <t>Hunters Point Shipyard Block 56</t>
  </si>
  <si>
    <t>Eric Shaw</t>
  </si>
  <si>
    <t>The City and County of San Francisco</t>
  </si>
  <si>
    <t>Director</t>
  </si>
  <si>
    <t>1 South Van Ness Avenue, 5th Floor</t>
  </si>
  <si>
    <t>(415) 701-5528</t>
  </si>
  <si>
    <t>(415) 701-5501</t>
  </si>
  <si>
    <t>eric.shaw@sfgov.org</t>
  </si>
  <si>
    <t>11 Innes Court</t>
  </si>
  <si>
    <t>Mercy HPSY Block 56 LLC</t>
  </si>
  <si>
    <t>Managing GP</t>
  </si>
  <si>
    <t>Mercy Housing California</t>
  </si>
  <si>
    <t>1256 Market Street</t>
  </si>
  <si>
    <t>CA</t>
  </si>
  <si>
    <t>Fiona Ruddy</t>
  </si>
  <si>
    <t>415.355.7160</t>
  </si>
  <si>
    <t>415.355.7101</t>
  </si>
  <si>
    <t>fiona.ruddy@mercyhousing.org</t>
  </si>
  <si>
    <t>Project Developer</t>
  </si>
  <si>
    <t>San Francisco, CA 94102</t>
  </si>
  <si>
    <t>Barbara Gualco</t>
  </si>
  <si>
    <t>415.355.7100</t>
  </si>
  <si>
    <t>455.355.7101</t>
  </si>
  <si>
    <t>bgualco@mercyhousing.org</t>
  </si>
  <si>
    <t>Mercy Housing Calwest</t>
  </si>
  <si>
    <t>Sarah Graham</t>
  </si>
  <si>
    <t>sarah.graham@sfhdc.org</t>
  </si>
  <si>
    <t>San Francisco Housing Development Corporation</t>
  </si>
  <si>
    <t>Van Meter Williams Pollack, LLP</t>
  </si>
  <si>
    <t>333 Bryant Street, Suite 300</t>
  </si>
  <si>
    <t>San Francisco, CA, 94107</t>
  </si>
  <si>
    <t>415.974.5352</t>
  </si>
  <si>
    <t>pam@vmwp.com</t>
  </si>
  <si>
    <t>Newport Realty Advisors</t>
  </si>
  <si>
    <t>2601 Chestnut Street #1</t>
  </si>
  <si>
    <t>San Francisco, CA 94123</t>
  </si>
  <si>
    <t>Charlie Castro</t>
  </si>
  <si>
    <t>415.835.6060</t>
  </si>
  <si>
    <t>charlie@newportrealtyadvisors.com</t>
  </si>
  <si>
    <t>Gubb &amp; Barshay LLP</t>
  </si>
  <si>
    <t>505 14th Street, Suite 450</t>
  </si>
  <si>
    <t>Oakland, CA 94612</t>
  </si>
  <si>
    <t>Evan Gross</t>
  </si>
  <si>
    <t>415.781.6600</t>
  </si>
  <si>
    <t>egross@gubbandbarshay.com</t>
  </si>
  <si>
    <t>City and County of San Francisco</t>
  </si>
  <si>
    <t>1 S Van ness Ave Ste 5</t>
  </si>
  <si>
    <t>San Francisco, CA 94103</t>
  </si>
  <si>
    <t>William Wilcox</t>
  </si>
  <si>
    <t>540.878.8505</t>
  </si>
  <si>
    <t>william.wilcox@sfgov.org</t>
  </si>
  <si>
    <t>Baines-Nibbi JV</t>
  </si>
  <si>
    <t>1000 Brannan Street, Suite 102</t>
  </si>
  <si>
    <t>4439 Third Street</t>
  </si>
  <si>
    <t>415.822.1022</t>
  </si>
  <si>
    <t>Community Economics</t>
  </si>
  <si>
    <t>538 9th Street, Suite 200</t>
  </si>
  <si>
    <t>Oakland, CA 94607</t>
  </si>
  <si>
    <t>Diana Downtown</t>
  </si>
  <si>
    <t>diana@communityeconomics.org</t>
  </si>
  <si>
    <t>Inner City Infill Site</t>
  </si>
  <si>
    <t>SF OCII</t>
  </si>
  <si>
    <t>SF Office of Community Investment and Infrastructure (OCII)</t>
  </si>
  <si>
    <t>Redwood Energy</t>
  </si>
  <si>
    <t>1887 Q Street</t>
  </si>
  <si>
    <t>Arcata, CA 95521</t>
  </si>
  <si>
    <t>Sean Armstrong</t>
  </si>
  <si>
    <t>To Be Determined</t>
  </si>
  <si>
    <t>Mercy Housing Management Group</t>
  </si>
  <si>
    <t>Jacquie Hoffman</t>
  </si>
  <si>
    <t>jhoffman@mercyhousing.org</t>
  </si>
  <si>
    <t>CohnReznick, LLP</t>
  </si>
  <si>
    <t>707.234.7573</t>
  </si>
  <si>
    <t>seanarmstrongpm@gmail.com</t>
  </si>
  <si>
    <t>510.832.8300</t>
  </si>
  <si>
    <t>525 North Tyson Street, Suite 1</t>
  </si>
  <si>
    <t>Charlotte, NC 28202</t>
  </si>
  <si>
    <t>Nic Mathias</t>
  </si>
  <si>
    <t>704.900.2013</t>
  </si>
  <si>
    <t>704.900.2014</t>
  </si>
  <si>
    <t>nic.mathias@cohnreznick.com</t>
  </si>
  <si>
    <t>Norm Hayes</t>
  </si>
  <si>
    <t>650.207.0986</t>
  </si>
  <si>
    <t>NormH@nibbi.com</t>
  </si>
  <si>
    <t>Secured by Leasehold Interest</t>
  </si>
  <si>
    <t>RM-1 (Residential Mixed Low Density); HP-RA (Hunters Point Redevelopment Plan)</t>
  </si>
  <si>
    <t>HP-RA (Height and Bulk District)</t>
  </si>
  <si>
    <t>Federal Homeloan Bank AHP</t>
  </si>
  <si>
    <t>FHLB AHP</t>
  </si>
  <si>
    <t>Density Bonus</t>
  </si>
  <si>
    <t>Air Conditioning</t>
  </si>
  <si>
    <t>5 BR</t>
  </si>
  <si>
    <t>CUAC</t>
  </si>
  <si>
    <t>45' height restriction. Parcel was granted an increased limit through its density bonus.</t>
  </si>
  <si>
    <t>No minimum requirement; maximum allowable of 2 spaces / dwelling unit.</t>
  </si>
  <si>
    <t>Low Resource</t>
  </si>
  <si>
    <t>40%/60%</t>
  </si>
  <si>
    <t>46 cars, 10 motorcycles, 73 bikes</t>
  </si>
  <si>
    <t>560 Mission Street, Floor 03</t>
  </si>
  <si>
    <t>San Francisco, CA 94105</t>
  </si>
  <si>
    <t>James Vossoughi</t>
  </si>
  <si>
    <t>415.315.6708</t>
  </si>
  <si>
    <t>Construction Loan - Tax Exempt</t>
  </si>
  <si>
    <t xml:space="preserve">1 S Van Ness Ave Ste 5. 											</t>
  </si>
  <si>
    <t xml:space="preserve">San Francisco, CA 94103											</t>
  </si>
  <si>
    <t>Elizabeth Colomello</t>
  </si>
  <si>
    <t>415.701-5518</t>
  </si>
  <si>
    <t xml:space="preserve">Soft Loan										</t>
  </si>
  <si>
    <t>Tax Exempt Construction Bond/Chase</t>
  </si>
  <si>
    <t>Variable</t>
  </si>
  <si>
    <t>Fixed</t>
  </si>
  <si>
    <t>Y</t>
  </si>
  <si>
    <t>Accrued Interest on Soft Loans</t>
  </si>
  <si>
    <t>Costs Deferred Until Conversion</t>
  </si>
  <si>
    <t>GP Capital</t>
  </si>
  <si>
    <t>Limited Partner Equity</t>
  </si>
  <si>
    <t xml:space="preserve">Deferred Interest Soft Loan 										</t>
  </si>
  <si>
    <t xml:space="preserve">1256 Market Street											</t>
  </si>
  <si>
    <t xml:space="preserve">San Francisco, CA 94102											</t>
  </si>
  <si>
    <t xml:space="preserve">Barbara Gualco											</t>
  </si>
  <si>
    <t xml:space="preserve">415.355.7100					</t>
  </si>
  <si>
    <t xml:space="preserve">Deferred Costs										</t>
  </si>
  <si>
    <t xml:space="preserve">GP Capital										</t>
  </si>
  <si>
    <t xml:space="preserve">LP Equity										</t>
  </si>
  <si>
    <t xml:space="preserve">Accrued Interest on Soft Loans											</t>
  </si>
  <si>
    <t>TBD</t>
  </si>
  <si>
    <t>1 S Van Ness Ave Ste 5.</t>
  </si>
  <si>
    <t>Soft Loan</t>
  </si>
  <si>
    <t>1256 Market St</t>
  </si>
  <si>
    <t xml:space="preserve">SF OCII </t>
  </si>
  <si>
    <t xml:space="preserve">City and County of San Francisco Administrative Code																											</t>
  </si>
  <si>
    <t xml:space="preserve">Ground Lease </t>
  </si>
  <si>
    <t>SUCCESSOR AGENCY TO THE REDEVELOPMENT AGENCY OF THE CITY AND COUNTY OF SAN FRANCISCO</t>
  </si>
  <si>
    <t xml:space="preserve">Parking is partially subterranean and excavated in to a hillside. </t>
  </si>
  <si>
    <t>The project provides 72 low income restricted units and has been granted a density bonus allowing additional height and density through the Office of Community Investment and Infrastructure Commission.</t>
  </si>
  <si>
    <t>Pamela Goode</t>
  </si>
  <si>
    <t>Block 4591C, Lot 217</t>
  </si>
  <si>
    <t>SFHDC HPSY Block 56 LLC</t>
  </si>
  <si>
    <t>Misc Admin</t>
  </si>
  <si>
    <t>Payroll Taxes/Benefits</t>
  </si>
  <si>
    <t>Misc. Taxes/License</t>
  </si>
  <si>
    <t>Other: Environmental Remediation</t>
  </si>
  <si>
    <t>Other: Soft Loan Accrued Deferred Interest</t>
  </si>
  <si>
    <t>Other: Legal</t>
  </si>
  <si>
    <t>Other: Sponsor Legal Costs</t>
  </si>
  <si>
    <t>Other: Supplemental Operating Reserve</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</si>
  <si>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</si>
  <si>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</si>
  <si>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</si>
  <si>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</si>
  <si>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</si>
  <si>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</si>
  <si>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https://www.treasurer.ca.gov/cCTCAC/2022/4-instructions.asp</t>
  </si>
  <si>
    <t>http://www.treasurer.ca.gov/cCTCAC/assignments.asp</t>
  </si>
  <si>
    <t>http://www.treasurer.ca.gov/cCTCAC/contacts.asp</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</si>
  <si>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</si>
  <si>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</si>
  <si>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</si>
  <si>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</si>
  <si>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</si>
  <si>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</si>
  <si>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Applicants submit all application materials electronically on a USB flash drive unless the CDLAC online application is active. CDLAC and CTCAC will not accept submissions of application documents by email or over the internet.</t>
  </si>
  <si>
    <t>http://www.treasurer.ca.gov/CTCAC/assignments.asp</t>
  </si>
  <si>
    <t>http://www.treasurer.ca.gov/CTCAC/contacts.asp</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</si>
  <si>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</si>
  <si>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</si>
  <si>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</si>
  <si>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</si>
  <si>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</si>
  <si>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</si>
  <si>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</si>
  <si>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</si>
  <si>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</si>
  <si>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</si>
  <si>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</si>
  <si>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</si>
  <si>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</si>
  <si>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</si>
  <si>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</si>
  <si>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</si>
  <si>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</si>
  <si>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</si>
  <si>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</si>
  <si>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</si>
  <si>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</si>
  <si>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</si>
  <si>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</si>
  <si>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</si>
  <si>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</si>
  <si>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</si>
  <si>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</si>
  <si>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</si>
  <si>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</si>
  <si>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</si>
  <si>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</si>
  <si>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</si>
  <si>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</si>
  <si>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</si>
  <si>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</si>
  <si>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</si>
  <si>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</si>
  <si>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</si>
  <si>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</si>
  <si>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</si>
  <si>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</si>
  <si>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</si>
  <si>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</si>
  <si>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</si>
  <si>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</si>
  <si>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</si>
  <si>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</si>
  <si>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</si>
  <si>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</si>
  <si>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</si>
  <si>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</si>
  <si>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</si>
  <si>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</si>
  <si>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</si>
  <si>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</si>
  <si>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</si>
  <si>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</si>
  <si>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</si>
  <si>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</si>
  <si>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</si>
  <si>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</si>
  <si>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</si>
  <si>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</si>
  <si>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</si>
  <si>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</si>
  <si>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</si>
  <si>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</si>
  <si>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</si>
  <si>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</si>
  <si>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</si>
  <si>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</si>
  <si>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</si>
  <si>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</si>
  <si>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</si>
  <si>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</si>
  <si>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</si>
  <si>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</si>
  <si>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</si>
  <si>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</si>
  <si>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</si>
  <si>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</si>
  <si>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</si>
  <si>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</si>
  <si>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</si>
  <si>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</si>
  <si>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</si>
  <si>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</si>
  <si>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</si>
  <si>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</si>
  <si>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</si>
  <si>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</si>
  <si>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</si>
  <si>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</si>
  <si>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</si>
  <si>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</si>
  <si>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</si>
  <si>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</si>
  <si>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</si>
  <si>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</si>
  <si>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</si>
  <si>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</si>
  <si>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</si>
  <si>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</si>
  <si>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</si>
  <si>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</si>
  <si>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</si>
  <si>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Other (Annual Issuer &amp; Trustee Fee):</t>
  </si>
  <si>
    <t>Other (Ground Lease):</t>
  </si>
  <si>
    <t>Ramie Dare</t>
  </si>
  <si>
    <t>Vice President</t>
  </si>
  <si>
    <t>CCTCAC App/Allocation/Monitoring Fees</t>
  </si>
  <si>
    <t xml:space="preserve">Except for non-competitive projects with donated land, CCTCAC will not accept a budget with a nominal land value.  Please refer to the CCTCAC website for additional information and guidance.   </t>
  </si>
  <si>
    <t>CalHFA Application Addendum to CCTCAC Application Workbook</t>
  </si>
  <si>
    <t>All yellow cells in addendum must be completed.  A PDF signature of the certifications tab is acceptable for deals that are not seeking CCTCAC/CDLAC allocations.</t>
  </si>
  <si>
    <t>CCTCAC Application Submission Date</t>
  </si>
  <si>
    <t>CCTCAC</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</si>
  <si>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(CCCTCAC Regulations).</t>
  </si>
  <si>
    <t xml:space="preserve">15 YEAR PROJECT CASH FLOW PROJECTIONS - Refer to CCTCAC Regulation Sections 10322(h)(22), 10325(f)(5), 10326(g)(4), 10327(f) and (g). </t>
  </si>
  <si>
    <t>OCII Loan</t>
  </si>
  <si>
    <t>Draw from Supplemental Operating Reserve</t>
  </si>
  <si>
    <t>July</t>
  </si>
  <si>
    <t>, 20__22_ at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</si>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</sst>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42454">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4"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0" fillId="0" borderId="0" applyFont="0" applyFill="0" applyBorder="0" applyAlignment="0" applyProtection="0"/>
    <xf numFmtId="44" fontId="2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7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5" fillId="0" borderId="0" applyFont="0" applyFill="0" applyBorder="0" applyAlignment="0" applyProtection="0"/>
    <xf numFmtId="44" fontId="24"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4" fillId="0" borderId="0"/>
    <xf numFmtId="0" fontId="24"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4" fillId="0" borderId="0"/>
    <xf numFmtId="0" fontId="84" fillId="0" borderId="0"/>
    <xf numFmtId="0" fontId="24"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60" fillId="0" borderId="0">
      <alignment vertical="top"/>
    </xf>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4" fillId="0" borderId="0"/>
    <xf numFmtId="0" fontId="84" fillId="0" borderId="0"/>
    <xf numFmtId="0" fontId="84" fillId="0" borderId="0"/>
    <xf numFmtId="0" fontId="84" fillId="0" borderId="0"/>
    <xf numFmtId="0" fontId="15" fillId="0" borderId="0" applyProtection="0">
      <protection locked="0"/>
    </xf>
    <xf numFmtId="0" fontId="24" fillId="0" borderId="0" applyProtection="0">
      <protection locked="0"/>
    </xf>
    <xf numFmtId="0" fontId="24" fillId="0" borderId="0" applyProtection="0">
      <protection locked="0"/>
    </xf>
    <xf numFmtId="0" fontId="61" fillId="0" borderId="0"/>
    <xf numFmtId="0" fontId="15"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0"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19" fillId="0" borderId="0" applyFont="0" applyFill="0" applyBorder="0" applyAlignment="0" applyProtection="0"/>
    <xf numFmtId="0" fontId="11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63"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1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1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32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2" fillId="0" borderId="0" xfId="0" applyFont="1"/>
    <xf numFmtId="0" fontId="15" fillId="0" borderId="0" xfId="0" applyFont="1"/>
    <xf numFmtId="0" fontId="24" fillId="0" borderId="0" xfId="0" applyFont="1" applyProtection="1"/>
    <xf numFmtId="0" fontId="0" fillId="0" borderId="4" xfId="0" applyBorder="1"/>
    <xf numFmtId="0" fontId="0" fillId="0" borderId="0" xfId="0" applyAlignment="1"/>
    <xf numFmtId="0" fontId="24" fillId="0" borderId="0" xfId="0" applyFont="1" applyAlignment="1">
      <alignment horizontal="center"/>
    </xf>
    <xf numFmtId="0" fontId="15"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2" fillId="0" borderId="4" xfId="0" applyFont="1" applyBorder="1"/>
    <xf numFmtId="164" fontId="0" fillId="0" borderId="0" xfId="0" applyNumberFormat="1" applyFill="1" applyBorder="1" applyAlignment="1" applyProtection="1">
      <alignment horizontal="right"/>
    </xf>
    <xf numFmtId="0" fontId="24"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15" fillId="0" borderId="0" xfId="543" applyFont="1" applyAlignment="1" applyProtection="1"/>
    <xf numFmtId="0" fontId="15" fillId="0" borderId="0" xfId="0" applyFont="1" applyFill="1"/>
    <xf numFmtId="0" fontId="22" fillId="0" borderId="0" xfId="0" applyFont="1" applyAlignment="1" applyProtection="1">
      <alignment horizontal="center"/>
    </xf>
    <xf numFmtId="0" fontId="24" fillId="0" borderId="0" xfId="0" applyFont="1" applyAlignment="1" applyProtection="1">
      <alignment horizontal="left" vertical="top" wrapText="1"/>
    </xf>
    <xf numFmtId="0" fontId="0" fillId="0" borderId="0" xfId="0" applyBorder="1" applyProtection="1"/>
    <xf numFmtId="0" fontId="30" fillId="0" borderId="0" xfId="0" applyFont="1" applyProtection="1"/>
    <xf numFmtId="0" fontId="23" fillId="0" borderId="0" xfId="0" applyFont="1" applyAlignment="1" applyProtection="1">
      <alignment vertical="top"/>
    </xf>
    <xf numFmtId="0" fontId="23" fillId="0" borderId="0" xfId="0" applyFont="1" applyAlignment="1" applyProtection="1">
      <alignment vertical="top" wrapText="1"/>
    </xf>
    <xf numFmtId="0" fontId="24" fillId="0" borderId="0" xfId="0" applyFont="1" applyAlignment="1" applyProtection="1">
      <alignment horizontal="left" indent="4"/>
    </xf>
    <xf numFmtId="0" fontId="24" fillId="0" borderId="0" xfId="0" applyFont="1" applyAlignment="1" applyProtection="1"/>
    <xf numFmtId="0" fontId="23" fillId="0" borderId="0" xfId="0" applyFont="1" applyAlignment="1" applyProtection="1">
      <alignment horizontal="left" vertical="top"/>
    </xf>
    <xf numFmtId="0" fontId="0" fillId="0" borderId="0" xfId="0" applyAlignment="1" applyProtection="1"/>
    <xf numFmtId="0" fontId="23" fillId="0" borderId="0" xfId="0" applyFont="1" applyAlignment="1" applyProtection="1">
      <alignment horizontal="left"/>
    </xf>
    <xf numFmtId="0" fontId="23" fillId="0" borderId="0" xfId="0" applyFont="1" applyAlignment="1" applyProtection="1"/>
    <xf numFmtId="0" fontId="23" fillId="0" borderId="0" xfId="0" applyFont="1" applyProtection="1"/>
    <xf numFmtId="0" fontId="35" fillId="0" borderId="0" xfId="543" applyFont="1" applyFill="1" applyProtection="1"/>
    <xf numFmtId="0" fontId="22" fillId="0" borderId="0" xfId="0" applyFont="1" applyFill="1" applyBorder="1" applyProtection="1"/>
    <xf numFmtId="1" fontId="23" fillId="0" borderId="0" xfId="0" applyNumberFormat="1" applyFont="1" applyBorder="1" applyAlignment="1" applyProtection="1">
      <alignment horizontal="left"/>
    </xf>
    <xf numFmtId="0" fontId="0" fillId="0" borderId="0" xfId="0" applyFill="1" applyProtection="1"/>
    <xf numFmtId="0" fontId="25" fillId="0" borderId="0" xfId="0" applyFont="1" applyProtection="1"/>
    <xf numFmtId="1" fontId="23" fillId="0" borderId="0" xfId="0" applyNumberFormat="1" applyFont="1" applyBorder="1" applyAlignment="1" applyProtection="1">
      <alignment horizontal="right"/>
    </xf>
    <xf numFmtId="0" fontId="0" fillId="0" borderId="0" xfId="0" applyBorder="1" applyAlignment="1" applyProtection="1">
      <alignment horizontal="right"/>
    </xf>
    <xf numFmtId="1" fontId="23" fillId="0" borderId="0" xfId="0" applyNumberFormat="1" applyFont="1" applyFill="1" applyBorder="1" applyAlignment="1" applyProtection="1">
      <alignment horizontal="left"/>
    </xf>
    <xf numFmtId="0" fontId="0" fillId="0" borderId="0" xfId="0" applyBorder="1" applyAlignment="1" applyProtection="1">
      <alignment horizontal="left"/>
    </xf>
    <xf numFmtId="0" fontId="23" fillId="0" borderId="0" xfId="0" applyFont="1" applyBorder="1" applyAlignment="1" applyProtection="1">
      <alignment horizontal="left"/>
    </xf>
    <xf numFmtId="0" fontId="23" fillId="0" borderId="0" xfId="0" applyFont="1" applyFill="1" applyBorder="1" applyAlignment="1" applyProtection="1">
      <alignment horizontal="left"/>
    </xf>
    <xf numFmtId="0" fontId="34" fillId="0" borderId="0" xfId="0" applyFont="1" applyBorder="1" applyProtection="1"/>
    <xf numFmtId="0" fontId="27" fillId="0" borderId="0" xfId="0" applyFont="1" applyBorder="1" applyProtection="1"/>
    <xf numFmtId="0" fontId="22" fillId="0" borderId="0" xfId="0" applyFont="1" applyBorder="1" applyProtection="1"/>
    <xf numFmtId="0" fontId="22" fillId="0" borderId="0" xfId="0" applyFont="1" applyProtection="1"/>
    <xf numFmtId="0" fontId="15" fillId="0" borderId="0" xfId="543" applyFont="1" applyProtection="1"/>
    <xf numFmtId="172" fontId="15" fillId="0" borderId="0" xfId="543" applyNumberFormat="1" applyFont="1" applyAlignment="1" applyProtection="1"/>
    <xf numFmtId="9" fontId="15" fillId="0" borderId="0" xfId="543" applyNumberFormat="1" applyFont="1" applyAlignment="1" applyProtection="1">
      <alignment horizontal="left"/>
    </xf>
    <xf numFmtId="168" fontId="15" fillId="0" borderId="0" xfId="543" applyNumberFormat="1" applyFont="1" applyProtection="1"/>
    <xf numFmtId="168" fontId="15" fillId="0" borderId="0" xfId="543" applyNumberFormat="1" applyFont="1" applyFill="1" applyProtection="1"/>
    <xf numFmtId="0" fontId="15" fillId="0" borderId="0" xfId="543" applyFont="1" applyFill="1" applyProtection="1"/>
    <xf numFmtId="0" fontId="24" fillId="0" borderId="0" xfId="0" applyFont="1" applyBorder="1" applyProtection="1"/>
    <xf numFmtId="0" fontId="15" fillId="0" borderId="0" xfId="0" applyFont="1" applyProtection="1"/>
    <xf numFmtId="0" fontId="24" fillId="0" borderId="0" xfId="0" applyFont="1" applyBorder="1" applyAlignment="1" applyProtection="1">
      <alignment horizontal="right"/>
    </xf>
    <xf numFmtId="0" fontId="24" fillId="0" borderId="0" xfId="0" applyFont="1" applyFill="1" applyBorder="1" applyProtection="1"/>
    <xf numFmtId="0" fontId="38" fillId="0" borderId="0" xfId="0" applyFont="1" applyProtection="1"/>
    <xf numFmtId="0" fontId="24" fillId="0" borderId="0" xfId="0" applyFont="1" applyFill="1" applyBorder="1" applyAlignment="1" applyProtection="1">
      <alignment horizontal="left"/>
    </xf>
    <xf numFmtId="0" fontId="26" fillId="0" borderId="0" xfId="0" applyFont="1" applyFill="1" applyBorder="1" applyProtection="1"/>
    <xf numFmtId="0" fontId="28" fillId="0" borderId="0" xfId="0" applyFont="1" applyProtection="1"/>
    <xf numFmtId="0" fontId="22" fillId="0" borderId="6" xfId="0" applyFont="1" applyBorder="1" applyAlignment="1" applyProtection="1">
      <alignment horizontal="center"/>
    </xf>
    <xf numFmtId="0" fontId="25" fillId="0" borderId="0" xfId="0" applyFont="1" applyFill="1" applyBorder="1" applyProtection="1"/>
    <xf numFmtId="0" fontId="3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4" xfId="0" applyFont="1" applyBorder="1" applyAlignment="1" applyProtection="1">
      <alignment horizontal="center"/>
    </xf>
    <xf numFmtId="0" fontId="31" fillId="0" borderId="3" xfId="0" applyFont="1" applyFill="1" applyBorder="1" applyAlignment="1" applyProtection="1">
      <alignment horizontal="left"/>
    </xf>
    <xf numFmtId="0" fontId="31" fillId="0" borderId="9" xfId="0" applyFont="1" applyFill="1" applyBorder="1" applyAlignment="1" applyProtection="1">
      <alignment horizontal="lef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0" fontId="31" fillId="0" borderId="0" xfId="0" applyFont="1" applyFill="1" applyBorder="1" applyAlignment="1" applyProtection="1">
      <alignment horizontal="left"/>
    </xf>
    <xf numFmtId="0" fontId="0" fillId="0" borderId="0" xfId="0" applyFill="1" applyBorder="1" applyAlignment="1" applyProtection="1"/>
    <xf numFmtId="0" fontId="22" fillId="0" borderId="0" xfId="0" applyFont="1" applyBorder="1" applyAlignment="1" applyProtection="1">
      <alignment horizontal="right"/>
    </xf>
    <xf numFmtId="0" fontId="0" fillId="0" borderId="0" xfId="0" applyFill="1" applyBorder="1" applyAlignment="1" applyProtection="1">
      <alignment horizontal="right"/>
    </xf>
    <xf numFmtId="0" fontId="22" fillId="0" borderId="0" xfId="0" applyFont="1" applyFill="1" applyBorder="1" applyAlignment="1" applyProtection="1">
      <alignment horizontal="right"/>
    </xf>
    <xf numFmtId="0" fontId="22" fillId="0" borderId="0" xfId="0" applyFont="1" applyFill="1" applyBorder="1" applyAlignment="1" applyProtection="1">
      <alignment horizontal="left"/>
    </xf>
    <xf numFmtId="0" fontId="22"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4" fillId="0" borderId="11" xfId="0" applyFont="1" applyBorder="1" applyAlignment="1" applyProtection="1">
      <alignment horizontal="left"/>
    </xf>
    <xf numFmtId="0" fontId="22"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2" fillId="0" borderId="0" xfId="0" applyFont="1" applyAlignment="1" applyProtection="1"/>
    <xf numFmtId="0" fontId="24" fillId="0" borderId="3" xfId="0" applyFont="1" applyBorder="1" applyProtection="1"/>
    <xf numFmtId="0" fontId="24" fillId="0" borderId="0" xfId="543" applyFont="1" applyProtection="1"/>
    <xf numFmtId="0" fontId="40" fillId="0" borderId="0" xfId="543" applyFont="1" applyAlignment="1" applyProtection="1"/>
    <xf numFmtId="49" fontId="15" fillId="0" borderId="0" xfId="543" applyNumberFormat="1" applyFont="1" applyProtection="1"/>
    <xf numFmtId="0" fontId="38" fillId="0" borderId="0" xfId="543" applyFont="1" applyProtection="1"/>
    <xf numFmtId="168" fontId="35" fillId="0" borderId="6" xfId="543" applyNumberFormat="1" applyFont="1" applyFill="1" applyBorder="1" applyAlignment="1" applyProtection="1">
      <alignment horizontal="left"/>
    </xf>
    <xf numFmtId="168" fontId="35" fillId="0" borderId="6" xfId="543" applyNumberFormat="1" applyFont="1" applyFill="1" applyBorder="1" applyAlignment="1" applyProtection="1">
      <alignment horizontal="center"/>
    </xf>
    <xf numFmtId="0" fontId="15" fillId="0" borderId="8" xfId="543" applyFont="1" applyBorder="1" applyProtection="1"/>
    <xf numFmtId="0" fontId="35" fillId="0" borderId="0" xfId="543" applyFont="1" applyBorder="1" applyAlignment="1" applyProtection="1">
      <alignment horizontal="center"/>
    </xf>
    <xf numFmtId="0" fontId="15" fillId="0" borderId="0" xfId="543" applyFont="1" applyBorder="1" applyProtection="1"/>
    <xf numFmtId="0" fontId="34" fillId="0" borderId="9" xfId="543" applyFont="1" applyBorder="1" applyAlignment="1" applyProtection="1">
      <alignment horizontal="left" vertical="top" wrapText="1"/>
    </xf>
    <xf numFmtId="0" fontId="34" fillId="0" borderId="6" xfId="543" applyFont="1" applyBorder="1" applyAlignment="1" applyProtection="1">
      <alignment horizontal="center" vertical="top" wrapText="1"/>
    </xf>
    <xf numFmtId="0" fontId="15" fillId="0" borderId="9" xfId="543" applyFont="1" applyBorder="1" applyProtection="1"/>
    <xf numFmtId="0" fontId="15" fillId="0" borderId="10" xfId="543" applyFont="1" applyBorder="1" applyProtection="1"/>
    <xf numFmtId="0" fontId="15" fillId="0" borderId="1" xfId="543" applyFont="1" applyBorder="1" applyProtection="1"/>
    <xf numFmtId="0" fontId="35" fillId="0" borderId="2" xfId="543" applyFont="1" applyBorder="1" applyAlignment="1" applyProtection="1">
      <alignment horizontal="center"/>
    </xf>
    <xf numFmtId="0" fontId="37" fillId="0" borderId="8" xfId="543" applyFont="1" applyBorder="1" applyAlignment="1" applyProtection="1">
      <alignment horizontal="left" vertical="top" wrapText="1"/>
    </xf>
    <xf numFmtId="0" fontId="34" fillId="0" borderId="0" xfId="543" applyFont="1" applyBorder="1" applyAlignment="1" applyProtection="1">
      <alignment horizontal="center" vertical="top" wrapText="1"/>
    </xf>
    <xf numFmtId="0" fontId="15" fillId="0" borderId="12" xfId="543" applyFont="1" applyBorder="1" applyProtection="1"/>
    <xf numFmtId="0" fontId="37" fillId="0" borderId="0" xfId="543" applyFont="1" applyBorder="1" applyAlignment="1" applyProtection="1">
      <alignment horizontal="center" vertical="top" wrapText="1"/>
    </xf>
    <xf numFmtId="0" fontId="37" fillId="0" borderId="9" xfId="543" applyFont="1" applyBorder="1" applyAlignment="1" applyProtection="1">
      <alignment horizontal="left" vertical="top" wrapText="1"/>
    </xf>
    <xf numFmtId="0" fontId="15" fillId="0" borderId="2" xfId="543" applyFont="1" applyBorder="1" applyProtection="1"/>
    <xf numFmtId="0" fontId="15" fillId="0" borderId="7" xfId="543" applyFont="1" applyBorder="1" applyProtection="1"/>
    <xf numFmtId="172" fontId="15" fillId="0" borderId="0" xfId="543" applyNumberFormat="1" applyFont="1" applyProtection="1"/>
    <xf numFmtId="172" fontId="15" fillId="0" borderId="0" xfId="543" applyNumberFormat="1" applyFont="1" applyBorder="1" applyAlignment="1" applyProtection="1"/>
    <xf numFmtId="0" fontId="34" fillId="0" borderId="0" xfId="543" applyFont="1" applyAlignment="1" applyProtection="1"/>
    <xf numFmtId="0" fontId="15" fillId="0" borderId="0" xfId="543" applyFont="1" applyFill="1" applyAlignment="1" applyProtection="1">
      <alignment horizontal="center"/>
    </xf>
    <xf numFmtId="0" fontId="24" fillId="0" borderId="0" xfId="0" applyFont="1" applyFill="1" applyProtection="1"/>
    <xf numFmtId="0" fontId="40" fillId="0" borderId="0" xfId="543" applyFont="1" applyProtection="1"/>
    <xf numFmtId="0" fontId="24" fillId="0" borderId="0" xfId="0" applyFont="1" applyAlignment="1" applyProtection="1">
      <alignment horizontal="center"/>
    </xf>
    <xf numFmtId="0" fontId="23" fillId="0" borderId="6" xfId="543" applyFont="1" applyBorder="1" applyAlignment="1" applyProtection="1">
      <alignment vertical="top" wrapText="1"/>
    </xf>
    <xf numFmtId="0" fontId="22" fillId="0" borderId="0" xfId="0" applyFont="1" applyAlignment="1" applyProtection="1">
      <alignment horizontal="left"/>
    </xf>
    <xf numFmtId="0" fontId="24" fillId="0" borderId="0" xfId="0" applyFont="1" applyAlignment="1" applyProtection="1">
      <alignment horizontal="left"/>
    </xf>
    <xf numFmtId="0" fontId="22" fillId="0" borderId="0" xfId="0" applyFont="1" applyAlignment="1" applyProtection="1">
      <alignment horizontal="right"/>
    </xf>
    <xf numFmtId="0" fontId="24" fillId="0" borderId="0" xfId="0" applyFont="1" applyAlignment="1" applyProtection="1">
      <alignment horizontal="right"/>
    </xf>
    <xf numFmtId="0" fontId="24"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4" fillId="0" borderId="0" xfId="0" applyNumberFormat="1" applyFont="1" applyAlignment="1" applyProtection="1"/>
    <xf numFmtId="0" fontId="22" fillId="0" borderId="6" xfId="0" applyFont="1" applyBorder="1" applyAlignment="1" applyProtection="1">
      <alignment horizontal="right"/>
    </xf>
    <xf numFmtId="0" fontId="21" fillId="0" borderId="0" xfId="0" applyFont="1" applyFill="1" applyBorder="1" applyAlignment="1" applyProtection="1">
      <alignment horizontal="center" vertical="center"/>
    </xf>
    <xf numFmtId="0" fontId="22" fillId="0" borderId="0" xfId="0" applyFont="1" applyAlignment="1" applyProtection="1">
      <alignment vertical="top"/>
    </xf>
    <xf numFmtId="166" fontId="0" fillId="0" borderId="0" xfId="0" applyNumberFormat="1" applyFill="1" applyBorder="1" applyAlignment="1" applyProtection="1">
      <alignment horizontal="right"/>
    </xf>
    <xf numFmtId="0" fontId="24" fillId="0" borderId="0" xfId="0" applyFont="1" applyBorder="1" applyAlignment="1" applyProtection="1">
      <alignment horizontal="left"/>
    </xf>
    <xf numFmtId="0" fontId="0" fillId="0" borderId="4" xfId="0" applyFill="1" applyBorder="1" applyProtection="1"/>
    <xf numFmtId="0" fontId="24" fillId="0" borderId="0" xfId="0" applyFont="1"/>
    <xf numFmtId="0" fontId="24" fillId="0" borderId="0" xfId="0" applyFont="1" applyBorder="1"/>
    <xf numFmtId="0" fontId="24" fillId="0" borderId="0" xfId="0" applyFont="1" applyAlignment="1">
      <alignment horizontal="left"/>
    </xf>
    <xf numFmtId="0" fontId="45" fillId="0" borderId="0" xfId="0" applyFont="1"/>
    <xf numFmtId="0" fontId="32" fillId="0" borderId="0" xfId="0" applyFont="1"/>
    <xf numFmtId="0" fontId="22" fillId="0" borderId="0" xfId="0" applyNumberFormat="1" applyFont="1"/>
    <xf numFmtId="0" fontId="15" fillId="0" borderId="0" xfId="0" applyFont="1" applyBorder="1"/>
    <xf numFmtId="0" fontId="16" fillId="0" borderId="0" xfId="244" applyBorder="1" applyProtection="1"/>
    <xf numFmtId="0" fontId="16" fillId="0" borderId="0" xfId="244" applyFill="1" applyBorder="1" applyAlignment="1">
      <alignment horizontal="center" vertical="center"/>
    </xf>
    <xf numFmtId="0" fontId="15" fillId="0" borderId="3" xfId="543" applyFont="1" applyBorder="1" applyProtection="1"/>
    <xf numFmtId="0" fontId="37" fillId="0" borderId="4" xfId="543" applyNumberFormat="1" applyFont="1" applyBorder="1" applyAlignment="1" applyProtection="1">
      <alignment horizontal="right" vertical="top" wrapText="1"/>
    </xf>
    <xf numFmtId="0" fontId="24" fillId="0" borderId="6" xfId="0" applyFont="1" applyBorder="1" applyProtection="1"/>
    <xf numFmtId="0" fontId="24" fillId="0" borderId="2" xfId="0" applyFont="1" applyBorder="1" applyProtection="1"/>
    <xf numFmtId="0" fontId="24" fillId="0" borderId="7" xfId="0" applyFont="1" applyBorder="1" applyProtection="1"/>
    <xf numFmtId="0" fontId="24" fillId="0" borderId="12" xfId="0" applyFont="1" applyBorder="1" applyProtection="1"/>
    <xf numFmtId="0" fontId="24" fillId="0" borderId="9" xfId="0" applyFont="1" applyBorder="1" applyProtection="1"/>
    <xf numFmtId="0" fontId="24" fillId="0" borderId="10" xfId="0" applyFont="1" applyBorder="1" applyProtection="1"/>
    <xf numFmtId="0" fontId="29" fillId="0" borderId="6" xfId="0" applyFont="1" applyBorder="1" applyAlignment="1" applyProtection="1">
      <alignment vertical="top" wrapText="1"/>
    </xf>
    <xf numFmtId="0" fontId="29" fillId="0" borderId="5" xfId="0" applyFont="1" applyBorder="1" applyAlignment="1" applyProtection="1">
      <alignment vertical="top" wrapText="1"/>
    </xf>
    <xf numFmtId="0" fontId="29" fillId="0" borderId="4" xfId="0" applyFont="1" applyBorder="1" applyAlignment="1" applyProtection="1">
      <alignment vertical="top" wrapText="1"/>
    </xf>
    <xf numFmtId="0" fontId="29"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2" fillId="0" borderId="2" xfId="0" applyFont="1" applyBorder="1" applyProtection="1"/>
    <xf numFmtId="0" fontId="24" fillId="0" borderId="0" xfId="0" applyFont="1" applyAlignment="1" applyProtection="1">
      <alignment vertical="top"/>
    </xf>
    <xf numFmtId="0" fontId="24" fillId="0" borderId="0" xfId="0" applyFont="1" applyAlignment="1" applyProtection="1">
      <alignment vertical="top" wrapText="1"/>
    </xf>
    <xf numFmtId="0" fontId="24" fillId="0" borderId="0" xfId="0" applyNumberFormat="1" applyFont="1" applyAlignment="1" applyProtection="1">
      <alignment horizontal="left" vertical="top"/>
    </xf>
    <xf numFmtId="0" fontId="24" fillId="0" borderId="0" xfId="0" applyNumberFormat="1" applyFont="1" applyProtection="1"/>
    <xf numFmtId="0" fontId="15" fillId="0" borderId="0" xfId="0" applyFont="1" applyBorder="1" applyProtection="1"/>
    <xf numFmtId="0" fontId="15" fillId="0" borderId="0" xfId="0" applyFont="1" applyBorder="1" applyAlignment="1" applyProtection="1"/>
    <xf numFmtId="0" fontId="15" fillId="0" borderId="0" xfId="0" applyFont="1" applyBorder="1" applyAlignment="1" applyProtection="1">
      <alignment horizontal="left"/>
    </xf>
    <xf numFmtId="0" fontId="15" fillId="0" borderId="0" xfId="0" applyFont="1" applyAlignment="1" applyProtection="1">
      <alignment vertical="top"/>
    </xf>
    <xf numFmtId="0" fontId="15" fillId="0" borderId="0" xfId="0" applyFont="1" applyAlignment="1" applyProtection="1"/>
    <xf numFmtId="0" fontId="24" fillId="0" borderId="0" xfId="0" applyFont="1" applyFill="1"/>
    <xf numFmtId="0" fontId="22" fillId="0" borderId="0" xfId="0" applyFont="1" applyFill="1"/>
    <xf numFmtId="0" fontId="44" fillId="0" borderId="0" xfId="0" applyFont="1"/>
    <xf numFmtId="0" fontId="15" fillId="0" borderId="3" xfId="0" applyFont="1" applyBorder="1" applyProtection="1"/>
    <xf numFmtId="0" fontId="15"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9" fillId="3" borderId="4" xfId="0" applyFont="1" applyFill="1" applyBorder="1" applyAlignment="1" applyProtection="1">
      <alignment vertical="top" wrapText="1"/>
    </xf>
    <xf numFmtId="0" fontId="29" fillId="3" borderId="5" xfId="0" applyFont="1" applyFill="1" applyBorder="1" applyAlignment="1" applyProtection="1">
      <alignment vertical="top" wrapText="1"/>
    </xf>
    <xf numFmtId="0" fontId="47" fillId="0" borderId="0" xfId="0" applyFont="1"/>
    <xf numFmtId="0" fontId="24" fillId="0" borderId="4" xfId="0" applyFont="1" applyBorder="1"/>
    <xf numFmtId="0" fontId="22" fillId="0" borderId="4" xfId="0" applyFont="1" applyFill="1" applyBorder="1"/>
    <xf numFmtId="0" fontId="22" fillId="0" borderId="0" xfId="0" applyFont="1" applyBorder="1"/>
    <xf numFmtId="0" fontId="22" fillId="0" borderId="0" xfId="0" applyFont="1" applyFill="1" applyBorder="1"/>
    <xf numFmtId="0" fontId="22" fillId="0" borderId="2" xfId="0" applyFont="1" applyBorder="1" applyAlignment="1" applyProtection="1">
      <alignment horizontal="center"/>
    </xf>
    <xf numFmtId="0" fontId="22" fillId="0" borderId="0" xfId="0" applyFont="1" applyBorder="1" applyAlignment="1" applyProtection="1">
      <alignment horizontal="center" vertical="center" wrapText="1"/>
    </xf>
    <xf numFmtId="0" fontId="22" fillId="0" borderId="7" xfId="543" applyFont="1" applyBorder="1" applyAlignment="1" applyProtection="1">
      <alignment horizontal="right"/>
    </xf>
    <xf numFmtId="0" fontId="23" fillId="0" borderId="9" xfId="543" applyFont="1" applyBorder="1" applyProtection="1"/>
    <xf numFmtId="0" fontId="24" fillId="0" borderId="6" xfId="543" applyFont="1" applyBorder="1" applyProtection="1"/>
    <xf numFmtId="0" fontId="23" fillId="0" borderId="6" xfId="543" applyFont="1" applyBorder="1" applyAlignment="1" applyProtection="1">
      <alignment horizontal="right"/>
    </xf>
    <xf numFmtId="0" fontId="22" fillId="0" borderId="0" xfId="0" applyFont="1" applyBorder="1" applyAlignment="1" applyProtection="1">
      <alignment horizontal="center" vertical="center"/>
    </xf>
    <xf numFmtId="0" fontId="24" fillId="0" borderId="0" xfId="0" applyFont="1" applyBorder="1" applyAlignment="1" applyProtection="1">
      <alignment horizontal="left" vertical="center"/>
    </xf>
    <xf numFmtId="0" fontId="0" fillId="0" borderId="0" xfId="0" applyBorder="1" applyAlignment="1" applyProtection="1"/>
    <xf numFmtId="0" fontId="24" fillId="0" borderId="0" xfId="0" applyFont="1" applyFill="1" applyBorder="1" applyAlignment="1" applyProtection="1">
      <alignment horizontal="left" vertical="center"/>
    </xf>
    <xf numFmtId="0" fontId="24" fillId="0" borderId="0" xfId="0" applyNumberFormat="1" applyFont="1" applyAlignment="1" applyProtection="1">
      <alignment vertical="top"/>
    </xf>
    <xf numFmtId="0" fontId="53" fillId="0" borderId="3" xfId="0" applyFont="1" applyBorder="1" applyAlignment="1" applyProtection="1">
      <alignment horizontal="left" vertical="top"/>
    </xf>
    <xf numFmtId="0" fontId="53" fillId="0" borderId="13" xfId="0" applyFont="1" applyBorder="1" applyAlignment="1" applyProtection="1">
      <alignment horizontal="center" wrapText="1"/>
    </xf>
    <xf numFmtId="0" fontId="53" fillId="0" borderId="13" xfId="0" applyFont="1" applyFill="1" applyBorder="1" applyAlignment="1" applyProtection="1">
      <alignment horizontal="center" vertical="top" wrapText="1"/>
    </xf>
    <xf numFmtId="0" fontId="53" fillId="2" borderId="13" xfId="0" applyFont="1" applyFill="1" applyBorder="1" applyAlignment="1" applyProtection="1">
      <alignment horizontal="center" wrapText="1"/>
    </xf>
    <xf numFmtId="0" fontId="54" fillId="2" borderId="11" xfId="0" applyFont="1" applyFill="1" applyBorder="1" applyAlignment="1" applyProtection="1">
      <alignment horizontal="left" vertical="top" wrapText="1"/>
    </xf>
    <xf numFmtId="0" fontId="55" fillId="4" borderId="11" xfId="0" applyFont="1" applyFill="1" applyBorder="1" applyAlignment="1" applyProtection="1">
      <alignment vertical="top" wrapText="1"/>
    </xf>
    <xf numFmtId="0" fontId="55" fillId="2" borderId="11" xfId="0" applyFont="1" applyFill="1" applyBorder="1" applyAlignment="1" applyProtection="1">
      <alignment vertical="top" wrapText="1"/>
    </xf>
    <xf numFmtId="0" fontId="55" fillId="0" borderId="11" xfId="0" applyFont="1" applyBorder="1" applyAlignment="1" applyProtection="1">
      <alignment vertical="top" wrapText="1"/>
    </xf>
    <xf numFmtId="0" fontId="55" fillId="0" borderId="11" xfId="0" applyFont="1" applyBorder="1" applyAlignment="1" applyProtection="1">
      <alignment horizontal="right" vertical="top" wrapText="1"/>
    </xf>
    <xf numFmtId="168" fontId="55" fillId="0" borderId="11" xfId="0" applyNumberFormat="1" applyFont="1" applyFill="1" applyBorder="1" applyAlignment="1" applyProtection="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pplyProtection="1">
      <alignment horizontal="center"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5" fillId="4" borderId="11" xfId="0" applyNumberFormat="1" applyFont="1" applyFill="1" applyBorder="1" applyAlignment="1" applyProtection="1">
      <alignment vertical="top" wrapText="1"/>
    </xf>
    <xf numFmtId="0" fontId="55" fillId="5" borderId="11" xfId="0" applyFont="1" applyFill="1" applyBorder="1" applyAlignment="1" applyProtection="1">
      <alignment horizontal="right" vertical="top" wrapText="1"/>
      <protection locked="0"/>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18" fillId="0" borderId="11" xfId="0" applyFont="1" applyBorder="1" applyAlignment="1" applyProtection="1">
      <alignment horizontal="right" vertical="top" wrapText="1"/>
    </xf>
    <xf numFmtId="0" fontId="55" fillId="0" borderId="11" xfId="0" applyFont="1" applyFill="1" applyBorder="1" applyAlignment="1" applyProtection="1">
      <alignment horizontal="right" vertical="top" wrapText="1"/>
      <protection locked="0"/>
    </xf>
    <xf numFmtId="0" fontId="53" fillId="0" borderId="0" xfId="0" applyFont="1" applyBorder="1" applyAlignment="1" applyProtection="1">
      <alignment horizontal="left" vertical="top"/>
    </xf>
    <xf numFmtId="0" fontId="55" fillId="0" borderId="0" xfId="0" applyFont="1" applyBorder="1" applyAlignment="1" applyProtection="1">
      <alignment horizontal="left" vertical="top"/>
    </xf>
    <xf numFmtId="0" fontId="55" fillId="0" borderId="0" xfId="0" applyFont="1" applyBorder="1" applyAlignment="1" applyProtection="1">
      <alignment vertical="top" wrapText="1"/>
    </xf>
    <xf numFmtId="0" fontId="55" fillId="0" borderId="0" xfId="0" applyFont="1" applyBorder="1" applyAlignment="1" applyProtection="1">
      <alignment vertical="top"/>
    </xf>
    <xf numFmtId="0" fontId="53" fillId="0" borderId="0" xfId="0" applyFont="1" applyBorder="1" applyAlignment="1" applyProtection="1">
      <alignment horizontal="right" vertical="top"/>
    </xf>
    <xf numFmtId="0" fontId="55" fillId="2" borderId="0" xfId="0" applyFont="1" applyFill="1" applyBorder="1" applyAlignment="1" applyProtection="1">
      <alignment vertical="top" wrapText="1"/>
    </xf>
    <xf numFmtId="0" fontId="53" fillId="0" borderId="0" xfId="0" applyFont="1" applyBorder="1" applyAlignment="1" applyProtection="1">
      <alignment vertical="top"/>
    </xf>
    <xf numFmtId="168" fontId="53"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5" fillId="0" borderId="0" xfId="0" applyFont="1" applyFill="1" applyBorder="1" applyAlignment="1" applyProtection="1"/>
    <xf numFmtId="166" fontId="24" fillId="0" borderId="0" xfId="0" applyNumberFormat="1" applyFont="1" applyFill="1" applyBorder="1" applyAlignment="1" applyProtection="1">
      <alignment horizontal="left"/>
    </xf>
    <xf numFmtId="0" fontId="15" fillId="0" borderId="0" xfId="0" applyFont="1" applyFill="1" applyProtection="1"/>
    <xf numFmtId="0" fontId="15" fillId="0" borderId="0" xfId="0" applyFont="1" applyFill="1" applyBorder="1" applyProtection="1"/>
    <xf numFmtId="0" fontId="56" fillId="0" borderId="0" xfId="0" applyFont="1" applyFill="1" applyBorder="1" applyProtection="1"/>
    <xf numFmtId="0" fontId="15" fillId="0" borderId="0" xfId="244" applyFont="1" applyFill="1" applyBorder="1" applyAlignment="1" applyProtection="1">
      <alignment horizontal="left"/>
    </xf>
    <xf numFmtId="0" fontId="46" fillId="0" borderId="0" xfId="0" applyFont="1" applyFill="1" applyAlignment="1" applyProtection="1"/>
    <xf numFmtId="0" fontId="46" fillId="0" borderId="0" xfId="0" applyFont="1" applyFill="1" applyProtection="1"/>
    <xf numFmtId="0" fontId="46" fillId="0" borderId="0" xfId="244" applyFont="1" applyFill="1" applyBorder="1" applyAlignment="1" applyProtection="1">
      <alignment horizontal="left"/>
    </xf>
    <xf numFmtId="0" fontId="21" fillId="3" borderId="11" xfId="0" applyFont="1" applyFill="1" applyBorder="1" applyAlignment="1" applyProtection="1">
      <alignment vertical="top"/>
    </xf>
    <xf numFmtId="0" fontId="0" fillId="7" borderId="0" xfId="0" applyFill="1"/>
    <xf numFmtId="0" fontId="44" fillId="0" borderId="0" xfId="0" applyFont="1" applyFill="1"/>
    <xf numFmtId="0" fontId="0" fillId="0" borderId="0" xfId="0" applyAlignment="1">
      <alignment horizontal="left"/>
    </xf>
    <xf numFmtId="0" fontId="44" fillId="0" borderId="0" xfId="0" applyNumberFormat="1" applyFont="1"/>
    <xf numFmtId="0" fontId="0" fillId="0" borderId="0" xfId="0" applyBorder="1" applyAlignment="1"/>
    <xf numFmtId="0" fontId="35" fillId="0" borderId="0" xfId="0" applyFont="1" applyFill="1"/>
    <xf numFmtId="0" fontId="58" fillId="0" borderId="0" xfId="0" applyFont="1"/>
    <xf numFmtId="0" fontId="15" fillId="0" borderId="0" xfId="0" applyFont="1" applyFill="1" applyBorder="1" applyAlignment="1" applyProtection="1">
      <alignment horizontal="left"/>
    </xf>
    <xf numFmtId="0" fontId="33" fillId="0" borderId="0" xfId="0" applyFont="1" applyAlignment="1" applyProtection="1">
      <alignment horizontal="center"/>
    </xf>
    <xf numFmtId="0" fontId="33" fillId="0" borderId="0" xfId="0" applyFont="1" applyAlignment="1" applyProtection="1"/>
    <xf numFmtId="0" fontId="33" fillId="0" borderId="0" xfId="0" applyFont="1" applyFill="1" applyAlignment="1" applyProtection="1">
      <alignment horizontal="center"/>
    </xf>
    <xf numFmtId="0" fontId="33" fillId="0" borderId="0" xfId="0" applyFont="1" applyAlignment="1" applyProtection="1">
      <alignment horizontal="left"/>
    </xf>
    <xf numFmtId="0" fontId="33" fillId="0" borderId="0" xfId="0" applyFont="1" applyProtection="1"/>
    <xf numFmtId="49" fontId="22" fillId="0" borderId="0" xfId="0" applyNumberFormat="1" applyFont="1" applyAlignment="1" applyProtection="1">
      <alignment horizontal="center"/>
    </xf>
    <xf numFmtId="0" fontId="50" fillId="0" borderId="0" xfId="0" applyFont="1" applyAlignment="1" applyProtection="1">
      <alignment horizontal="center"/>
    </xf>
    <xf numFmtId="0" fontId="49" fillId="0" borderId="0" xfId="244" applyFont="1" applyAlignment="1" applyProtection="1">
      <alignment horizontal="center"/>
    </xf>
    <xf numFmtId="0" fontId="24" fillId="0" borderId="0" xfId="0" quotePrefix="1" applyFont="1" applyAlignment="1" applyProtection="1">
      <alignment horizontal="left"/>
    </xf>
    <xf numFmtId="0" fontId="22" fillId="0" borderId="0" xfId="0" applyFont="1" applyBorder="1" applyAlignment="1" applyProtection="1"/>
    <xf numFmtId="0" fontId="24" fillId="0" borderId="0" xfId="0" applyFont="1" applyBorder="1" applyAlignment="1" applyProtection="1">
      <alignment horizontal="center"/>
    </xf>
    <xf numFmtId="49" fontId="24" fillId="0" borderId="0" xfId="0" applyNumberFormat="1" applyFont="1" applyAlignment="1" applyProtection="1">
      <alignment horizontal="center"/>
    </xf>
    <xf numFmtId="0" fontId="33" fillId="0" borderId="0" xfId="0" applyFont="1" applyBorder="1" applyAlignment="1" applyProtection="1">
      <alignment horizontal="center"/>
    </xf>
    <xf numFmtId="0" fontId="22" fillId="0" borderId="0" xfId="0" quotePrefix="1" applyFont="1" applyAlignment="1" applyProtection="1">
      <alignment horizontal="center"/>
    </xf>
    <xf numFmtId="49" fontId="0" fillId="0" borderId="0" xfId="0" applyNumberFormat="1" applyProtection="1"/>
    <xf numFmtId="0" fontId="47" fillId="0" borderId="0" xfId="0" applyFont="1" applyAlignment="1" applyProtection="1">
      <alignment horizontal="left"/>
    </xf>
    <xf numFmtId="49" fontId="24" fillId="0" borderId="0" xfId="0" applyNumberFormat="1" applyFont="1" applyProtection="1"/>
    <xf numFmtId="49" fontId="0" fillId="0" borderId="0" xfId="0" applyNumberFormat="1" applyFill="1" applyProtection="1"/>
    <xf numFmtId="0" fontId="24" fillId="0" borderId="0" xfId="0" applyFont="1" applyFill="1" applyAlignment="1" applyProtection="1">
      <alignment horizontal="center"/>
    </xf>
    <xf numFmtId="0" fontId="24" fillId="0" borderId="0" xfId="0" applyFont="1" applyFill="1" applyAlignment="1" applyProtection="1">
      <alignment horizontal="left"/>
    </xf>
    <xf numFmtId="49" fontId="24" fillId="0" borderId="0" xfId="0" applyNumberFormat="1" applyFont="1" applyFill="1" applyProtection="1"/>
    <xf numFmtId="49" fontId="22" fillId="0" borderId="0" xfId="0" applyNumberFormat="1" applyFont="1" applyAlignment="1" applyProtection="1">
      <alignment horizontal="left"/>
    </xf>
    <xf numFmtId="0" fontId="33" fillId="0" borderId="0" xfId="0" applyFont="1" applyBorder="1" applyAlignment="1" applyProtection="1">
      <alignment horizontal="left"/>
    </xf>
    <xf numFmtId="0" fontId="24" fillId="0" borderId="0" xfId="0" applyFont="1" applyFill="1" applyAlignment="1" applyProtection="1">
      <alignment horizontal="left" vertical="top"/>
    </xf>
    <xf numFmtId="0" fontId="23" fillId="0" borderId="0" xfId="0" applyFont="1" applyFill="1" applyAlignment="1" applyProtection="1">
      <alignment horizontal="left" vertical="top"/>
    </xf>
    <xf numFmtId="0" fontId="24" fillId="0" borderId="0" xfId="0" applyFont="1" applyFill="1" applyAlignment="1" applyProtection="1"/>
    <xf numFmtId="168" fontId="24"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4" fillId="0" borderId="0" xfId="0" applyNumberFormat="1" applyFont="1" applyFill="1" applyBorder="1" applyAlignment="1" applyProtection="1">
      <alignment horizontal="left" vertical="top" wrapText="1"/>
    </xf>
    <xf numFmtId="0" fontId="52" fillId="0" borderId="3" xfId="0" applyFont="1" applyBorder="1" applyProtection="1"/>
    <xf numFmtId="168" fontId="0" fillId="0" borderId="0" xfId="0" applyNumberFormat="1" applyFill="1" applyBorder="1" applyAlignment="1" applyProtection="1">
      <alignment horizontal="center"/>
    </xf>
    <xf numFmtId="0" fontId="35" fillId="0" borderId="0" xfId="0" applyFont="1" applyFill="1" applyAlignment="1">
      <alignment vertical="top" wrapText="1"/>
    </xf>
    <xf numFmtId="0" fontId="53" fillId="0" borderId="4" xfId="0" applyFont="1" applyBorder="1" applyAlignment="1" applyProtection="1">
      <alignment horizontal="right"/>
    </xf>
    <xf numFmtId="0" fontId="60" fillId="0" borderId="0" xfId="0" applyFont="1"/>
    <xf numFmtId="3" fontId="24"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left" vertical="top"/>
    </xf>
    <xf numFmtId="168" fontId="24" fillId="0" borderId="0" xfId="0" applyNumberFormat="1" applyFont="1" applyFill="1" applyBorder="1" applyAlignment="1" applyProtection="1">
      <alignment horizontal="left" vertical="top"/>
    </xf>
    <xf numFmtId="0" fontId="24" fillId="0" borderId="0" xfId="0" applyFont="1" applyAlignment="1" applyProtection="1">
      <alignment horizontal="center" vertical="center"/>
    </xf>
    <xf numFmtId="0" fontId="24" fillId="0" borderId="0" xfId="0" applyFont="1" applyAlignment="1">
      <alignment horizontal="center" vertical="center"/>
    </xf>
    <xf numFmtId="0" fontId="24" fillId="0" borderId="0" xfId="0" applyFont="1" applyAlignment="1">
      <alignment vertical="center"/>
    </xf>
    <xf numFmtId="0" fontId="0" fillId="0" borderId="0" xfId="0" applyAlignment="1">
      <alignment vertical="center"/>
    </xf>
    <xf numFmtId="0" fontId="55" fillId="0" borderId="11" xfId="0" applyFont="1" applyBorder="1" applyAlignment="1" applyProtection="1">
      <alignment horizontal="right" vertical="top"/>
    </xf>
    <xf numFmtId="0" fontId="55" fillId="0" borderId="0" xfId="0" applyFont="1" applyBorder="1" applyAlignment="1" applyProtection="1">
      <alignment horizontal="right" vertical="top" wrapText="1"/>
    </xf>
    <xf numFmtId="0" fontId="55" fillId="2" borderId="12" xfId="0" applyFont="1" applyFill="1" applyBorder="1" applyAlignment="1" applyProtection="1">
      <alignment vertical="top" wrapText="1"/>
    </xf>
    <xf numFmtId="0" fontId="55" fillId="0" borderId="14" xfId="0" applyFont="1" applyBorder="1" applyAlignment="1" applyProtection="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Fill="1" applyBorder="1" applyAlignment="1" applyProtection="1">
      <alignment vertical="top"/>
    </xf>
    <xf numFmtId="168" fontId="55" fillId="6" borderId="11" xfId="0" applyNumberFormat="1" applyFont="1" applyFill="1" applyBorder="1" applyAlignment="1" applyProtection="1">
      <alignment horizontal="center" vertical="top"/>
    </xf>
    <xf numFmtId="0" fontId="22" fillId="0" borderId="0" xfId="542" applyFont="1" applyAlignment="1" applyProtection="1">
      <protection locked="0"/>
    </xf>
    <xf numFmtId="0" fontId="15" fillId="0" borderId="0" xfId="539" applyAlignment="1" applyProtection="1"/>
    <xf numFmtId="0" fontId="35" fillId="8" borderId="0" xfId="539" applyFont="1" applyFill="1" applyAlignment="1" applyProtection="1">
      <alignment horizontal="centerContinuous"/>
    </xf>
    <xf numFmtId="0" fontId="15" fillId="0" borderId="0" xfId="539" applyProtection="1"/>
    <xf numFmtId="0" fontId="46" fillId="0" borderId="0" xfId="0" applyFont="1" applyProtection="1"/>
    <xf numFmtId="4" fontId="24" fillId="0" borderId="0" xfId="0" applyNumberFormat="1" applyFont="1" applyProtection="1"/>
    <xf numFmtId="0" fontId="33" fillId="0"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49" fontId="24" fillId="0" borderId="0" xfId="0" applyNumberFormat="1" applyFont="1" applyAlignment="1">
      <alignment horizontal="center"/>
    </xf>
    <xf numFmtId="0" fontId="22" fillId="0" borderId="0" xfId="543" applyFont="1" applyProtection="1"/>
    <xf numFmtId="0" fontId="25" fillId="0" borderId="0" xfId="0" applyFont="1" applyFill="1" applyBorder="1" applyAlignment="1" applyProtection="1"/>
    <xf numFmtId="0" fontId="24" fillId="0" borderId="0" xfId="543" applyFont="1" applyAlignment="1" applyProtection="1">
      <alignment horizontal="left"/>
    </xf>
    <xf numFmtId="0" fontId="24" fillId="0" borderId="0" xfId="543" applyFont="1" applyFill="1" applyAlignment="1" applyProtection="1">
      <alignment horizontal="left"/>
    </xf>
    <xf numFmtId="0" fontId="24" fillId="0" borderId="15" xfId="0" applyFont="1" applyBorder="1" applyProtection="1"/>
    <xf numFmtId="0" fontId="24" fillId="0" borderId="11" xfId="0" applyFont="1" applyBorder="1" applyProtection="1"/>
    <xf numFmtId="2" fontId="38" fillId="0" borderId="11" xfId="0" applyNumberFormat="1" applyFont="1" applyBorder="1" applyProtection="1"/>
    <xf numFmtId="0" fontId="15" fillId="0" borderId="0" xfId="0" applyFont="1" applyProtection="1">
      <protection locked="0"/>
    </xf>
    <xf numFmtId="0" fontId="63" fillId="0" borderId="0" xfId="0" applyFont="1" applyAlignment="1">
      <alignment horizontal="center"/>
    </xf>
    <xf numFmtId="0" fontId="24" fillId="0" borderId="0" xfId="271"/>
    <xf numFmtId="0" fontId="22" fillId="0" borderId="0" xfId="271" applyFont="1"/>
    <xf numFmtId="0" fontId="24" fillId="0" borderId="0" xfId="271" applyFont="1"/>
    <xf numFmtId="0" fontId="24" fillId="0" borderId="0" xfId="271" applyFill="1"/>
    <xf numFmtId="0" fontId="24" fillId="0" borderId="0" xfId="271" applyFont="1" applyFill="1"/>
    <xf numFmtId="0" fontId="22" fillId="0" borderId="0" xfId="271" applyFont="1" applyFill="1"/>
    <xf numFmtId="0" fontId="24" fillId="0" borderId="0" xfId="271" applyAlignment="1">
      <alignment horizontal="left"/>
    </xf>
    <xf numFmtId="0" fontId="24" fillId="0" borderId="0" xfId="271" applyFill="1" applyAlignment="1">
      <alignment horizontal="left"/>
    </xf>
    <xf numFmtId="0" fontId="16" fillId="0" borderId="0" xfId="244" applyFill="1" applyBorder="1" applyProtection="1">
      <protection locked="0"/>
    </xf>
    <xf numFmtId="0" fontId="22" fillId="0" borderId="0" xfId="271" applyFont="1" applyProtection="1"/>
    <xf numFmtId="168" fontId="22" fillId="0" borderId="2" xfId="543" applyNumberFormat="1" applyFont="1" applyFill="1" applyBorder="1" applyAlignment="1" applyProtection="1">
      <alignment horizontal="center" vertical="center"/>
    </xf>
    <xf numFmtId="0" fontId="0" fillId="0" borderId="5" xfId="0" applyFill="1" applyBorder="1" applyProtection="1"/>
    <xf numFmtId="0" fontId="37" fillId="0" borderId="0" xfId="543" applyNumberFormat="1" applyFont="1" applyBorder="1" applyAlignment="1" applyProtection="1">
      <alignment horizontal="right" vertical="top" wrapText="1"/>
    </xf>
    <xf numFmtId="0" fontId="35" fillId="0" borderId="2" xfId="543" applyNumberFormat="1" applyFont="1" applyBorder="1" applyAlignment="1" applyProtection="1">
      <alignment horizontal="right" vertical="top" wrapText="1"/>
    </xf>
    <xf numFmtId="0" fontId="20" fillId="0" borderId="0" xfId="0" applyFont="1"/>
    <xf numFmtId="0" fontId="65" fillId="0" borderId="0" xfId="0" applyFont="1"/>
    <xf numFmtId="0" fontId="63" fillId="0" borderId="0" xfId="0" applyFont="1"/>
    <xf numFmtId="0" fontId="35" fillId="0" borderId="0" xfId="543" applyNumberFormat="1" applyFont="1" applyBorder="1" applyAlignment="1" applyProtection="1">
      <alignment horizontal="right" vertical="top" wrapText="1"/>
    </xf>
    <xf numFmtId="0" fontId="22" fillId="0" borderId="0" xfId="0" applyFont="1" applyAlignment="1">
      <alignment horizontal="center"/>
    </xf>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3" fontId="24" fillId="0" borderId="0" xfId="0" applyNumberFormat="1" applyFont="1" applyAlignment="1">
      <alignment horizontal="center"/>
    </xf>
    <xf numFmtId="0" fontId="64" fillId="0" borderId="0" xfId="0" applyFont="1"/>
    <xf numFmtId="168" fontId="20" fillId="0" borderId="0" xfId="0" applyNumberFormat="1" applyFont="1"/>
    <xf numFmtId="10" fontId="20" fillId="0" borderId="0" xfId="0" applyNumberFormat="1" applyFont="1" applyAlignment="1">
      <alignment horizontal="center"/>
    </xf>
    <xf numFmtId="3" fontId="67" fillId="0" borderId="0" xfId="0" applyNumberFormat="1" applyFont="1"/>
    <xf numFmtId="3" fontId="20" fillId="0" borderId="0" xfId="0" applyNumberFormat="1" applyFont="1"/>
    <xf numFmtId="168" fontId="64" fillId="0" borderId="0" xfId="0" applyNumberFormat="1" applyFont="1"/>
    <xf numFmtId="168" fontId="64"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10" fontId="24" fillId="0" borderId="0" xfId="0" applyNumberFormat="1" applyFont="1" applyAlignment="1">
      <alignment horizontal="center"/>
    </xf>
    <xf numFmtId="168" fontId="24" fillId="0" borderId="0" xfId="0" applyNumberFormat="1" applyFont="1" applyAlignment="1">
      <alignment horizontal="center"/>
    </xf>
    <xf numFmtId="3" fontId="24" fillId="0" borderId="0" xfId="0" applyNumberFormat="1" applyFont="1" applyAlignment="1">
      <alignment vertical="top"/>
    </xf>
    <xf numFmtId="10" fontId="22" fillId="0" borderId="0" xfId="0" applyNumberFormat="1" applyFont="1" applyFill="1" applyAlignment="1">
      <alignment horizontal="center"/>
    </xf>
    <xf numFmtId="0" fontId="63" fillId="0" borderId="6" xfId="0" applyFont="1" applyBorder="1" applyAlignment="1">
      <alignment horizontal="center"/>
    </xf>
    <xf numFmtId="3" fontId="67" fillId="0" borderId="6" xfId="0" applyNumberFormat="1" applyFont="1" applyBorder="1"/>
    <xf numFmtId="172" fontId="24" fillId="0" borderId="0" xfId="0" applyNumberFormat="1" applyFont="1" applyAlignment="1">
      <alignment horizontal="center"/>
    </xf>
    <xf numFmtId="10" fontId="68" fillId="0" borderId="0" xfId="0" applyNumberFormat="1" applyFont="1" applyAlignment="1">
      <alignment horizontal="center"/>
    </xf>
    <xf numFmtId="172" fontId="24" fillId="0" borderId="0" xfId="0" applyNumberFormat="1" applyFont="1" applyFill="1" applyAlignment="1">
      <alignment horizontal="center"/>
    </xf>
    <xf numFmtId="4" fontId="24" fillId="0" borderId="0" xfId="271" applyNumberFormat="1" applyFont="1" applyAlignment="1" applyProtection="1">
      <alignment horizontal="left"/>
    </xf>
    <xf numFmtId="0" fontId="24" fillId="0" borderId="0" xfId="271" applyFont="1" applyAlignment="1" applyProtection="1">
      <alignment horizontal="center"/>
    </xf>
    <xf numFmtId="0" fontId="0" fillId="0" borderId="0" xfId="0" applyAlignment="1">
      <alignment horizontal="right"/>
    </xf>
    <xf numFmtId="0" fontId="24" fillId="0" borderId="0" xfId="0" applyFont="1" applyBorder="1" applyAlignment="1" applyProtection="1"/>
    <xf numFmtId="0" fontId="24" fillId="9" borderId="6" xfId="0" applyFont="1" applyFill="1" applyBorder="1" applyAlignment="1" applyProtection="1"/>
    <xf numFmtId="0" fontId="24" fillId="0" borderId="0" xfId="271" applyFont="1" applyProtection="1"/>
    <xf numFmtId="0" fontId="24" fillId="0" borderId="0" xfId="271" applyProtection="1"/>
    <xf numFmtId="0" fontId="24" fillId="0" borderId="0" xfId="271" applyBorder="1" applyProtection="1"/>
    <xf numFmtId="0" fontId="22" fillId="0" borderId="0" xfId="271" applyFont="1" applyBorder="1" applyProtection="1"/>
    <xf numFmtId="0" fontId="24" fillId="0" borderId="0" xfId="271" applyFont="1" applyBorder="1" applyProtection="1"/>
    <xf numFmtId="0" fontId="24" fillId="0" borderId="0" xfId="271" applyFont="1" applyFill="1" applyBorder="1" applyProtection="1"/>
    <xf numFmtId="0" fontId="24" fillId="0" borderId="4" xfId="271" applyFont="1" applyBorder="1" applyProtection="1"/>
    <xf numFmtId="0" fontId="24" fillId="0" borderId="6" xfId="271" applyFont="1" applyBorder="1" applyProtection="1"/>
    <xf numFmtId="0" fontId="38" fillId="0" borderId="0" xfId="0" applyFont="1" applyFill="1" applyBorder="1" applyProtection="1"/>
    <xf numFmtId="0" fontId="24" fillId="0" borderId="1" xfId="0" applyFont="1" applyBorder="1" applyProtection="1"/>
    <xf numFmtId="168" fontId="24" fillId="0" borderId="3" xfId="0" applyNumberFormat="1" applyFont="1" applyFill="1" applyBorder="1" applyAlignment="1" applyProtection="1">
      <alignment vertical="top"/>
    </xf>
    <xf numFmtId="168" fontId="24" fillId="0" borderId="4" xfId="0" applyNumberFormat="1" applyFont="1" applyFill="1" applyBorder="1" applyAlignment="1" applyProtection="1">
      <alignment vertical="top"/>
    </xf>
    <xf numFmtId="168" fontId="24" fillId="0" borderId="5" xfId="0" applyNumberFormat="1" applyFont="1" applyFill="1" applyBorder="1" applyAlignment="1" applyProtection="1">
      <alignment vertical="top"/>
    </xf>
    <xf numFmtId="168" fontId="24" fillId="0" borderId="8" xfId="0" applyNumberFormat="1" applyFont="1" applyFill="1" applyBorder="1" applyAlignment="1" applyProtection="1">
      <alignment vertical="top"/>
    </xf>
    <xf numFmtId="168" fontId="24" fillId="0" borderId="0" xfId="0" applyNumberFormat="1" applyFont="1" applyFill="1" applyBorder="1" applyAlignment="1" applyProtection="1">
      <alignment vertical="top"/>
    </xf>
    <xf numFmtId="0" fontId="24" fillId="0" borderId="0" xfId="0" applyNumberFormat="1" applyFont="1" applyFill="1" applyBorder="1" applyAlignment="1" applyProtection="1">
      <alignment horizontal="right" vertical="top"/>
    </xf>
    <xf numFmtId="0" fontId="24"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4" fillId="5" borderId="4" xfId="0" applyNumberFormat="1" applyFont="1" applyFill="1" applyBorder="1" applyAlignment="1" applyProtection="1">
      <alignment horizontal="left" vertical="top"/>
      <protection locked="0"/>
    </xf>
    <xf numFmtId="0" fontId="24" fillId="5" borderId="5" xfId="0" applyNumberFormat="1" applyFont="1" applyFill="1" applyBorder="1" applyAlignment="1" applyProtection="1">
      <alignment horizontal="left" vertical="top"/>
      <protection locked="0"/>
    </xf>
    <xf numFmtId="0" fontId="50" fillId="0" borderId="0" xfId="0" applyFont="1" applyFill="1" applyAlignment="1" applyProtection="1">
      <alignment horizontal="center"/>
    </xf>
    <xf numFmtId="0" fontId="24" fillId="0" borderId="0" xfId="271" applyFont="1" applyAlignment="1">
      <alignment horizontal="left"/>
    </xf>
    <xf numFmtId="0" fontId="24" fillId="0" borderId="0" xfId="271" applyFont="1" applyFill="1" applyAlignment="1" applyProtection="1"/>
    <xf numFmtId="0" fontId="24" fillId="0" borderId="0" xfId="0" applyFont="1" applyFill="1" applyBorder="1" applyAlignment="1" applyProtection="1"/>
    <xf numFmtId="4" fontId="50" fillId="0" borderId="0" xfId="0" applyNumberFormat="1" applyFont="1" applyAlignment="1" applyProtection="1">
      <alignment horizontal="center"/>
    </xf>
    <xf numFmtId="4" fontId="24" fillId="0" borderId="0" xfId="0" applyNumberFormat="1" applyFont="1" applyAlignment="1" applyProtection="1">
      <alignment horizontal="center"/>
    </xf>
    <xf numFmtId="4" fontId="0" fillId="0" borderId="0" xfId="0" applyNumberFormat="1" applyFill="1" applyProtection="1"/>
    <xf numFmtId="0" fontId="34" fillId="0" borderId="1" xfId="543" applyFont="1" applyBorder="1" applyAlignment="1" applyProtection="1">
      <alignment horizontal="left" vertical="top" wrapText="1"/>
    </xf>
    <xf numFmtId="0" fontId="34" fillId="0" borderId="12" xfId="543" applyFont="1" applyBorder="1" applyAlignment="1" applyProtection="1">
      <alignment horizontal="center" vertical="top" wrapText="1"/>
    </xf>
    <xf numFmtId="0" fontId="34" fillId="0" borderId="8" xfId="543" applyFont="1" applyBorder="1" applyAlignment="1" applyProtection="1">
      <alignment horizontal="left" vertical="top" wrapText="1"/>
    </xf>
    <xf numFmtId="0" fontId="29" fillId="3" borderId="4" xfId="271" applyFont="1" applyFill="1" applyBorder="1" applyAlignment="1" applyProtection="1">
      <alignment vertical="top" wrapText="1"/>
    </xf>
    <xf numFmtId="0" fontId="21" fillId="3" borderId="11" xfId="271" applyFont="1" applyFill="1" applyBorder="1" applyAlignment="1" applyProtection="1">
      <alignment vertical="top"/>
    </xf>
    <xf numFmtId="0" fontId="22" fillId="0" borderId="9" xfId="271" applyFont="1" applyBorder="1" applyAlignment="1" applyProtection="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pplyProtection="1">
      <alignment horizontal="center" wrapText="1"/>
    </xf>
    <xf numFmtId="0" fontId="47" fillId="2" borderId="11" xfId="271" applyFont="1" applyFill="1" applyBorder="1" applyAlignment="1" applyProtection="1">
      <alignment horizontal="left" vertical="top" wrapText="1"/>
    </xf>
    <xf numFmtId="0" fontId="24" fillId="0" borderId="11" xfId="271" applyFont="1" applyBorder="1" applyAlignment="1" applyProtection="1">
      <alignment vertical="top" wrapText="1"/>
      <protection locked="0"/>
    </xf>
    <xf numFmtId="168" fontId="24" fillId="5" borderId="11" xfId="271" applyNumberFormat="1" applyFont="1" applyFill="1" applyBorder="1" applyAlignment="1" applyProtection="1">
      <alignment vertical="top" wrapText="1"/>
      <protection locked="0"/>
    </xf>
    <xf numFmtId="0" fontId="24" fillId="5" borderId="3" xfId="271" applyFont="1" applyFill="1" applyBorder="1" applyAlignment="1" applyProtection="1">
      <alignment vertical="top" wrapText="1"/>
      <protection locked="0"/>
    </xf>
    <xf numFmtId="0" fontId="24" fillId="5" borderId="11" xfId="271" applyFont="1" applyFill="1" applyBorder="1" applyAlignment="1" applyProtection="1">
      <alignment vertical="top" wrapText="1"/>
      <protection locked="0"/>
    </xf>
    <xf numFmtId="0" fontId="24" fillId="0" borderId="11" xfId="271" applyFont="1" applyBorder="1" applyAlignment="1" applyProtection="1">
      <alignment horizontal="right" vertical="top" wrapText="1"/>
    </xf>
    <xf numFmtId="168" fontId="24" fillId="0" borderId="11" xfId="271" applyNumberFormat="1" applyFont="1" applyFill="1" applyBorder="1" applyAlignment="1" applyProtection="1">
      <alignment vertical="top" wrapText="1"/>
    </xf>
    <xf numFmtId="0" fontId="22" fillId="0" borderId="11" xfId="271" applyFont="1" applyBorder="1" applyAlignment="1" applyProtection="1">
      <alignment horizontal="right" vertical="top" wrapText="1"/>
    </xf>
    <xf numFmtId="0" fontId="24" fillId="5" borderId="11" xfId="271" applyFont="1" applyFill="1" applyBorder="1" applyAlignment="1" applyProtection="1">
      <alignment horizontal="right" vertical="top" wrapText="1"/>
      <protection locked="0"/>
    </xf>
    <xf numFmtId="168" fontId="22" fillId="0" borderId="11" xfId="271" applyNumberFormat="1" applyFont="1" applyFill="1" applyBorder="1" applyAlignment="1" applyProtection="1">
      <alignment vertical="top" wrapText="1"/>
    </xf>
    <xf numFmtId="0" fontId="32" fillId="0" borderId="11" xfId="271" applyFont="1" applyBorder="1" applyAlignment="1" applyProtection="1">
      <alignment horizontal="right" vertical="top" wrapText="1"/>
    </xf>
    <xf numFmtId="0" fontId="24" fillId="0" borderId="11" xfId="271" applyFont="1" applyFill="1" applyBorder="1" applyAlignment="1" applyProtection="1">
      <alignment horizontal="right" vertical="top" wrapText="1"/>
    </xf>
    <xf numFmtId="0" fontId="29" fillId="0" borderId="0" xfId="271" applyFont="1" applyBorder="1" applyAlignment="1" applyProtection="1">
      <alignment horizontal="right" vertical="top" wrapText="1"/>
      <protection locked="0"/>
    </xf>
    <xf numFmtId="0" fontId="29" fillId="0" borderId="0" xfId="271" applyFont="1" applyBorder="1" applyAlignment="1" applyProtection="1">
      <alignment vertical="top" wrapText="1"/>
      <protection locked="0"/>
    </xf>
    <xf numFmtId="0" fontId="24" fillId="0" borderId="5" xfId="271" applyFont="1" applyBorder="1" applyAlignment="1" applyProtection="1">
      <alignment vertical="top" wrapText="1"/>
      <protection locked="0"/>
    </xf>
    <xf numFmtId="0" fontId="22" fillId="0" borderId="3" xfId="271" applyFont="1" applyBorder="1" applyAlignment="1" applyProtection="1">
      <alignment horizontal="left" vertical="top"/>
    </xf>
    <xf numFmtId="0" fontId="24" fillId="0" borderId="4" xfId="271" applyFont="1" applyBorder="1" applyAlignment="1" applyProtection="1">
      <alignment horizontal="left" vertical="top"/>
      <protection locked="0"/>
    </xf>
    <xf numFmtId="0" fontId="24" fillId="0" borderId="4" xfId="271" applyFont="1" applyBorder="1" applyAlignment="1" applyProtection="1">
      <alignment vertical="top" wrapText="1"/>
      <protection locked="0"/>
    </xf>
    <xf numFmtId="0" fontId="29" fillId="0" borderId="0" xfId="271" applyFont="1" applyBorder="1" applyAlignment="1" applyProtection="1">
      <alignment vertical="top" wrapText="1"/>
    </xf>
    <xf numFmtId="0" fontId="24" fillId="0" borderId="4" xfId="271" applyFont="1" applyBorder="1" applyAlignment="1" applyProtection="1">
      <alignment vertical="top" wrapText="1"/>
    </xf>
    <xf numFmtId="0" fontId="47" fillId="2" borderId="11" xfId="271" applyFont="1" applyFill="1" applyBorder="1" applyAlignment="1" applyProtection="1">
      <alignment horizontal="left" vertical="top" wrapText="1"/>
      <protection locked="0"/>
    </xf>
    <xf numFmtId="0" fontId="52" fillId="0" borderId="11" xfId="0" applyFont="1" applyBorder="1" applyAlignment="1" applyProtection="1">
      <alignment horizontal="right" vertical="top" wrapText="1"/>
    </xf>
    <xf numFmtId="0" fontId="61" fillId="0" borderId="0" xfId="542" applyProtection="1"/>
    <xf numFmtId="0" fontId="24" fillId="0" borderId="0" xfId="0" applyFont="1" applyFill="1" applyAlignment="1">
      <alignment horizontal="center"/>
    </xf>
    <xf numFmtId="0" fontId="24" fillId="0" borderId="0" xfId="271" applyFont="1" applyFill="1" applyAlignment="1">
      <alignment horizontal="left"/>
    </xf>
    <xf numFmtId="0" fontId="24" fillId="0" borderId="0" xfId="271" applyFont="1" applyBorder="1"/>
    <xf numFmtId="0" fontId="24" fillId="8" borderId="0" xfId="542" quotePrefix="1" applyFont="1" applyFill="1" applyAlignment="1" applyProtection="1">
      <alignment horizontal="left"/>
    </xf>
    <xf numFmtId="0" fontId="15" fillId="0" borderId="0" xfId="0" applyFont="1" applyAlignment="1" applyProtection="1">
      <alignment horizontal="left"/>
    </xf>
    <xf numFmtId="0" fontId="24" fillId="8" borderId="0" xfId="542" applyFont="1" applyFill="1" applyProtection="1"/>
    <xf numFmtId="0" fontId="32" fillId="8" borderId="0" xfId="542" applyFont="1" applyFill="1" applyAlignment="1" applyProtection="1"/>
    <xf numFmtId="0" fontId="52" fillId="0" borderId="11" xfId="271" applyFont="1" applyFill="1" applyBorder="1" applyAlignment="1" applyProtection="1">
      <alignment horizontal="right" vertical="top"/>
    </xf>
    <xf numFmtId="0" fontId="52" fillId="0" borderId="11" xfId="271" applyFont="1" applyFill="1" applyBorder="1" applyAlignment="1" applyProtection="1">
      <alignment horizontal="right" vertical="top" wrapText="1"/>
    </xf>
    <xf numFmtId="0" fontId="24" fillId="0" borderId="0" xfId="271" applyFont="1" applyFill="1" applyAlignment="1" applyProtection="1">
      <alignment horizontal="left" vertical="top"/>
    </xf>
    <xf numFmtId="0" fontId="24" fillId="0" borderId="0" xfId="271" applyNumberFormat="1" applyFont="1" applyFill="1" applyAlignment="1" applyProtection="1">
      <alignment horizontal="left" vertical="top"/>
    </xf>
    <xf numFmtId="0" fontId="22" fillId="0" borderId="0" xfId="271" applyFont="1" applyAlignment="1" applyProtection="1">
      <alignment horizontal="right"/>
    </xf>
    <xf numFmtId="0" fontId="23" fillId="0" borderId="0" xfId="271" applyFont="1" applyFill="1" applyBorder="1" applyAlignment="1" applyProtection="1">
      <alignment horizontal="center"/>
    </xf>
    <xf numFmtId="5" fontId="24" fillId="0" borderId="0" xfId="542" applyNumberFormat="1" applyFont="1" applyProtection="1"/>
    <xf numFmtId="1" fontId="24" fillId="0" borderId="15" xfId="271" applyNumberFormat="1" applyFont="1" applyBorder="1" applyProtection="1"/>
    <xf numFmtId="1" fontId="24" fillId="0" borderId="14" xfId="271" applyNumberFormat="1" applyFont="1" applyBorder="1" applyProtection="1"/>
    <xf numFmtId="0" fontId="23" fillId="0" borderId="6" xfId="271" applyFont="1" applyFill="1" applyBorder="1" applyAlignment="1" applyProtection="1">
      <alignment horizontal="left"/>
    </xf>
    <xf numFmtId="0" fontId="23" fillId="0" borderId="6" xfId="271" applyFont="1" applyFill="1" applyBorder="1" applyAlignment="1" applyProtection="1">
      <alignment horizontal="right"/>
    </xf>
    <xf numFmtId="165" fontId="24" fillId="0" borderId="0" xfId="271" applyNumberFormat="1" applyFont="1" applyProtection="1"/>
    <xf numFmtId="170" fontId="24" fillId="0" borderId="14" xfId="271" applyNumberFormat="1" applyFont="1" applyBorder="1" applyProtection="1"/>
    <xf numFmtId="1" fontId="22" fillId="0" borderId="11" xfId="271" applyNumberFormat="1" applyFont="1" applyBorder="1" applyProtection="1"/>
    <xf numFmtId="165" fontId="22" fillId="0" borderId="11" xfId="271" applyNumberFormat="1" applyFont="1" applyBorder="1" applyProtection="1"/>
    <xf numFmtId="3" fontId="55" fillId="0" borderId="11" xfId="0" applyNumberFormat="1" applyFont="1" applyBorder="1" applyAlignment="1" applyProtection="1">
      <alignment vertical="top" wrapText="1"/>
    </xf>
    <xf numFmtId="166" fontId="24" fillId="0" borderId="0" xfId="0" applyNumberFormat="1" applyFont="1" applyFill="1" applyBorder="1" applyAlignment="1" applyProtection="1"/>
    <xf numFmtId="0" fontId="0" fillId="0" borderId="0" xfId="0" applyAlignment="1" applyProtection="1">
      <protection locked="0"/>
    </xf>
    <xf numFmtId="0" fontId="24" fillId="0" borderId="0" xfId="271" applyFont="1" applyAlignment="1" applyProtection="1">
      <alignment horizontal="left"/>
    </xf>
    <xf numFmtId="49" fontId="0" fillId="0" borderId="0" xfId="0" applyNumberFormat="1" applyFill="1"/>
    <xf numFmtId="49" fontId="24" fillId="0" borderId="0" xfId="0" applyNumberFormat="1" applyFont="1" applyFill="1" applyAlignment="1">
      <alignment horizontal="center"/>
    </xf>
    <xf numFmtId="49" fontId="24" fillId="0" borderId="0" xfId="0" applyNumberFormat="1" applyFont="1" applyFill="1"/>
    <xf numFmtId="0" fontId="22" fillId="0" borderId="0" xfId="271" applyFont="1" applyFill="1" applyAlignment="1">
      <alignment horizontal="left"/>
    </xf>
    <xf numFmtId="0" fontId="20" fillId="0" borderId="0" xfId="0" applyFont="1" applyProtection="1">
      <protection locked="0"/>
    </xf>
    <xf numFmtId="0" fontId="20" fillId="0" borderId="0" xfId="271" applyFont="1" applyBorder="1" applyProtection="1">
      <protection locked="0"/>
    </xf>
    <xf numFmtId="168" fontId="20" fillId="0" borderId="0" xfId="271" applyNumberFormat="1" applyFont="1" applyBorder="1" applyProtection="1">
      <protection locked="0"/>
    </xf>
    <xf numFmtId="49" fontId="24" fillId="0" borderId="0" xfId="271" applyNumberFormat="1" applyFont="1"/>
    <xf numFmtId="4" fontId="24" fillId="0" borderId="0" xfId="271" applyNumberFormat="1" applyFont="1" applyFill="1" applyAlignment="1" applyProtection="1">
      <alignment horizontal="left"/>
    </xf>
    <xf numFmtId="0" fontId="0" fillId="0" borderId="0" xfId="0" applyFont="1" applyProtection="1"/>
    <xf numFmtId="0" fontId="28" fillId="0" borderId="1" xfId="0" applyFont="1" applyBorder="1" applyProtection="1"/>
    <xf numFmtId="0" fontId="15" fillId="0" borderId="2" xfId="0" applyFont="1" applyFill="1" applyBorder="1" applyAlignment="1" applyProtection="1">
      <alignment horizontal="left"/>
    </xf>
    <xf numFmtId="0" fontId="15" fillId="0" borderId="2" xfId="0" applyFont="1" applyBorder="1" applyProtection="1"/>
    <xf numFmtId="0" fontId="28" fillId="0" borderId="8" xfId="0" applyFont="1" applyBorder="1" applyProtection="1"/>
    <xf numFmtId="0" fontId="28" fillId="0" borderId="9" xfId="0" applyFont="1" applyBorder="1" applyProtection="1"/>
    <xf numFmtId="0" fontId="22" fillId="0" borderId="0" xfId="0" applyFont="1" applyBorder="1" applyAlignment="1" applyProtection="1">
      <alignment horizontal="left" vertical="top"/>
    </xf>
    <xf numFmtId="49" fontId="22" fillId="0" borderId="0" xfId="0" applyNumberFormat="1" applyFont="1" applyFill="1" applyAlignment="1">
      <alignment horizontal="center"/>
    </xf>
    <xf numFmtId="49" fontId="22" fillId="0" borderId="0" xfId="0" applyNumberFormat="1" applyFont="1" applyFill="1" applyAlignment="1" applyProtection="1">
      <alignment horizontal="center"/>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32" fillId="0" borderId="0" xfId="0" applyFont="1" applyFill="1"/>
    <xf numFmtId="172" fontId="24" fillId="5" borderId="0" xfId="0" applyNumberFormat="1" applyFont="1" applyFill="1" applyAlignment="1">
      <alignment horizontal="center"/>
    </xf>
    <xf numFmtId="1" fontId="24" fillId="0" borderId="0" xfId="0" applyNumberFormat="1" applyFont="1" applyFill="1" applyBorder="1" applyAlignment="1" applyProtection="1">
      <alignment horizontal="center"/>
    </xf>
    <xf numFmtId="0" fontId="22" fillId="0" borderId="0" xfId="271" applyFont="1" applyBorder="1" applyAlignment="1" applyProtection="1">
      <alignment horizontal="right"/>
    </xf>
    <xf numFmtId="0" fontId="24" fillId="0" borderId="0" xfId="271" applyFont="1" applyFill="1" applyAlignment="1" applyProtection="1">
      <alignment horizontal="left"/>
      <protection locked="0"/>
    </xf>
    <xf numFmtId="0" fontId="24" fillId="0" borderId="0" xfId="0" applyFont="1" applyFill="1" applyAlignment="1" applyProtection="1">
      <alignment horizontal="left"/>
      <protection locked="0"/>
    </xf>
    <xf numFmtId="0" fontId="74" fillId="0" borderId="0" xfId="0" applyFont="1" applyBorder="1" applyAlignment="1" applyProtection="1">
      <alignment horizontal="left" vertical="center"/>
    </xf>
    <xf numFmtId="0" fontId="24" fillId="0" borderId="0" xfId="271" applyBorder="1"/>
    <xf numFmtId="0" fontId="34" fillId="0" borderId="2" xfId="543" applyFont="1" applyBorder="1" applyAlignment="1" applyProtection="1">
      <alignment horizontal="center" vertical="top" wrapText="1"/>
    </xf>
    <xf numFmtId="49" fontId="45" fillId="0" borderId="0" xfId="0" applyNumberFormat="1" applyFont="1" applyFill="1" applyBorder="1" applyAlignment="1">
      <alignment horizontal="center"/>
    </xf>
    <xf numFmtId="49" fontId="45" fillId="0" borderId="0" xfId="0" applyNumberFormat="1" applyFont="1" applyFill="1" applyBorder="1" applyAlignment="1" applyProtection="1">
      <alignment horizontal="center"/>
    </xf>
    <xf numFmtId="0" fontId="22" fillId="0" borderId="0" xfId="0" applyFont="1" applyFill="1" applyProtection="1"/>
    <xf numFmtId="0" fontId="24" fillId="0" borderId="0" xfId="271" applyFont="1" applyFill="1" applyBorder="1" applyAlignment="1" applyProtection="1">
      <alignment horizontal="left"/>
    </xf>
    <xf numFmtId="0" fontId="50" fillId="0" borderId="0" xfId="271" applyFont="1" applyAlignment="1" applyProtection="1">
      <alignment horizontal="center"/>
    </xf>
    <xf numFmtId="49" fontId="24" fillId="0" borderId="0" xfId="271" applyNumberFormat="1" applyAlignment="1">
      <alignment horizontal="center"/>
    </xf>
    <xf numFmtId="0" fontId="52" fillId="0" borderId="11" xfId="271" applyFont="1" applyBorder="1" applyAlignment="1" applyProtection="1">
      <alignment horizontal="right" vertical="top"/>
    </xf>
    <xf numFmtId="0" fontId="52" fillId="0" borderId="0" xfId="0" applyFont="1" applyProtection="1"/>
    <xf numFmtId="5" fontId="78" fillId="0" borderId="11" xfId="541" applyNumberFormat="1" applyFont="1" applyFill="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24" fillId="0" borderId="0" xfId="0" applyFont="1" applyBorder="1" applyAlignment="1" applyProtection="1">
      <alignment vertical="top" wrapText="1"/>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2" fillId="2" borderId="0" xfId="0" applyFont="1" applyFill="1" applyBorder="1" applyAlignment="1" applyProtection="1">
      <alignment vertical="top" wrapText="1"/>
    </xf>
    <xf numFmtId="0" fontId="80" fillId="0" borderId="13" xfId="0" applyFont="1" applyBorder="1" applyAlignment="1" applyProtection="1">
      <alignment vertical="top" wrapText="1"/>
    </xf>
    <xf numFmtId="0" fontId="29" fillId="0" borderId="0" xfId="0" applyFont="1" applyBorder="1" applyAlignment="1" applyProtection="1">
      <alignment vertical="top" wrapText="1"/>
    </xf>
    <xf numFmtId="0" fontId="80" fillId="2" borderId="13" xfId="0" applyFont="1" applyFill="1" applyBorder="1" applyAlignment="1" applyProtection="1">
      <alignment vertical="top" wrapText="1"/>
    </xf>
    <xf numFmtId="0" fontId="80" fillId="0" borderId="0" xfId="0" applyFont="1" applyBorder="1" applyAlignment="1" applyProtection="1">
      <alignment vertical="top" wrapText="1"/>
    </xf>
    <xf numFmtId="0" fontId="80"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pplyProtection="1">
      <alignment horizontal="right" vertical="top" wrapText="1"/>
    </xf>
    <xf numFmtId="0" fontId="24" fillId="0" borderId="0" xfId="0" applyFont="1" applyAlignment="1">
      <alignment vertical="top"/>
    </xf>
    <xf numFmtId="0" fontId="22" fillId="0" borderId="0" xfId="0" applyFont="1" applyBorder="1" applyAlignment="1" applyProtection="1">
      <alignment horizontal="left" vertical="top" wrapText="1"/>
    </xf>
    <xf numFmtId="0" fontId="24" fillId="0" borderId="0" xfId="0" applyFont="1" applyBorder="1" applyAlignment="1" applyProtection="1">
      <alignment horizontal="right" vertical="top" wrapText="1"/>
    </xf>
    <xf numFmtId="0" fontId="24" fillId="0" borderId="0" xfId="0" applyFont="1" applyBorder="1" applyAlignment="1" applyProtection="1">
      <alignment horizontal="left" vertical="top"/>
    </xf>
    <xf numFmtId="10" fontId="24" fillId="5" borderId="6" xfId="0" applyNumberFormat="1" applyFont="1" applyFill="1" applyBorder="1" applyAlignment="1" applyProtection="1">
      <alignment horizontal="center" vertical="top" wrapText="1"/>
      <protection locked="0"/>
    </xf>
    <xf numFmtId="0" fontId="63" fillId="0" borderId="0" xfId="0" applyFont="1" applyBorder="1" applyAlignment="1" applyProtection="1">
      <alignment horizontal="left" vertical="center"/>
    </xf>
    <xf numFmtId="0" fontId="22" fillId="0" borderId="2" xfId="543" applyFont="1" applyBorder="1" applyAlignment="1" applyProtection="1">
      <alignment horizontal="center"/>
    </xf>
    <xf numFmtId="0" fontId="0" fillId="0" borderId="0" xfId="543" applyNumberFormat="1" applyFont="1" applyProtection="1"/>
    <xf numFmtId="0" fontId="16" fillId="0" borderId="0" xfId="244" quotePrefix="1" applyAlignment="1" applyProtection="1">
      <alignment horizontal="left"/>
    </xf>
    <xf numFmtId="168" fontId="52"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73" fillId="0" borderId="0" xfId="0" applyFont="1"/>
    <xf numFmtId="0" fontId="22" fillId="8" borderId="11" xfId="542" applyFont="1" applyFill="1" applyBorder="1" applyAlignment="1" applyProtection="1">
      <alignment horizontal="left"/>
    </xf>
    <xf numFmtId="0" fontId="22" fillId="8" borderId="11" xfId="542" applyFont="1" applyFill="1" applyBorder="1" applyAlignment="1" applyProtection="1">
      <alignment horizontal="center"/>
    </xf>
    <xf numFmtId="0" fontId="62" fillId="8" borderId="11" xfId="542" applyFont="1" applyFill="1" applyBorder="1" applyAlignment="1" applyProtection="1">
      <alignment horizontal="left"/>
    </xf>
    <xf numFmtId="0" fontId="62" fillId="0" borderId="11" xfId="542" applyFont="1" applyBorder="1" applyAlignment="1" applyProtection="1">
      <alignment horizontal="left"/>
    </xf>
    <xf numFmtId="0" fontId="29" fillId="0" borderId="0" xfId="271" applyFont="1" applyFill="1" applyBorder="1" applyAlignment="1" applyProtection="1">
      <alignment vertical="top" wrapText="1"/>
      <protection locked="0"/>
    </xf>
    <xf numFmtId="0" fontId="22" fillId="0" borderId="0" xfId="271" applyFont="1" applyFill="1" applyBorder="1" applyAlignment="1" applyProtection="1">
      <alignment horizontal="center" wrapText="1"/>
      <protection locked="0"/>
    </xf>
    <xf numFmtId="0" fontId="22" fillId="0" borderId="0" xfId="271" applyFont="1" applyBorder="1" applyAlignment="1" applyProtection="1">
      <alignment horizontal="center" wrapText="1"/>
      <protection locked="0"/>
    </xf>
    <xf numFmtId="0" fontId="24" fillId="0" borderId="0" xfId="271" applyFont="1" applyFill="1" applyBorder="1" applyAlignment="1" applyProtection="1">
      <alignment vertical="top" wrapText="1"/>
      <protection locked="0"/>
    </xf>
    <xf numFmtId="0" fontId="24" fillId="0" borderId="0" xfId="271" applyFont="1" applyBorder="1" applyAlignment="1" applyProtection="1">
      <alignment vertical="top"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2" fillId="0" borderId="8" xfId="271" applyFont="1" applyFill="1" applyBorder="1" applyAlignment="1" applyProtection="1">
      <alignment horizontal="center" wrapText="1"/>
      <protection locked="0"/>
    </xf>
    <xf numFmtId="0" fontId="24" fillId="0" borderId="8" xfId="271" applyFont="1" applyFill="1" applyBorder="1" applyAlignment="1" applyProtection="1">
      <alignment vertical="top" wrapText="1"/>
      <protection locked="0"/>
    </xf>
    <xf numFmtId="0" fontId="22" fillId="0" borderId="8" xfId="271" applyFont="1" applyFill="1" applyBorder="1" applyAlignment="1" applyProtection="1">
      <alignment vertical="top" wrapText="1"/>
      <protection locked="0"/>
    </xf>
    <xf numFmtId="0" fontId="24" fillId="0" borderId="8" xfId="271" applyFont="1" applyBorder="1" applyAlignment="1" applyProtection="1">
      <alignment vertical="top" wrapText="1"/>
      <protection locked="0"/>
    </xf>
    <xf numFmtId="0" fontId="24" fillId="0" borderId="0" xfId="0" applyFont="1" applyAlignment="1" applyProtection="1">
      <alignment horizontal="center"/>
    </xf>
    <xf numFmtId="0" fontId="24" fillId="0" borderId="0" xfId="0" applyFont="1" applyAlignment="1" applyProtection="1">
      <alignment horizontal="center"/>
    </xf>
    <xf numFmtId="0" fontId="15" fillId="0" borderId="0" xfId="0" applyFont="1" applyAlignment="1">
      <alignment horizontal="center"/>
    </xf>
    <xf numFmtId="0" fontId="15" fillId="0" borderId="0" xfId="0" applyFont="1" applyFill="1" applyAlignment="1">
      <alignment horizontal="center"/>
    </xf>
    <xf numFmtId="0" fontId="24" fillId="0" borderId="0" xfId="0" applyFont="1" applyAlignment="1" applyProtection="1">
      <alignment horizontal="center"/>
    </xf>
    <xf numFmtId="0" fontId="29" fillId="0" borderId="8" xfId="569" applyFont="1" applyBorder="1" applyAlignment="1" applyProtection="1">
      <alignment vertical="top" wrapText="1"/>
    </xf>
    <xf numFmtId="0" fontId="29" fillId="0" borderId="0" xfId="569" applyFont="1" applyBorder="1" applyAlignment="1" applyProtection="1">
      <alignment vertical="top" wrapText="1"/>
    </xf>
    <xf numFmtId="0" fontId="54" fillId="2" borderId="11" xfId="569" applyFont="1" applyFill="1" applyBorder="1" applyAlignment="1" applyProtection="1">
      <alignment horizontal="left" vertical="top" wrapText="1"/>
    </xf>
    <xf numFmtId="6" fontId="52" fillId="4" borderId="11" xfId="569" applyNumberFormat="1" applyFont="1" applyFill="1" applyBorder="1" applyAlignment="1" applyProtection="1">
      <alignment vertical="top" wrapText="1"/>
    </xf>
    <xf numFmtId="0" fontId="52" fillId="0" borderId="8" xfId="569" applyFont="1" applyBorder="1" applyAlignment="1" applyProtection="1">
      <alignment vertical="top" wrapText="1"/>
    </xf>
    <xf numFmtId="0" fontId="52" fillId="0" borderId="0" xfId="569" applyFont="1" applyBorder="1" applyAlignment="1" applyProtection="1">
      <alignment vertical="top" wrapText="1"/>
    </xf>
    <xf numFmtId="6" fontId="52" fillId="0" borderId="11" xfId="569" applyNumberFormat="1" applyFont="1" applyFill="1" applyBorder="1" applyAlignment="1" applyProtection="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pplyProtection="1">
      <alignment horizontal="center" vertical="top" wrapText="1"/>
    </xf>
    <xf numFmtId="0" fontId="52" fillId="0" borderId="11" xfId="569" applyFont="1" applyBorder="1" applyAlignment="1" applyProtection="1">
      <alignment horizontal="right" vertical="top" wrapText="1"/>
    </xf>
    <xf numFmtId="0" fontId="53" fillId="0" borderId="11" xfId="569" applyFont="1" applyBorder="1" applyAlignment="1" applyProtection="1">
      <alignment horizontal="right" vertical="top" wrapText="1"/>
    </xf>
    <xf numFmtId="0" fontId="52" fillId="0" borderId="11" xfId="569" applyFont="1" applyFill="1" applyBorder="1" applyAlignment="1" applyProtection="1">
      <alignment horizontal="right" vertical="top"/>
    </xf>
    <xf numFmtId="0" fontId="52" fillId="0" borderId="11" xfId="569" applyFont="1" applyFill="1" applyBorder="1" applyAlignment="1" applyProtection="1">
      <alignment horizontal="right" vertical="top" wrapText="1"/>
    </xf>
    <xf numFmtId="6" fontId="53" fillId="0" borderId="11" xfId="569" applyNumberFormat="1" applyFont="1" applyFill="1" applyBorder="1" applyAlignment="1" applyProtection="1">
      <alignment vertical="top" wrapText="1"/>
    </xf>
    <xf numFmtId="0" fontId="53" fillId="0" borderId="11" xfId="569" applyFont="1" applyFill="1" applyBorder="1" applyAlignment="1" applyProtection="1">
      <alignment horizontal="right" vertical="top" wrapText="1"/>
    </xf>
    <xf numFmtId="0" fontId="53" fillId="0" borderId="8" xfId="569" applyFont="1" applyBorder="1" applyAlignment="1" applyProtection="1">
      <alignment vertical="top" wrapText="1"/>
    </xf>
    <xf numFmtId="0" fontId="53" fillId="0" borderId="0" xfId="569" applyFont="1" applyBorder="1" applyAlignment="1" applyProtection="1">
      <alignment vertical="top" wrapText="1"/>
    </xf>
    <xf numFmtId="0" fontId="18" fillId="0" borderId="11" xfId="569" applyFont="1" applyBorder="1" applyAlignment="1" applyProtection="1">
      <alignment horizontal="right" vertical="top" wrapText="1"/>
    </xf>
    <xf numFmtId="0" fontId="53" fillId="0" borderId="0" xfId="569" applyFont="1" applyBorder="1" applyAlignment="1" applyProtection="1">
      <alignment horizontal="left" vertical="top"/>
    </xf>
    <xf numFmtId="6" fontId="52" fillId="0" borderId="0" xfId="569" applyNumberFormat="1" applyFont="1" applyBorder="1" applyAlignment="1" applyProtection="1">
      <alignment horizontal="left" vertical="top"/>
    </xf>
    <xf numFmtId="0" fontId="105" fillId="0" borderId="0" xfId="569" applyFont="1" applyBorder="1" applyAlignment="1" applyProtection="1">
      <alignment horizontal="left" vertical="top"/>
    </xf>
    <xf numFmtId="6" fontId="52" fillId="0" borderId="0" xfId="569" applyNumberFormat="1" applyFont="1" applyBorder="1" applyAlignment="1" applyProtection="1">
      <alignment vertical="top" wrapText="1"/>
    </xf>
    <xf numFmtId="6" fontId="53" fillId="0" borderId="11" xfId="569" applyNumberFormat="1" applyFont="1" applyBorder="1" applyAlignment="1" applyProtection="1">
      <alignment vertical="top" wrapText="1"/>
    </xf>
    <xf numFmtId="0" fontId="52" fillId="0" borderId="0" xfId="569" applyFont="1" applyBorder="1" applyAlignment="1" applyProtection="1">
      <alignment horizontal="left" vertical="top"/>
    </xf>
    <xf numFmtId="0" fontId="52" fillId="0" borderId="12" xfId="569" applyFont="1" applyBorder="1" applyAlignment="1" applyProtection="1">
      <alignment vertical="top" wrapText="1"/>
    </xf>
    <xf numFmtId="0" fontId="22" fillId="0" borderId="0" xfId="569" applyFont="1" applyBorder="1" applyAlignment="1" applyProtection="1">
      <alignment horizontal="left" vertical="top"/>
    </xf>
    <xf numFmtId="0" fontId="108" fillId="0" borderId="0" xfId="569" applyFont="1" applyBorder="1" applyAlignment="1" applyProtection="1">
      <alignment horizontal="left" vertical="top"/>
    </xf>
    <xf numFmtId="0" fontId="63" fillId="0" borderId="0" xfId="569" applyFont="1" applyFill="1" applyBorder="1" applyAlignment="1" applyProtection="1">
      <alignment horizontal="left" vertical="center"/>
    </xf>
    <xf numFmtId="0" fontId="30" fillId="0" borderId="0" xfId="569" applyFont="1" applyFill="1" applyBorder="1" applyAlignment="1" applyProtection="1">
      <alignment vertical="top" wrapText="1"/>
    </xf>
    <xf numFmtId="0" fontId="30" fillId="0" borderId="0" xfId="569" applyFont="1" applyBorder="1" applyAlignment="1" applyProtection="1">
      <alignment vertical="top" wrapText="1"/>
    </xf>
    <xf numFmtId="0" fontId="30" fillId="0" borderId="12" xfId="569" applyFont="1" applyBorder="1" applyAlignment="1" applyProtection="1">
      <alignment vertical="top" wrapText="1"/>
    </xf>
    <xf numFmtId="0" fontId="30" fillId="0" borderId="8" xfId="569" applyFont="1" applyBorder="1" applyAlignment="1" applyProtection="1">
      <alignment vertical="top" wrapText="1"/>
    </xf>
    <xf numFmtId="0" fontId="52" fillId="0" borderId="0" xfId="569" applyFont="1" applyFill="1" applyBorder="1" applyAlignment="1" applyProtection="1">
      <alignment vertical="top"/>
    </xf>
    <xf numFmtId="0" fontId="52" fillId="0" borderId="0" xfId="569" applyFont="1" applyFill="1" applyBorder="1" applyAlignment="1" applyProtection="1">
      <alignment vertical="top" wrapText="1"/>
    </xf>
    <xf numFmtId="168" fontId="52" fillId="0" borderId="0" xfId="569" applyNumberFormat="1" applyFont="1" applyFill="1" applyBorder="1" applyAlignment="1" applyProtection="1">
      <alignment horizontal="right" vertical="top" wrapText="1"/>
      <protection locked="0"/>
    </xf>
    <xf numFmtId="0" fontId="15" fillId="0" borderId="0" xfId="569" applyFont="1" applyFill="1" applyBorder="1" applyAlignment="1" applyProtection="1">
      <alignment vertical="top" wrapText="1"/>
    </xf>
    <xf numFmtId="0" fontId="15" fillId="0" borderId="0" xfId="569" applyFont="1" applyFill="1" applyBorder="1" applyAlignment="1">
      <alignment vertical="top"/>
    </xf>
    <xf numFmtId="0" fontId="52" fillId="0" borderId="0" xfId="569" applyFont="1" applyFill="1" applyBorder="1" applyAlignment="1" applyProtection="1">
      <alignment horizontal="right" vertical="top" wrapText="1"/>
    </xf>
    <xf numFmtId="0" fontId="22" fillId="0" borderId="0" xfId="569" applyFont="1" applyFill="1" applyBorder="1" applyAlignment="1" applyProtection="1">
      <alignment horizontal="left" vertical="top" wrapText="1"/>
    </xf>
    <xf numFmtId="168" fontId="52" fillId="0" borderId="0" xfId="569" applyNumberFormat="1" applyFont="1" applyFill="1" applyBorder="1" applyAlignment="1" applyProtection="1">
      <alignment horizontal="right" vertical="top" wrapText="1"/>
    </xf>
    <xf numFmtId="0" fontId="15" fillId="0" borderId="0" xfId="569" applyFont="1" applyFill="1" applyBorder="1" applyAlignment="1" applyProtection="1">
      <alignment horizontal="left" vertical="top" wrapText="1"/>
      <protection locked="0"/>
    </xf>
    <xf numFmtId="0" fontId="15" fillId="0" borderId="0" xfId="569" applyFont="1" applyFill="1" applyBorder="1" applyAlignment="1" applyProtection="1">
      <alignment horizontal="right" vertical="top" wrapText="1"/>
    </xf>
    <xf numFmtId="0" fontId="15" fillId="0" borderId="0" xfId="569" applyFont="1" applyFill="1" applyBorder="1" applyAlignment="1" applyProtection="1">
      <alignment horizontal="left" vertical="top"/>
    </xf>
    <xf numFmtId="0" fontId="22" fillId="0" borderId="0" xfId="569" applyFont="1" applyFill="1" applyBorder="1" applyAlignment="1" applyProtection="1">
      <alignment horizontal="left" vertical="top"/>
    </xf>
    <xf numFmtId="0" fontId="80" fillId="0" borderId="0" xfId="569" applyFont="1" applyBorder="1" applyAlignment="1" applyProtection="1">
      <alignment vertical="top" wrapText="1"/>
    </xf>
    <xf numFmtId="0" fontId="80" fillId="0" borderId="12" xfId="569" applyFont="1" applyBorder="1" applyAlignment="1" applyProtection="1">
      <alignment vertical="top" wrapText="1"/>
    </xf>
    <xf numFmtId="0" fontId="80" fillId="0" borderId="8" xfId="569" applyFont="1" applyBorder="1" applyAlignment="1" applyProtection="1">
      <alignment vertical="top" wrapText="1"/>
    </xf>
    <xf numFmtId="0" fontId="29" fillId="0" borderId="0" xfId="569" applyFont="1" applyFill="1" applyBorder="1" applyAlignment="1" applyProtection="1">
      <alignment vertical="top" wrapText="1"/>
    </xf>
    <xf numFmtId="0" fontId="15" fillId="0" borderId="0" xfId="569" applyFont="1" applyBorder="1" applyAlignment="1" applyProtection="1">
      <alignment horizontal="right" vertical="top" wrapText="1"/>
    </xf>
    <xf numFmtId="0" fontId="15" fillId="0" borderId="0" xfId="569" applyFont="1" applyBorder="1" applyAlignment="1" applyProtection="1">
      <alignment vertical="top" wrapText="1"/>
    </xf>
    <xf numFmtId="0" fontId="29" fillId="0" borderId="0" xfId="569" applyFont="1" applyBorder="1" applyAlignment="1" applyProtection="1">
      <alignment horizontal="right" vertical="top" wrapText="1"/>
    </xf>
    <xf numFmtId="0" fontId="80" fillId="0" borderId="0" xfId="569" applyFont="1" applyBorder="1" applyAlignment="1" applyProtection="1">
      <alignment horizontal="right" vertical="top" wrapText="1"/>
    </xf>
    <xf numFmtId="0" fontId="53" fillId="0" borderId="3" xfId="569" applyFont="1" applyBorder="1" applyAlignment="1" applyProtection="1">
      <alignment horizontal="left"/>
    </xf>
    <xf numFmtId="0" fontId="53" fillId="0" borderId="13" xfId="569" applyFont="1" applyBorder="1" applyAlignment="1" applyProtection="1">
      <alignment horizontal="center" wrapText="1"/>
    </xf>
    <xf numFmtId="0" fontId="53" fillId="0" borderId="13" xfId="569" applyFont="1" applyFill="1" applyBorder="1" applyAlignment="1" applyProtection="1">
      <alignment horizontal="center" wrapText="1"/>
    </xf>
    <xf numFmtId="0" fontId="53" fillId="0" borderId="8" xfId="569" applyFont="1" applyBorder="1" applyAlignment="1" applyProtection="1">
      <alignment horizontal="center" wrapText="1"/>
    </xf>
    <xf numFmtId="0" fontId="53" fillId="0" borderId="0" xfId="569" applyFont="1" applyBorder="1" applyAlignment="1" applyProtection="1">
      <alignment horizontal="center" wrapText="1"/>
    </xf>
    <xf numFmtId="0" fontId="15" fillId="0" borderId="0" xfId="569" applyFont="1"/>
    <xf numFmtId="0" fontId="15" fillId="0" borderId="0" xfId="569"/>
    <xf numFmtId="0" fontId="15" fillId="0" borderId="0" xfId="569" applyFill="1"/>
    <xf numFmtId="0" fontId="15" fillId="0" borderId="0" xfId="569" applyBorder="1" applyProtection="1"/>
    <xf numFmtId="0" fontId="21" fillId="0" borderId="0" xfId="569" applyFont="1" applyFill="1" applyBorder="1" applyAlignment="1">
      <alignment horizontal="center" vertical="center"/>
    </xf>
    <xf numFmtId="0" fontId="15" fillId="0" borderId="0" xfId="569" applyFont="1" applyFill="1"/>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0"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NumberFormat="1" applyFont="1" applyAlignment="1">
      <alignment vertical="top" wrapText="1"/>
    </xf>
    <xf numFmtId="0" fontId="15" fillId="0" borderId="0" xfId="569" applyFill="1" applyAlignment="1">
      <alignment horizontal="right"/>
    </xf>
    <xf numFmtId="0" fontId="15" fillId="0" borderId="0" xfId="569" applyFill="1" applyBorder="1"/>
    <xf numFmtId="0" fontId="15" fillId="0" borderId="0" xfId="569" applyFont="1" applyBorder="1" applyAlignment="1">
      <alignment wrapText="1"/>
    </xf>
    <xf numFmtId="0" fontId="15" fillId="0" borderId="0" xfId="569" applyFont="1" applyFill="1" applyAlignment="1">
      <alignment vertical="center"/>
    </xf>
    <xf numFmtId="0" fontId="15" fillId="0" borderId="0" xfId="569" applyFill="1" applyAlignment="1">
      <alignment vertical="center"/>
    </xf>
    <xf numFmtId="0" fontId="39" fillId="0" borderId="0" xfId="569" applyFont="1" applyFill="1" applyBorder="1" applyAlignment="1">
      <alignment vertical="center" wrapText="1"/>
    </xf>
    <xf numFmtId="0" fontId="33" fillId="0" borderId="0" xfId="569" applyFont="1" applyAlignment="1">
      <alignment vertical="top" wrapText="1"/>
    </xf>
    <xf numFmtId="0" fontId="15" fillId="0" borderId="0" xfId="569" applyFill="1" applyAlignment="1">
      <alignment wrapText="1"/>
    </xf>
    <xf numFmtId="0" fontId="22" fillId="0" borderId="0" xfId="569" applyFont="1" applyFill="1"/>
    <xf numFmtId="0" fontId="22" fillId="0" borderId="0" xfId="569" applyFont="1" applyFill="1" applyAlignment="1">
      <alignment horizontal="left" vertical="top"/>
    </xf>
    <xf numFmtId="0" fontId="22" fillId="0" borderId="0" xfId="569" applyFont="1" applyFill="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Fill="1" applyBorder="1" applyAlignment="1">
      <alignment horizontal="right"/>
    </xf>
    <xf numFmtId="0" fontId="52" fillId="0" borderId="0" xfId="569" applyFont="1" applyFill="1" applyBorder="1" applyAlignment="1">
      <alignment vertical="top" wrapText="1"/>
    </xf>
    <xf numFmtId="0" fontId="15" fillId="0" borderId="0" xfId="569" applyBorder="1" applyAlignment="1"/>
    <xf numFmtId="168" fontId="15" fillId="0" borderId="0" xfId="569" applyNumberFormat="1" applyFill="1" applyBorder="1" applyAlignment="1">
      <alignment horizontal="right"/>
    </xf>
    <xf numFmtId="0" fontId="106" fillId="0" borderId="0" xfId="569" applyFont="1" applyFill="1" applyBorder="1" applyAlignment="1">
      <alignment horizontal="left" vertical="top" wrapText="1"/>
    </xf>
    <xf numFmtId="0" fontId="22" fillId="0" borderId="0" xfId="569" applyFont="1" applyBorder="1"/>
    <xf numFmtId="168" fontId="15" fillId="0" borderId="0" xfId="569" applyNumberFormat="1" applyFill="1" applyBorder="1" applyAlignment="1">
      <alignment wrapText="1"/>
    </xf>
    <xf numFmtId="0" fontId="15" fillId="0" borderId="0" xfId="569" applyFont="1" applyBorder="1"/>
    <xf numFmtId="0" fontId="20" fillId="0" borderId="0" xfId="0" applyFont="1" applyProtection="1"/>
    <xf numFmtId="0" fontId="20" fillId="0" borderId="11" xfId="253" applyFont="1" applyFill="1" applyBorder="1" applyAlignment="1" applyProtection="1">
      <alignment horizontal="center" wrapText="1"/>
    </xf>
    <xf numFmtId="0" fontId="20" fillId="0" borderId="0" xfId="253" applyFont="1" applyFill="1" applyBorder="1" applyAlignment="1" applyProtection="1">
      <alignment horizontal="center" wrapText="1"/>
    </xf>
    <xf numFmtId="3" fontId="20" fillId="0" borderId="11" xfId="271" applyNumberFormat="1" applyFont="1" applyFill="1" applyBorder="1" applyProtection="1"/>
    <xf numFmtId="3" fontId="20" fillId="0" borderId="0" xfId="271" applyNumberFormat="1" applyFont="1" applyProtection="1"/>
    <xf numFmtId="3" fontId="20" fillId="0" borderId="11" xfId="271" applyNumberFormat="1" applyFont="1" applyBorder="1" applyProtection="1"/>
    <xf numFmtId="3" fontId="20" fillId="0" borderId="0" xfId="271" applyNumberFormat="1" applyFont="1" applyBorder="1" applyProtection="1"/>
    <xf numFmtId="0" fontId="64" fillId="0" borderId="0" xfId="271" applyFont="1" applyAlignment="1" applyProtection="1">
      <alignment horizontal="left"/>
    </xf>
    <xf numFmtId="0" fontId="64" fillId="0" borderId="0" xfId="271" applyFont="1" applyAlignment="1" applyProtection="1">
      <alignment horizontal="right"/>
    </xf>
    <xf numFmtId="168" fontId="20" fillId="0" borderId="11" xfId="271" applyNumberFormat="1" applyFont="1" applyBorder="1" applyProtection="1"/>
    <xf numFmtId="168" fontId="20" fillId="0" borderId="0" xfId="271" applyNumberFormat="1" applyFont="1" applyBorder="1" applyProtection="1"/>
    <xf numFmtId="0" fontId="20" fillId="0" borderId="0" xfId="271" applyFont="1" applyProtection="1"/>
    <xf numFmtId="0" fontId="52" fillId="0" borderId="0" xfId="569" applyFont="1" applyBorder="1" applyAlignment="1">
      <alignment horizontal="left"/>
    </xf>
    <xf numFmtId="0" fontId="15" fillId="0" borderId="3" xfId="569" applyBorder="1"/>
    <xf numFmtId="0" fontId="15" fillId="5" borderId="3" xfId="569" applyFill="1" applyBorder="1"/>
    <xf numFmtId="0" fontId="15" fillId="0" borderId="0" xfId="569"/>
    <xf numFmtId="0" fontId="15" fillId="0" borderId="0" xfId="569" applyFont="1"/>
    <xf numFmtId="0" fontId="33" fillId="0" borderId="0" xfId="0" applyFont="1" applyAlignment="1" applyProtection="1">
      <alignment horizontal="center"/>
    </xf>
    <xf numFmtId="0" fontId="33" fillId="0" borderId="0" xfId="0" applyFont="1" applyFill="1" applyAlignment="1" applyProtection="1">
      <alignment horizontal="center"/>
    </xf>
    <xf numFmtId="0" fontId="22" fillId="0" borderId="0" xfId="0" applyFont="1" applyAlignment="1" applyProtection="1">
      <alignment horizontal="center"/>
    </xf>
    <xf numFmtId="0" fontId="24" fillId="0" borderId="0" xfId="0" applyFont="1" applyAlignment="1" applyProtection="1">
      <alignment horizontal="center"/>
    </xf>
    <xf numFmtId="0" fontId="0" fillId="0" borderId="0" xfId="0" applyFill="1"/>
    <xf numFmtId="0" fontId="15"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7"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5" fillId="0" borderId="0" xfId="0" applyFont="1" applyFill="1" applyBorder="1"/>
    <xf numFmtId="0" fontId="0" fillId="0" borderId="0" xfId="0" applyFont="1" applyFill="1" applyBorder="1" applyProtection="1"/>
    <xf numFmtId="0" fontId="22" fillId="0" borderId="0" xfId="0" applyFont="1" applyAlignment="1" applyProtection="1">
      <alignment horizontal="center"/>
    </xf>
    <xf numFmtId="0" fontId="24" fillId="0" borderId="0" xfId="0" applyFont="1" applyAlignment="1" applyProtection="1">
      <alignment horizontal="center"/>
    </xf>
    <xf numFmtId="0" fontId="106" fillId="0" borderId="0" xfId="0" applyFont="1" applyFill="1" applyBorder="1" applyAlignment="1">
      <alignment vertical="top" wrapText="1"/>
    </xf>
    <xf numFmtId="0" fontId="52" fillId="0" borderId="0" xfId="271" applyFont="1" applyAlignment="1" applyProtection="1">
      <alignment vertical="top" wrapText="1"/>
    </xf>
    <xf numFmtId="0" fontId="15" fillId="0" borderId="0" xfId="569"/>
    <xf numFmtId="0" fontId="15" fillId="0" borderId="0" xfId="569" applyFont="1" applyFill="1"/>
    <xf numFmtId="4" fontId="15" fillId="0" borderId="0" xfId="1192" applyNumberFormat="1" applyFont="1" applyFill="1" applyAlignment="1" applyProtection="1">
      <alignment horizontal="left" vertical="top" wrapText="1"/>
    </xf>
    <xf numFmtId="0" fontId="15" fillId="0" borderId="0" xfId="0" applyFont="1" applyFill="1" applyAlignment="1">
      <alignment horizontal="left" vertical="top" wrapText="1"/>
    </xf>
    <xf numFmtId="0" fontId="15" fillId="0" borderId="0" xfId="271" applyFont="1" applyAlignment="1">
      <alignment horizontal="left" vertical="top" wrapText="1"/>
    </xf>
    <xf numFmtId="0" fontId="15" fillId="0" borderId="0" xfId="0" applyFont="1" applyBorder="1" applyAlignment="1" applyProtection="1">
      <alignment horizontal="center"/>
    </xf>
    <xf numFmtId="0" fontId="15" fillId="0" borderId="0" xfId="0" applyFont="1" applyFill="1" applyAlignment="1">
      <alignment horizontal="left" vertical="top" wrapText="1"/>
    </xf>
    <xf numFmtId="0" fontId="24" fillId="0" borderId="0" xfId="0" applyFont="1" applyAlignment="1" applyProtection="1">
      <alignment horizontal="center"/>
    </xf>
    <xf numFmtId="0" fontId="15" fillId="0" borderId="0" xfId="271" applyFont="1" applyFill="1" applyAlignment="1">
      <alignment horizontal="left" vertical="top" wrapText="1"/>
    </xf>
    <xf numFmtId="0" fontId="15" fillId="0" borderId="0" xfId="0" applyFont="1" applyFill="1" applyAlignment="1" applyProtection="1">
      <alignment horizontal="left" vertical="top" wrapText="1"/>
    </xf>
    <xf numFmtId="0" fontId="22" fillId="0" borderId="12" xfId="543" applyFont="1" applyBorder="1" applyAlignment="1" applyProtection="1">
      <alignment horizontal="right"/>
    </xf>
    <xf numFmtId="0" fontId="34" fillId="0" borderId="0" xfId="543" applyFont="1" applyFill="1" applyBorder="1" applyAlignment="1" applyProtection="1">
      <alignment horizontal="center"/>
    </xf>
    <xf numFmtId="0" fontId="15" fillId="0" borderId="0" xfId="0" applyFont="1" applyAlignment="1">
      <alignment horizontal="left"/>
    </xf>
    <xf numFmtId="0" fontId="24" fillId="0" borderId="0" xfId="0" applyFont="1" applyAlignment="1" applyProtection="1">
      <alignment horizontal="center"/>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0" fillId="0" borderId="0" xfId="0" applyFont="1" applyAlignment="1" applyProtection="1">
      <alignment horizontal="center"/>
    </xf>
    <xf numFmtId="0" fontId="0" fillId="5" borderId="6" xfId="0" applyFill="1" applyBorder="1" applyAlignment="1" applyProtection="1">
      <protection locked="0"/>
    </xf>
    <xf numFmtId="0" fontId="15"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2" fillId="0" borderId="0" xfId="0" applyNumberFormat="1" applyFont="1" applyAlignment="1" applyProtection="1">
      <alignment horizontal="center"/>
    </xf>
    <xf numFmtId="0" fontId="22" fillId="0" borderId="0" xfId="0" applyFont="1" applyBorder="1" applyAlignment="1" applyProtection="1"/>
    <xf numFmtId="0" fontId="15" fillId="0" borderId="0" xfId="569"/>
    <xf numFmtId="4" fontId="15" fillId="0" borderId="0" xfId="569" applyNumberFormat="1" applyFont="1" applyFill="1" applyAlignment="1" applyProtection="1">
      <alignment horizontal="left"/>
    </xf>
    <xf numFmtId="4" fontId="15" fillId="0" borderId="0" xfId="569" applyNumberFormat="1" applyFont="1" applyFill="1" applyAlignment="1" applyProtection="1">
      <alignment horizontal="left"/>
    </xf>
    <xf numFmtId="0" fontId="15" fillId="0" borderId="0" xfId="569" applyFont="1" applyAlignment="1">
      <alignment horizontal="left" vertical="top" wrapText="1"/>
    </xf>
    <xf numFmtId="0" fontId="15" fillId="0" borderId="0" xfId="569" applyFont="1" applyFill="1" applyAlignment="1">
      <alignment horizontal="left" vertical="top" wrapText="1"/>
    </xf>
    <xf numFmtId="0" fontId="15" fillId="0" borderId="0" xfId="569" applyFont="1" applyBorder="1" applyAlignment="1">
      <alignment horizontal="left"/>
    </xf>
    <xf numFmtId="0" fontId="15" fillId="0" borderId="0" xfId="0" applyFont="1" applyAlignment="1">
      <alignment horizontal="left" vertical="top" wrapText="1"/>
    </xf>
    <xf numFmtId="0" fontId="15" fillId="0" borderId="0" xfId="0" applyFont="1" applyAlignment="1" applyProtection="1">
      <alignment horizontal="left" vertical="top" wrapText="1"/>
    </xf>
    <xf numFmtId="0" fontId="15" fillId="0" borderId="0" xfId="0" applyFont="1" applyAlignment="1">
      <alignment horizontal="left"/>
    </xf>
    <xf numFmtId="0" fontId="24" fillId="0" borderId="0" xfId="0" applyFont="1" applyAlignment="1" applyProtection="1">
      <alignment horizontal="center"/>
    </xf>
    <xf numFmtId="0" fontId="15" fillId="0" borderId="0" xfId="1192" applyFont="1" applyFill="1" applyAlignment="1" applyProtection="1">
      <alignment horizontal="left"/>
    </xf>
    <xf numFmtId="0" fontId="15" fillId="0" borderId="0" xfId="1192" applyFont="1" applyFill="1" applyAlignment="1">
      <alignment horizontal="left"/>
    </xf>
    <xf numFmtId="0" fontId="15" fillId="0" borderId="0" xfId="0" applyFont="1" applyBorder="1" applyAlignment="1">
      <alignment horizontal="left"/>
    </xf>
    <xf numFmtId="0" fontId="22" fillId="0" borderId="0" xfId="569" applyFont="1" applyBorder="1" applyAlignment="1" applyProtection="1">
      <alignment horizontal="left"/>
    </xf>
    <xf numFmtId="0" fontId="15" fillId="0" borderId="0" xfId="0" applyFont="1" applyBorder="1" applyAlignment="1">
      <alignment horizontal="left" vertical="top" wrapText="1"/>
    </xf>
    <xf numFmtId="0" fontId="44" fillId="0" borderId="0" xfId="1192" applyFont="1"/>
    <xf numFmtId="0" fontId="52" fillId="0" borderId="11" xfId="0" applyFont="1" applyBorder="1" applyAlignment="1" applyProtection="1">
      <alignment horizontal="right" vertical="center"/>
    </xf>
    <xf numFmtId="0" fontId="52" fillId="0" borderId="11" xfId="569" applyFont="1" applyBorder="1" applyAlignment="1" applyProtection="1">
      <alignment horizontal="right" vertical="top"/>
    </xf>
    <xf numFmtId="0" fontId="15" fillId="0" borderId="0" xfId="0" applyFont="1" applyFill="1" applyAlignment="1">
      <alignment horizontal="left" vertical="top" wrapText="1"/>
    </xf>
    <xf numFmtId="0" fontId="15" fillId="0" borderId="0" xfId="1192" applyFont="1" applyFill="1" applyAlignment="1">
      <alignment horizontal="left" vertical="top" wrapText="1"/>
    </xf>
    <xf numFmtId="0" fontId="44" fillId="0" borderId="0" xfId="0" applyFont="1" applyAlignment="1">
      <alignment vertical="top" wrapText="1"/>
    </xf>
    <xf numFmtId="0" fontId="44" fillId="0" borderId="0" xfId="0" applyFont="1" applyAlignment="1">
      <alignment horizontal="left" vertical="top" wrapText="1"/>
    </xf>
    <xf numFmtId="6" fontId="53" fillId="0" borderId="0" xfId="569" applyNumberFormat="1" applyFont="1" applyBorder="1" applyAlignment="1" applyProtection="1">
      <alignment horizontal="right" vertical="top"/>
    </xf>
    <xf numFmtId="0" fontId="24" fillId="0" borderId="0" xfId="0" applyFont="1" applyAlignment="1" applyProtection="1">
      <alignment horizontal="center"/>
    </xf>
    <xf numFmtId="0" fontId="15" fillId="0" borderId="0" xfId="0" applyFont="1" applyAlignment="1">
      <alignment vertical="top" wrapText="1"/>
    </xf>
    <xf numFmtId="0" fontId="24" fillId="0" borderId="0" xfId="0" applyFont="1" applyAlignment="1" applyProtection="1">
      <alignment horizontal="center"/>
    </xf>
    <xf numFmtId="168" fontId="24" fillId="0" borderId="0" xfId="0" applyNumberFormat="1" applyFont="1" applyFill="1" applyBorder="1" applyAlignment="1" applyProtection="1">
      <alignment horizontal="right"/>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Border="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0" applyFont="1" applyAlignment="1">
      <alignment horizontal="left" vertical="top" wrapText="1"/>
    </xf>
    <xf numFmtId="0" fontId="44" fillId="0" borderId="0" xfId="0" applyFont="1" applyAlignment="1">
      <alignment horizontal="left" vertical="top" wrapText="1"/>
    </xf>
    <xf numFmtId="0" fontId="15" fillId="0" borderId="0" xfId="0" applyFont="1" applyAlignment="1">
      <alignment horizontal="left"/>
    </xf>
    <xf numFmtId="0" fontId="15" fillId="0" borderId="0" xfId="0" applyFont="1" applyBorder="1" applyAlignment="1">
      <alignment vertical="top" wrapText="1"/>
    </xf>
    <xf numFmtId="0" fontId="15" fillId="0" borderId="0" xfId="569" applyAlignment="1">
      <alignment wrapText="1"/>
    </xf>
    <xf numFmtId="0" fontId="15" fillId="0" borderId="0" xfId="1192" applyFont="1" applyAlignment="1"/>
    <xf numFmtId="0" fontId="15" fillId="0" borderId="0" xfId="569" applyFont="1" applyAlignment="1">
      <alignment wrapText="1"/>
    </xf>
    <xf numFmtId="0" fontId="15" fillId="0" borderId="0" xfId="0" applyFont="1" applyAlignment="1">
      <alignment wrapText="1"/>
    </xf>
    <xf numFmtId="0" fontId="44" fillId="0" borderId="0" xfId="0" applyFont="1" applyFill="1" applyAlignment="1">
      <alignment vertical="top" wrapText="1"/>
    </xf>
    <xf numFmtId="0" fontId="44" fillId="0" borderId="0" xfId="0" applyFont="1" applyAlignment="1">
      <alignment horizontal="left" vertical="top"/>
    </xf>
    <xf numFmtId="0" fontId="44" fillId="0" borderId="0" xfId="0" applyFont="1" applyFill="1" applyAlignment="1">
      <alignment vertical="top"/>
    </xf>
    <xf numFmtId="0" fontId="15" fillId="0" borderId="0" xfId="1192" applyFont="1" applyAlignment="1">
      <alignment horizontal="left" vertical="top" wrapText="1"/>
    </xf>
    <xf numFmtId="4" fontId="15" fillId="0" borderId="0" xfId="569" applyNumberFormat="1" applyFont="1" applyFill="1" applyAlignment="1" applyProtection="1">
      <alignment horizontal="left"/>
    </xf>
    <xf numFmtId="0" fontId="15" fillId="0" borderId="0" xfId="569" applyFont="1" applyFill="1" applyAlignment="1">
      <alignment horizontal="left" vertical="top" wrapText="1"/>
    </xf>
    <xf numFmtId="0" fontId="16" fillId="0" borderId="0" xfId="244" quotePrefix="1" applyAlignment="1" applyProtection="1">
      <alignment horizontal="left"/>
    </xf>
    <xf numFmtId="4" fontId="15" fillId="0" borderId="0" xfId="1192" applyNumberFormat="1" applyFont="1" applyFill="1" applyAlignment="1" applyProtection="1">
      <alignment horizontal="left" vertical="top" wrapText="1"/>
    </xf>
    <xf numFmtId="0" fontId="15" fillId="0" borderId="0" xfId="569" applyFont="1" applyAlignment="1">
      <alignment horizontal="left" vertical="top" wrapText="1"/>
    </xf>
    <xf numFmtId="0" fontId="15" fillId="0" borderId="0" xfId="569" applyFont="1" applyAlignment="1">
      <alignment horizontal="left"/>
    </xf>
    <xf numFmtId="0" fontId="15" fillId="0" borderId="0" xfId="1192" applyFont="1" applyAlignment="1" applyProtection="1">
      <alignment horizontal="left"/>
    </xf>
    <xf numFmtId="0" fontId="15" fillId="0" borderId="0" xfId="1192" applyFont="1" applyFill="1" applyAlignment="1" applyProtection="1">
      <alignment horizontal="left"/>
    </xf>
    <xf numFmtId="0" fontId="15" fillId="0" borderId="0" xfId="569" applyFont="1" applyAlignment="1" applyProtection="1">
      <alignment horizontal="center"/>
    </xf>
    <xf numFmtId="0" fontId="15" fillId="0" borderId="0" xfId="569" applyFont="1" applyProtection="1"/>
    <xf numFmtId="0" fontId="15" fillId="0" borderId="0" xfId="569" applyProtection="1"/>
    <xf numFmtId="0" fontId="15" fillId="0" borderId="0" xfId="569" applyFill="1" applyProtection="1"/>
    <xf numFmtId="0" fontId="33" fillId="0" borderId="0" xfId="569" applyFont="1" applyAlignment="1" applyProtection="1">
      <alignment horizontal="left"/>
    </xf>
    <xf numFmtId="0" fontId="33" fillId="0" borderId="0" xfId="569" applyFont="1" applyAlignment="1" applyProtection="1">
      <alignment horizontal="center"/>
    </xf>
    <xf numFmtId="0" fontId="22" fillId="0" borderId="0" xfId="569" applyFont="1" applyProtection="1"/>
    <xf numFmtId="49" fontId="22" fillId="0" borderId="0" xfId="569" applyNumberFormat="1" applyFont="1" applyAlignment="1" applyProtection="1">
      <alignment horizontal="center"/>
    </xf>
    <xf numFmtId="0" fontId="15" fillId="0" borderId="0" xfId="1192" applyFont="1"/>
    <xf numFmtId="0" fontId="50" fillId="0" borderId="0" xfId="569" applyFont="1" applyAlignment="1" applyProtection="1">
      <alignment horizontal="center"/>
    </xf>
    <xf numFmtId="0" fontId="15" fillId="5" borderId="6" xfId="569" applyFill="1" applyBorder="1" applyAlignment="1" applyProtection="1">
      <protection locked="0"/>
    </xf>
    <xf numFmtId="49" fontId="22" fillId="0" borderId="0" xfId="569" applyNumberFormat="1" applyFont="1" applyAlignment="1">
      <alignment horizontal="center"/>
    </xf>
    <xf numFmtId="0" fontId="15" fillId="0" borderId="0" xfId="569" applyFont="1" applyAlignment="1" applyProtection="1">
      <alignment horizontal="left"/>
    </xf>
    <xf numFmtId="0" fontId="15" fillId="0" borderId="0" xfId="569" applyFont="1" applyFill="1" applyAlignment="1" applyProtection="1">
      <alignment horizontal="center"/>
    </xf>
    <xf numFmtId="0" fontId="15" fillId="0" borderId="0" xfId="569" applyFont="1" applyFill="1" applyProtection="1"/>
    <xf numFmtId="0" fontId="15" fillId="0" borderId="0" xfId="1192" applyFont="1" applyAlignment="1">
      <alignment horizontal="left"/>
    </xf>
    <xf numFmtId="0" fontId="15" fillId="0" borderId="0" xfId="569" applyFont="1" applyAlignment="1">
      <alignment horizontal="center"/>
    </xf>
    <xf numFmtId="0" fontId="50" fillId="0" borderId="0" xfId="569" applyFont="1" applyFill="1" applyAlignment="1" applyProtection="1">
      <alignment horizontal="center"/>
    </xf>
    <xf numFmtId="0" fontId="15" fillId="0" borderId="0" xfId="569" applyFont="1" applyFill="1" applyAlignment="1">
      <alignment horizontal="center"/>
    </xf>
    <xf numFmtId="0" fontId="16" fillId="0" borderId="0" xfId="244" applyFont="1" applyAlignment="1" applyProtection="1">
      <alignment horizontal="center"/>
    </xf>
    <xf numFmtId="49" fontId="15" fillId="0" borderId="0" xfId="569" applyNumberFormat="1" applyFont="1" applyAlignment="1">
      <alignment horizontal="center"/>
    </xf>
    <xf numFmtId="0" fontId="15" fillId="0" borderId="0" xfId="569" applyFont="1" applyAlignment="1" applyProtection="1">
      <alignment horizontal="center" vertical="center"/>
    </xf>
    <xf numFmtId="0" fontId="15" fillId="0" borderId="0" xfId="569" applyFont="1" applyAlignment="1">
      <alignment horizontal="center" vertical="center"/>
    </xf>
    <xf numFmtId="0" fontId="15" fillId="0" borderId="0" xfId="569" applyFont="1" applyAlignment="1">
      <alignment vertical="center"/>
    </xf>
    <xf numFmtId="0" fontId="15" fillId="0" borderId="0" xfId="569" applyAlignment="1">
      <alignment vertical="center"/>
    </xf>
    <xf numFmtId="0" fontId="15" fillId="0" borderId="0" xfId="1192" applyFont="1" applyAlignment="1" applyProtection="1">
      <alignment horizontal="center"/>
    </xf>
    <xf numFmtId="0" fontId="15" fillId="0" borderId="0" xfId="1192"/>
    <xf numFmtId="0" fontId="15" fillId="0" borderId="0" xfId="1192" applyFont="1" applyBorder="1"/>
    <xf numFmtId="0" fontId="22" fillId="0" borderId="0" xfId="569" applyFont="1" applyAlignment="1" applyProtection="1">
      <alignment horizontal="center"/>
    </xf>
    <xf numFmtId="0" fontId="22" fillId="0" borderId="0" xfId="569" applyFont="1" applyBorder="1" applyAlignment="1" applyProtection="1"/>
    <xf numFmtId="0" fontId="15" fillId="0" borderId="0" xfId="569" applyFont="1" applyBorder="1" applyAlignment="1" applyProtection="1">
      <alignment horizontal="center"/>
    </xf>
    <xf numFmtId="0" fontId="15" fillId="0" borderId="0" xfId="569" applyFont="1" applyBorder="1" applyProtection="1"/>
    <xf numFmtId="0" fontId="22" fillId="0" borderId="0" xfId="569" applyFont="1" applyBorder="1" applyProtection="1"/>
    <xf numFmtId="0" fontId="15" fillId="0" borderId="0" xfId="569" applyFont="1" applyAlignment="1" applyProtection="1">
      <alignment horizontal="left" indent="4"/>
    </xf>
    <xf numFmtId="0" fontId="15" fillId="0" borderId="0" xfId="569" quotePrefix="1" applyFont="1" applyAlignment="1" applyProtection="1">
      <alignment horizontal="left"/>
    </xf>
    <xf numFmtId="0" fontId="33" fillId="0" borderId="0" xfId="569" applyFont="1" applyProtection="1"/>
    <xf numFmtId="0" fontId="15" fillId="0" borderId="0" xfId="1192" applyFont="1" applyFill="1" applyAlignment="1" applyProtection="1">
      <alignment horizontal="left"/>
      <protection locked="0"/>
    </xf>
    <xf numFmtId="0" fontId="15" fillId="0" borderId="0" xfId="569" applyFont="1" applyFill="1" applyAlignment="1" applyProtection="1">
      <alignment horizontal="left"/>
      <protection locked="0"/>
    </xf>
    <xf numFmtId="0" fontId="15" fillId="0" borderId="0" xfId="1192" applyFont="1" applyFill="1" applyBorder="1" applyAlignment="1" applyProtection="1">
      <alignment horizontal="left"/>
    </xf>
    <xf numFmtId="49" fontId="15" fillId="0" borderId="0" xfId="1192" applyNumberFormat="1" applyAlignment="1">
      <alignment horizontal="center"/>
    </xf>
    <xf numFmtId="0" fontId="50" fillId="0" borderId="0" xfId="1192" applyFont="1" applyAlignment="1" applyProtection="1">
      <alignment horizontal="center"/>
    </xf>
    <xf numFmtId="49" fontId="15" fillId="0" borderId="0" xfId="569" applyNumberFormat="1" applyFont="1" applyAlignment="1" applyProtection="1">
      <alignment horizontal="center"/>
    </xf>
    <xf numFmtId="0" fontId="15" fillId="0" borderId="0" xfId="569" applyFont="1" applyAlignment="1" applyProtection="1"/>
    <xf numFmtId="0" fontId="15" fillId="0" borderId="0" xfId="569" applyAlignment="1" applyProtection="1"/>
    <xf numFmtId="0" fontId="33" fillId="0" borderId="0" xfId="569" applyFont="1" applyFill="1" applyAlignment="1">
      <alignment horizontal="center"/>
    </xf>
    <xf numFmtId="0" fontId="22" fillId="0" borderId="0" xfId="1192" applyFont="1" applyFill="1" applyAlignment="1">
      <alignment horizontal="left"/>
    </xf>
    <xf numFmtId="49" fontId="22" fillId="0" borderId="0" xfId="569" applyNumberFormat="1" applyFont="1" applyFill="1" applyAlignment="1" applyProtection="1">
      <alignment horizontal="center"/>
    </xf>
    <xf numFmtId="0" fontId="22" fillId="0" borderId="0" xfId="569" applyFont="1" applyAlignment="1">
      <alignment horizontal="left"/>
    </xf>
    <xf numFmtId="0" fontId="22" fillId="0" borderId="0" xfId="569" applyFont="1" applyAlignment="1" applyProtection="1">
      <alignment horizontal="left"/>
    </xf>
    <xf numFmtId="4" fontId="15" fillId="0" borderId="0" xfId="1192" applyNumberFormat="1" applyFont="1" applyAlignment="1" applyProtection="1">
      <alignment horizontal="left"/>
    </xf>
    <xf numFmtId="0" fontId="33" fillId="0" borderId="0" xfId="569" applyFont="1" applyFill="1" applyAlignment="1" applyProtection="1">
      <alignment horizontal="center"/>
    </xf>
    <xf numFmtId="0" fontId="22" fillId="0" borderId="0" xfId="569" quotePrefix="1" applyFont="1" applyAlignment="1" applyProtection="1">
      <alignment horizontal="center"/>
    </xf>
    <xf numFmtId="0" fontId="33" fillId="0" borderId="0" xfId="569" applyFont="1" applyBorder="1" applyAlignment="1" applyProtection="1">
      <alignment horizontal="center"/>
    </xf>
    <xf numFmtId="0" fontId="15" fillId="0" borderId="0" xfId="569" applyFont="1" applyBorder="1" applyAlignment="1" applyProtection="1">
      <alignment horizontal="left"/>
    </xf>
    <xf numFmtId="49" fontId="15" fillId="0" borderId="0" xfId="569" applyNumberFormat="1" applyProtection="1"/>
    <xf numFmtId="0" fontId="47" fillId="0" borderId="0" xfId="569" applyFont="1" applyAlignment="1" applyProtection="1">
      <alignment horizontal="left"/>
    </xf>
    <xf numFmtId="0" fontId="15" fillId="0" borderId="0" xfId="569" applyFont="1" applyFill="1" applyBorder="1" applyProtection="1"/>
    <xf numFmtId="49" fontId="15" fillId="0" borderId="0" xfId="569" applyNumberFormat="1" applyFill="1" applyProtection="1"/>
    <xf numFmtId="0" fontId="15" fillId="0" borderId="0" xfId="569" applyFont="1" applyFill="1" applyAlignment="1" applyProtection="1">
      <alignment horizontal="left" vertical="top" wrapText="1"/>
    </xf>
    <xf numFmtId="49" fontId="15" fillId="0" borderId="0" xfId="569" applyNumberFormat="1" applyFont="1" applyProtection="1"/>
    <xf numFmtId="49" fontId="15" fillId="0" borderId="0" xfId="569" applyNumberFormat="1" applyFont="1" applyFill="1" applyProtection="1"/>
    <xf numFmtId="0" fontId="15" fillId="0" borderId="0" xfId="569" applyFont="1" applyFill="1" applyAlignment="1" applyProtection="1">
      <alignment horizontal="left"/>
    </xf>
    <xf numFmtId="4" fontId="50" fillId="0" borderId="0" xfId="569" applyNumberFormat="1" applyFont="1" applyAlignment="1" applyProtection="1">
      <alignment horizontal="center"/>
    </xf>
    <xf numFmtId="4" fontId="15" fillId="0" borderId="0" xfId="569" applyNumberFormat="1" applyFont="1" applyAlignment="1" applyProtection="1">
      <alignment horizontal="center"/>
    </xf>
    <xf numFmtId="4" fontId="15" fillId="0" borderId="0" xfId="569" applyNumberFormat="1" applyFont="1" applyProtection="1"/>
    <xf numFmtId="4" fontId="15" fillId="0" borderId="0" xfId="569" applyNumberFormat="1" applyFill="1" applyProtection="1"/>
    <xf numFmtId="0" fontId="33" fillId="0" borderId="0" xfId="569" applyFont="1" applyFill="1" applyAlignment="1">
      <alignment horizontal="left"/>
    </xf>
    <xf numFmtId="0" fontId="45" fillId="0" borderId="0" xfId="569" applyFont="1" applyFill="1" applyAlignment="1">
      <alignment horizontal="left"/>
    </xf>
    <xf numFmtId="0" fontId="16" fillId="0" borderId="0" xfId="244" applyNumberFormat="1" applyFill="1" applyAlignment="1" applyProtection="1">
      <alignment horizontal="left"/>
      <protection locked="0"/>
    </xf>
    <xf numFmtId="0" fontId="44" fillId="0" borderId="0" xfId="0" applyFont="1" applyAlignment="1">
      <alignment horizontal="left" vertical="top" wrapText="1"/>
    </xf>
    <xf numFmtId="0" fontId="52" fillId="0" borderId="11" xfId="0" applyFont="1" applyFill="1" applyBorder="1" applyAlignment="1" applyProtection="1">
      <alignment horizontal="right" vertical="top" wrapText="1"/>
      <protection locked="0"/>
    </xf>
    <xf numFmtId="168" fontId="55" fillId="44" borderId="11" xfId="0" applyNumberFormat="1" applyFont="1" applyFill="1" applyBorder="1" applyAlignment="1" applyProtection="1">
      <alignment vertical="top" wrapText="1"/>
    </xf>
    <xf numFmtId="0" fontId="15" fillId="0" borderId="11" xfId="271" applyFont="1" applyFill="1" applyBorder="1" applyAlignment="1" applyProtection="1">
      <alignment horizontal="right" vertical="top" wrapText="1"/>
    </xf>
    <xf numFmtId="0" fontId="15" fillId="0" borderId="11" xfId="271" applyFont="1" applyBorder="1" applyAlignment="1" applyProtection="1">
      <alignment horizontal="right" vertical="top" wrapText="1"/>
    </xf>
    <xf numFmtId="0" fontId="23" fillId="0" borderId="0" xfId="569" applyFont="1" applyBorder="1" applyAlignment="1">
      <alignment horizontal="left"/>
    </xf>
    <xf numFmtId="0" fontId="104" fillId="0" borderId="0" xfId="0" applyFont="1" applyBorder="1"/>
    <xf numFmtId="0" fontId="15" fillId="0" borderId="0" xfId="0" applyFont="1" applyFill="1" applyAlignment="1">
      <alignment vertical="top" wrapText="1"/>
    </xf>
    <xf numFmtId="0" fontId="115" fillId="0" borderId="0" xfId="0" applyFont="1" applyBorder="1" applyAlignment="1" applyProtection="1">
      <alignment horizontal="left" vertical="top"/>
    </xf>
    <xf numFmtId="0" fontId="116" fillId="0" borderId="0" xfId="0" applyFont="1" applyBorder="1" applyAlignment="1" applyProtection="1">
      <alignment horizontal="left" vertical="top"/>
    </xf>
    <xf numFmtId="0" fontId="34" fillId="0" borderId="0" xfId="0" applyFont="1" applyFill="1" applyProtection="1"/>
    <xf numFmtId="168" fontId="23"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5" fillId="0" borderId="0" xfId="569" applyFont="1" applyAlignment="1">
      <alignment vertical="top" wrapText="1"/>
    </xf>
    <xf numFmtId="168" fontId="52" fillId="5" borderId="11" xfId="0" applyNumberFormat="1" applyFont="1" applyFill="1" applyBorder="1" applyAlignment="1" applyProtection="1">
      <alignment vertical="top" wrapText="1"/>
    </xf>
    <xf numFmtId="0" fontId="15" fillId="0" borderId="0" xfId="271" applyNumberFormat="1" applyFont="1" applyFill="1" applyAlignment="1" applyProtection="1">
      <alignment horizontal="left" vertical="top"/>
    </xf>
    <xf numFmtId="0" fontId="15" fillId="0" borderId="0" xfId="271" applyNumberFormat="1" applyFont="1" applyFill="1" applyBorder="1" applyAlignment="1" applyProtection="1">
      <alignment horizontal="left" vertical="top"/>
    </xf>
    <xf numFmtId="0" fontId="24" fillId="0" borderId="0" xfId="271" applyNumberFormat="1" applyFont="1" applyFill="1" applyBorder="1" applyAlignment="1" applyProtection="1">
      <alignment horizontal="left" vertical="top"/>
    </xf>
    <xf numFmtId="0" fontId="15" fillId="0" borderId="0" xfId="0" applyFont="1" applyAlignment="1"/>
    <xf numFmtId="0" fontId="15" fillId="0" borderId="0" xfId="0" applyFont="1" applyAlignment="1">
      <alignment vertical="top"/>
    </xf>
    <xf numFmtId="0" fontId="15" fillId="0" borderId="3" xfId="0" applyFont="1" applyFill="1" applyBorder="1" applyProtection="1"/>
    <xf numFmtId="0" fontId="52" fillId="0" borderId="0" xfId="569" applyFont="1" applyBorder="1" applyAlignment="1"/>
    <xf numFmtId="0" fontId="15" fillId="0" borderId="0" xfId="0" applyFont="1" applyBorder="1" applyAlignment="1" applyProtection="1">
      <alignment vertical="top" wrapText="1"/>
    </xf>
    <xf numFmtId="0" fontId="15" fillId="0" borderId="0" xfId="0" applyFont="1" applyBorder="1" applyAlignment="1" applyProtection="1">
      <alignment vertical="top"/>
    </xf>
    <xf numFmtId="0" fontId="15" fillId="0" borderId="0" xfId="0" applyFont="1" applyBorder="1" applyAlignment="1" applyProtection="1">
      <alignment horizontal="left" vertical="top" wrapText="1"/>
    </xf>
    <xf numFmtId="0" fontId="15" fillId="0" borderId="0" xfId="0" applyFont="1" applyBorder="1" applyAlignment="1" applyProtection="1">
      <alignment horizontal="left" vertical="top"/>
    </xf>
    <xf numFmtId="0" fontId="15" fillId="0" borderId="0" xfId="0" applyFont="1" applyAlignment="1" applyProtection="1">
      <alignment horizontal="left" vertical="top"/>
    </xf>
    <xf numFmtId="0" fontId="15" fillId="0" borderId="0" xfId="569" applyFont="1" applyBorder="1" applyAlignment="1">
      <alignment horizontal="left" vertical="top" wrapText="1"/>
    </xf>
    <xf numFmtId="4" fontId="15" fillId="0" borderId="0" xfId="1192" applyNumberFormat="1" applyFont="1" applyFill="1" applyAlignment="1" applyProtection="1">
      <alignment vertical="top" wrapText="1"/>
    </xf>
    <xf numFmtId="0" fontId="22" fillId="0" borderId="16" xfId="271" applyFont="1" applyFill="1" applyBorder="1" applyAlignment="1" applyProtection="1"/>
    <xf numFmtId="0" fontId="59" fillId="0" borderId="0" xfId="569" applyFont="1" applyProtection="1"/>
    <xf numFmtId="0" fontId="39" fillId="0" borderId="0" xfId="569" applyFont="1" applyBorder="1" applyProtection="1"/>
    <xf numFmtId="0" fontId="15" fillId="0" borderId="0" xfId="0" applyFont="1" applyBorder="1" applyAlignment="1" applyProtection="1">
      <protection locked="0"/>
    </xf>
    <xf numFmtId="0" fontId="15" fillId="0" borderId="0" xfId="0" applyFont="1" applyFill="1" applyAlignment="1" applyProtection="1">
      <alignment horizontal="left" vertical="top"/>
    </xf>
    <xf numFmtId="0" fontId="15" fillId="0" borderId="0" xfId="0" applyFont="1" applyFill="1" applyAlignment="1" applyProtection="1"/>
    <xf numFmtId="0" fontId="15" fillId="0" borderId="0" xfId="569" applyFont="1" applyBorder="1" applyAlignment="1">
      <alignment vertical="top" wrapText="1"/>
    </xf>
    <xf numFmtId="0" fontId="15" fillId="0" borderId="0" xfId="569" applyFont="1" applyBorder="1" applyAlignment="1">
      <alignment vertical="top"/>
    </xf>
    <xf numFmtId="0" fontId="0" fillId="0" borderId="0" xfId="0" applyAlignment="1" applyProtection="1"/>
    <xf numFmtId="0" fontId="15" fillId="0" borderId="0" xfId="1192" applyFont="1" applyFill="1" applyBorder="1" applyAlignment="1" applyProtection="1">
      <alignment horizontal="left" vertical="top" wrapText="1"/>
    </xf>
    <xf numFmtId="0" fontId="15" fillId="0" borderId="0" xfId="1192" applyFont="1" applyAlignment="1" applyProtection="1">
      <alignment vertical="top" wrapText="1"/>
    </xf>
    <xf numFmtId="49" fontId="15" fillId="0" borderId="0" xfId="1192" applyNumberFormat="1" applyFont="1" applyFill="1" applyAlignment="1">
      <alignment vertical="top" wrapText="1"/>
    </xf>
    <xf numFmtId="0" fontId="54" fillId="0" borderId="9" xfId="543" applyFont="1" applyBorder="1" applyAlignment="1" applyProtection="1">
      <alignment vertical="top"/>
    </xf>
    <xf numFmtId="0" fontId="15" fillId="0" borderId="0" xfId="0" applyFont="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NumberFormat="1" applyFont="1" applyAlignment="1" applyProtection="1">
      <alignment horizontal="left" vertical="top"/>
    </xf>
    <xf numFmtId="0" fontId="15" fillId="0" borderId="0" xfId="0" applyFont="1" applyAlignment="1">
      <alignment vertical="center"/>
    </xf>
    <xf numFmtId="0" fontId="117" fillId="0" borderId="0" xfId="0" applyFont="1" applyBorder="1" applyProtection="1"/>
    <xf numFmtId="0" fontId="104" fillId="0" borderId="0" xfId="0" applyFont="1" applyProtection="1"/>
    <xf numFmtId="3" fontId="104" fillId="0" borderId="0" xfId="0" applyNumberFormat="1" applyFont="1"/>
    <xf numFmtId="0" fontId="104" fillId="0" borderId="0" xfId="0" applyFont="1" applyBorder="1" applyAlignment="1" applyProtection="1">
      <alignment horizontal="left"/>
    </xf>
    <xf numFmtId="168" fontId="118" fillId="0" borderId="0" xfId="0" applyNumberFormat="1" applyFont="1" applyFill="1" applyBorder="1" applyAlignment="1" applyProtection="1">
      <alignment horizontal="left" vertical="top"/>
    </xf>
    <xf numFmtId="0" fontId="104" fillId="0" borderId="0" xfId="0" applyFont="1" applyFill="1" applyBorder="1" applyProtection="1"/>
    <xf numFmtId="0" fontId="104" fillId="0" borderId="0" xfId="0" applyFont="1" applyBorder="1" applyAlignment="1" applyProtection="1">
      <alignment horizontal="left" vertical="center"/>
    </xf>
    <xf numFmtId="0" fontId="120" fillId="0" borderId="0" xfId="0" applyFont="1" applyProtection="1"/>
    <xf numFmtId="0" fontId="120" fillId="0" borderId="0" xfId="0" applyFont="1" applyBorder="1" applyProtection="1"/>
    <xf numFmtId="0" fontId="104" fillId="0" borderId="0" xfId="0" applyFont="1" applyBorder="1" applyProtection="1"/>
    <xf numFmtId="0" fontId="117" fillId="0" borderId="0" xfId="0" applyFont="1" applyProtection="1"/>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15" fillId="0" borderId="0" xfId="543" applyFont="1" applyBorder="1" applyAlignment="1" applyProtection="1"/>
    <xf numFmtId="0" fontId="35" fillId="0" borderId="0" xfId="543" applyNumberFormat="1" applyFont="1" applyFill="1" applyBorder="1" applyAlignment="1" applyProtection="1">
      <alignment vertical="center" wrapText="1"/>
    </xf>
    <xf numFmtId="1" fontId="22" fillId="0" borderId="13" xfId="271" applyNumberFormat="1" applyFont="1" applyBorder="1" applyProtection="1"/>
    <xf numFmtId="1" fontId="24" fillId="0" borderId="13" xfId="271" applyNumberFormat="1" applyFont="1" applyBorder="1" applyProtection="1"/>
    <xf numFmtId="0" fontId="15"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2" fillId="0" borderId="5" xfId="0" applyFont="1" applyBorder="1" applyAlignment="1" applyProtection="1">
      <alignment horizontal="right"/>
    </xf>
    <xf numFmtId="168" fontId="24"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0" borderId="6" xfId="0" applyFont="1" applyBorder="1" applyAlignment="1" applyProtection="1">
      <alignment horizontal="center"/>
    </xf>
    <xf numFmtId="0" fontId="22" fillId="0" borderId="0" xfId="0" applyFont="1" applyFill="1" applyAlignment="1" applyProtection="1">
      <alignment horizontal="center"/>
    </xf>
    <xf numFmtId="0" fontId="0" fillId="0" borderId="0" xfId="0" applyFill="1" applyAlignment="1" applyProtection="1"/>
    <xf numFmtId="0" fontId="22" fillId="0" borderId="5" xfId="0" applyFont="1" applyBorder="1" applyAlignment="1" applyProtection="1">
      <alignment horizontal="right"/>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0" fontId="24" fillId="0" borderId="0" xfId="0" applyFont="1" applyFill="1" applyAlignment="1" applyProtection="1">
      <alignment horizontal="center"/>
    </xf>
    <xf numFmtId="0" fontId="22"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5" fillId="0" borderId="0" xfId="0" applyFont="1" applyAlignment="1" applyProtection="1">
      <alignment wrapText="1"/>
    </xf>
    <xf numFmtId="2" fontId="15" fillId="0" borderId="0" xfId="0" applyNumberFormat="1" applyFont="1" applyProtection="1"/>
    <xf numFmtId="0" fontId="15" fillId="0" borderId="3" xfId="0" applyFont="1" applyFill="1" applyBorder="1" applyAlignment="1" applyProtection="1"/>
    <xf numFmtId="0" fontId="0" fillId="0" borderId="4" xfId="0" applyFill="1" applyBorder="1" applyAlignment="1" applyProtection="1"/>
    <xf numFmtId="0" fontId="15" fillId="0" borderId="9" xfId="0" applyFont="1" applyBorder="1" applyAlignment="1" applyProtection="1">
      <alignment horizontal="left"/>
    </xf>
    <xf numFmtId="0" fontId="15" fillId="0" borderId="6" xfId="0" applyFont="1" applyBorder="1" applyProtection="1"/>
    <xf numFmtId="0" fontId="15" fillId="0" borderId="9" xfId="0" applyFont="1" applyFill="1" applyBorder="1" applyProtection="1"/>
    <xf numFmtId="0" fontId="48" fillId="0" borderId="0" xfId="0" applyFont="1" applyFill="1" applyBorder="1" applyAlignment="1" applyProtection="1">
      <alignment horizontal="center"/>
    </xf>
    <xf numFmtId="0" fontId="21" fillId="0" borderId="0" xfId="0" applyFont="1" applyFill="1" applyBorder="1" applyAlignment="1" applyProtection="1">
      <alignment horizontal="center" vertical="center" wrapText="1"/>
    </xf>
    <xf numFmtId="0" fontId="22" fillId="0" borderId="0" xfId="0" applyFont="1" applyFill="1" applyAlignment="1" applyProtection="1">
      <alignment vertical="top"/>
    </xf>
    <xf numFmtId="0" fontId="30"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Fill="1" applyAlignment="1" applyProtection="1">
      <alignment vertical="top" wrapText="1"/>
    </xf>
    <xf numFmtId="0" fontId="23" fillId="0" borderId="0" xfId="0" applyFont="1" applyFill="1" applyAlignment="1" applyProtection="1">
      <alignment horizontal="left"/>
    </xf>
    <xf numFmtId="0" fontId="23" fillId="0" borderId="0" xfId="0" applyFont="1" applyFill="1" applyAlignment="1" applyProtection="1">
      <alignment vertical="top"/>
    </xf>
    <xf numFmtId="0" fontId="15" fillId="0" borderId="0" xfId="0" applyFont="1" applyFill="1" applyBorder="1" applyAlignment="1" applyProtection="1">
      <alignment horizontal="center"/>
    </xf>
    <xf numFmtId="0" fontId="22" fillId="0" borderId="0" xfId="271" applyFont="1" applyFill="1" applyBorder="1" applyAlignment="1" applyProtection="1"/>
    <xf numFmtId="0" fontId="22" fillId="0" borderId="0" xfId="271" applyFont="1" applyFill="1" applyBorder="1" applyAlignment="1" applyProtection="1">
      <alignment horizontal="right"/>
    </xf>
    <xf numFmtId="0" fontId="22" fillId="0" borderId="0" xfId="0" applyFont="1" applyFill="1" applyAlignment="1" applyProtection="1"/>
    <xf numFmtId="0" fontId="40" fillId="0" borderId="0" xfId="543" applyFont="1" applyFill="1" applyAlignment="1" applyProtection="1"/>
    <xf numFmtId="0" fontId="40" fillId="0" borderId="0" xfId="543" applyFont="1" applyFill="1" applyProtection="1"/>
    <xf numFmtId="0" fontId="22" fillId="0" borderId="3" xfId="0" applyFont="1" applyBorder="1" applyAlignment="1" applyProtection="1"/>
    <xf numFmtId="0" fontId="22" fillId="0" borderId="4" xfId="271" applyFont="1" applyBorder="1" applyAlignment="1" applyProtection="1"/>
    <xf numFmtId="0" fontId="22" fillId="0" borderId="3" xfId="271" applyFont="1" applyBorder="1" applyAlignment="1" applyProtection="1"/>
    <xf numFmtId="0" fontId="22" fillId="0" borderId="5" xfId="271" applyFont="1" applyBorder="1" applyAlignment="1" applyProtection="1"/>
    <xf numFmtId="0" fontId="22" fillId="0" borderId="3" xfId="0" applyFont="1" applyFill="1" applyBorder="1" applyAlignment="1" applyProtection="1"/>
    <xf numFmtId="0" fontId="22" fillId="0" borderId="4" xfId="0" applyFont="1" applyFill="1" applyBorder="1" applyAlignment="1" applyProtection="1"/>
    <xf numFmtId="0" fontId="22" fillId="0" borderId="5" xfId="0" applyFont="1" applyFill="1" applyBorder="1" applyAlignment="1" applyProtection="1"/>
    <xf numFmtId="168" fontId="20" fillId="43" borderId="0" xfId="0" applyNumberFormat="1" applyFont="1" applyFill="1"/>
    <xf numFmtId="0" fontId="38" fillId="0" borderId="0" xfId="0" applyFont="1" applyBorder="1" applyProtection="1"/>
    <xf numFmtId="1" fontId="15" fillId="0" borderId="0" xfId="543" applyNumberFormat="1" applyFont="1" applyBorder="1" applyAlignment="1" applyProtection="1"/>
    <xf numFmtId="0" fontId="15" fillId="0" borderId="0" xfId="543" applyFont="1" applyBorder="1" applyAlignment="1" applyProtection="1">
      <alignment horizontal="center"/>
    </xf>
    <xf numFmtId="9" fontId="23" fillId="0" borderId="0" xfId="543" applyNumberFormat="1" applyFont="1" applyBorder="1" applyAlignment="1" applyProtection="1">
      <alignment horizontal="center"/>
    </xf>
    <xf numFmtId="171" fontId="15" fillId="0" borderId="0" xfId="543" applyNumberFormat="1" applyFont="1" applyBorder="1" applyAlignment="1" applyProtection="1"/>
    <xf numFmtId="171" fontId="15" fillId="0" borderId="11" xfId="543" applyNumberFormat="1" applyFont="1" applyBorder="1" applyAlignment="1" applyProtection="1"/>
    <xf numFmtId="1" fontId="15" fillId="0" borderId="11" xfId="543" applyNumberFormat="1" applyFont="1" applyBorder="1" applyAlignment="1" applyProtection="1">
      <alignment horizontal="center"/>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35" fillId="0" borderId="12" xfId="543" applyFont="1" applyBorder="1" applyAlignment="1" applyProtection="1">
      <alignment horizontal="center" vertical="top"/>
    </xf>
    <xf numFmtId="0" fontId="36" fillId="0" borderId="7" xfId="543" applyFont="1" applyFill="1" applyBorder="1" applyAlignment="1" applyProtection="1"/>
    <xf numFmtId="0" fontId="15" fillId="0" borderId="12" xfId="543" quotePrefix="1" applyFont="1" applyFill="1" applyBorder="1" applyAlignment="1" applyProtection="1"/>
    <xf numFmtId="0" fontId="15" fillId="0" borderId="12" xfId="543" applyFont="1" applyFill="1" applyBorder="1" applyAlignment="1" applyProtection="1"/>
    <xf numFmtId="0" fontId="15" fillId="0" borderId="10" xfId="543" applyFont="1" applyFill="1" applyBorder="1" applyAlignment="1" applyProtection="1"/>
    <xf numFmtId="0" fontId="52" fillId="0" borderId="2" xfId="569" applyNumberFormat="1" applyFont="1" applyBorder="1" applyAlignment="1">
      <alignment vertical="top"/>
    </xf>
    <xf numFmtId="0" fontId="52" fillId="0" borderId="0" xfId="271" applyFont="1" applyFill="1" applyAlignment="1" applyProtection="1">
      <alignment vertical="top" wrapText="1"/>
    </xf>
    <xf numFmtId="44" fontId="15" fillId="0" borderId="4" xfId="707" applyFont="1" applyFill="1" applyBorder="1" applyAlignment="1" applyProtection="1">
      <alignment horizontal="left" vertical="top" wrapText="1"/>
    </xf>
    <xf numFmtId="2" fontId="117" fillId="0" borderId="0" xfId="0" applyNumberFormat="1" applyFont="1" applyFill="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xf numFmtId="3" fontId="15" fillId="0" borderId="0" xfId="0" applyNumberFormat="1" applyFont="1" applyAlignment="1">
      <alignment horizontal="center"/>
    </xf>
    <xf numFmtId="0" fontId="15" fillId="0" borderId="58" xfId="0" applyFont="1" applyBorder="1" applyAlignment="1">
      <alignment horizontal="left"/>
    </xf>
    <xf numFmtId="168" fontId="52" fillId="5" borderId="11" xfId="0" applyNumberFormat="1" applyFont="1" applyFill="1" applyBorder="1" applyAlignment="1" applyProtection="1">
      <alignment vertical="top" wrapText="1"/>
      <protection locked="0"/>
    </xf>
    <xf numFmtId="0" fontId="15" fillId="0" borderId="0" xfId="0" applyFont="1" applyAlignment="1">
      <alignment horizontal="left" vertical="top" wrapText="1"/>
    </xf>
    <xf numFmtId="0" fontId="15" fillId="0" borderId="0" xfId="0" applyFont="1" applyFill="1" applyAlignment="1">
      <alignment horizontal="left" vertical="top" wrapText="1"/>
    </xf>
    <xf numFmtId="0" fontId="15" fillId="0" borderId="0" xfId="0" applyFont="1" applyFill="1" applyAlignment="1">
      <alignment horizontal="left" wrapText="1"/>
    </xf>
    <xf numFmtId="0" fontId="22" fillId="0" borderId="0" xfId="0" applyFont="1" applyAlignment="1">
      <alignment horizontal="left" vertical="top" wrapText="1"/>
    </xf>
    <xf numFmtId="0" fontId="15" fillId="0" borderId="0" xfId="1192" applyFont="1" applyFill="1" applyAlignment="1">
      <alignment horizontal="left" vertical="top" wrapText="1"/>
    </xf>
    <xf numFmtId="0" fontId="15" fillId="0" borderId="0" xfId="0" applyFont="1" applyAlignment="1">
      <alignment horizontal="left"/>
    </xf>
    <xf numFmtId="0" fontId="15" fillId="0" borderId="0" xfId="0" applyFont="1" applyAlignment="1" applyProtection="1">
      <alignment horizontal="left"/>
    </xf>
    <xf numFmtId="0" fontId="33" fillId="0" borderId="0" xfId="0" applyFont="1" applyFill="1" applyAlignment="1">
      <alignment horizontal="left"/>
    </xf>
    <xf numFmtId="0" fontId="22" fillId="0" borderId="0" xfId="0" applyFont="1" applyAlignment="1">
      <alignment horizontal="left"/>
    </xf>
    <xf numFmtId="0" fontId="15" fillId="0" borderId="0" xfId="569" applyFont="1" applyAlignment="1">
      <alignment horizontal="left" vertical="top" wrapText="1"/>
    </xf>
    <xf numFmtId="0" fontId="15" fillId="0" borderId="0" xfId="569" applyFont="1" applyBorder="1" applyAlignment="1">
      <alignment horizontal="left" vertical="top"/>
    </xf>
    <xf numFmtId="0" fontId="33" fillId="0" borderId="0" xfId="0" applyFont="1" applyAlignment="1" applyProtection="1">
      <alignment horizontal="center"/>
    </xf>
    <xf numFmtId="0" fontId="33" fillId="0" borderId="0" xfId="0" applyFont="1" applyFill="1" applyAlignment="1">
      <alignment horizontal="center"/>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0" fontId="15" fillId="0" borderId="0" xfId="569" applyFont="1" applyAlignment="1">
      <alignment horizontal="left" vertical="top"/>
    </xf>
    <xf numFmtId="0" fontId="22" fillId="0" borderId="4" xfId="0" applyFont="1" applyBorder="1" applyAlignment="1" applyProtection="1">
      <alignment horizontal="left"/>
    </xf>
    <xf numFmtId="0" fontId="15" fillId="0" borderId="0" xfId="0" applyFont="1" applyFill="1" applyAlignment="1">
      <alignment horizontal="left"/>
    </xf>
    <xf numFmtId="4" fontId="15" fillId="0" borderId="0" xfId="0" applyNumberFormat="1" applyFont="1" applyFill="1" applyAlignment="1" applyProtection="1">
      <alignment horizontal="left"/>
    </xf>
    <xf numFmtId="0" fontId="15" fillId="0" borderId="0" xfId="569" applyFont="1" applyAlignment="1" applyProtection="1">
      <alignment horizontal="left" vertical="top"/>
    </xf>
    <xf numFmtId="0" fontId="15" fillId="0" borderId="0" xfId="569" applyFont="1" applyAlignment="1" applyProtection="1">
      <alignment horizontal="left" vertical="top" wrapText="1"/>
    </xf>
    <xf numFmtId="0" fontId="22" fillId="0" borderId="0" xfId="0" applyFont="1" applyAlignment="1" applyProtection="1">
      <alignment horizontal="center"/>
    </xf>
    <xf numFmtId="0" fontId="15" fillId="0" borderId="0" xfId="0" applyFont="1" applyFill="1" applyAlignment="1" applyProtection="1">
      <alignment horizontal="center"/>
    </xf>
    <xf numFmtId="43" fontId="50"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0" fontId="22" fillId="0" borderId="0" xfId="0" applyFont="1" applyAlignment="1">
      <alignment vertical="top"/>
    </xf>
    <xf numFmtId="0" fontId="15" fillId="0" borderId="0" xfId="0" applyFont="1" applyBorder="1" applyAlignment="1">
      <alignment horizontal="center"/>
    </xf>
    <xf numFmtId="0" fontId="15" fillId="0" borderId="0" xfId="0" applyFont="1" applyFill="1" applyBorder="1" applyAlignment="1">
      <alignment horizontal="left"/>
    </xf>
    <xf numFmtId="0" fontId="15" fillId="0" borderId="0" xfId="0" applyFont="1" applyFill="1" applyBorder="1" applyAlignment="1">
      <alignment horizontal="center"/>
    </xf>
    <xf numFmtId="0" fontId="33" fillId="0" borderId="0" xfId="0" applyFont="1" applyBorder="1" applyAlignment="1">
      <alignment horizontal="center"/>
    </xf>
    <xf numFmtId="0" fontId="33" fillId="0" borderId="0" xfId="0" applyFont="1" applyFill="1" applyBorder="1" applyAlignment="1" applyProtection="1">
      <alignment horizontal="center"/>
    </xf>
    <xf numFmtId="0" fontId="33" fillId="0" borderId="0" xfId="0" applyFont="1" applyFill="1" applyBorder="1" applyAlignment="1">
      <alignment horizontal="center"/>
    </xf>
    <xf numFmtId="49" fontId="15" fillId="0" borderId="0" xfId="0" applyNumberFormat="1" applyFont="1"/>
    <xf numFmtId="49" fontId="15" fillId="0" borderId="0" xfId="0" applyNumberFormat="1" applyFont="1" applyFill="1"/>
    <xf numFmtId="49" fontId="15" fillId="0" borderId="0" xfId="0" applyNumberFormat="1" applyFont="1" applyAlignment="1">
      <alignment horizontal="center"/>
    </xf>
    <xf numFmtId="4" fontId="15" fillId="0" borderId="0" xfId="0" applyNumberFormat="1" applyFont="1" applyFill="1" applyAlignment="1" applyProtection="1">
      <alignment vertical="top" wrapText="1"/>
    </xf>
    <xf numFmtId="0" fontId="15" fillId="0" borderId="0" xfId="0" applyFont="1" applyAlignment="1" applyProtection="1">
      <alignment horizontal="center"/>
    </xf>
    <xf numFmtId="0" fontId="15" fillId="0" borderId="0" xfId="0" quotePrefix="1" applyFont="1"/>
    <xf numFmtId="49" fontId="15" fillId="0" borderId="0" xfId="0" applyNumberFormat="1" applyFont="1" applyFill="1" applyAlignment="1">
      <alignment horizontal="center"/>
    </xf>
    <xf numFmtId="0" fontId="45" fillId="0" borderId="0" xfId="0" applyFont="1" applyFill="1" applyAlignment="1">
      <alignment horizontal="left"/>
    </xf>
    <xf numFmtId="0" fontId="33" fillId="0" borderId="0" xfId="0" applyFont="1" applyAlignment="1">
      <alignment horizontal="center"/>
    </xf>
    <xf numFmtId="0" fontId="15" fillId="0" borderId="4" xfId="0" applyFont="1" applyBorder="1" applyAlignment="1">
      <alignment horizontal="left"/>
    </xf>
    <xf numFmtId="0" fontId="15" fillId="0" borderId="4" xfId="0" applyFont="1" applyFill="1" applyBorder="1" applyAlignment="1">
      <alignment horizontal="left"/>
    </xf>
    <xf numFmtId="0" fontId="15" fillId="0" borderId="0" xfId="0" quotePrefix="1" applyFont="1" applyAlignment="1">
      <alignment horizontal="left"/>
    </xf>
    <xf numFmtId="0" fontId="15" fillId="0" borderId="0" xfId="0" quotePrefix="1" applyFont="1" applyAlignment="1">
      <alignment horizontal="left" vertical="top"/>
    </xf>
    <xf numFmtId="0" fontId="45" fillId="0" borderId="0" xfId="1192" applyFont="1" applyFill="1" applyAlignment="1">
      <alignment horizontal="left"/>
    </xf>
    <xf numFmtId="0" fontId="50" fillId="0" borderId="0" xfId="0" applyFont="1" applyFill="1" applyAlignment="1" applyProtection="1">
      <alignment horizontal="center" vertical="center"/>
    </xf>
    <xf numFmtId="49" fontId="22" fillId="0" borderId="0" xfId="0" applyNumberFormat="1" applyFont="1" applyFill="1" applyAlignment="1">
      <alignment horizontal="center" vertical="center"/>
    </xf>
    <xf numFmtId="49" fontId="15" fillId="0" borderId="0" xfId="0" applyNumberFormat="1" applyFont="1" applyFill="1" applyAlignment="1">
      <alignment vertical="center"/>
    </xf>
    <xf numFmtId="0" fontId="22" fillId="0" borderId="0" xfId="1192" applyFont="1" applyFill="1"/>
    <xf numFmtId="49" fontId="15" fillId="0" borderId="0" xfId="0" applyNumberFormat="1" applyFont="1" applyAlignment="1" applyProtection="1">
      <alignment horizontal="center"/>
    </xf>
    <xf numFmtId="0" fontId="15" fillId="0" borderId="0" xfId="0" applyFont="1" applyFill="1" applyBorder="1" applyAlignment="1" applyProtection="1">
      <alignment vertical="top"/>
    </xf>
    <xf numFmtId="49" fontId="15" fillId="0" borderId="0" xfId="0" applyNumberFormat="1" applyFont="1" applyFill="1" applyAlignment="1" applyProtection="1">
      <alignment horizontal="center"/>
    </xf>
    <xf numFmtId="4" fontId="15" fillId="0" borderId="0" xfId="0" applyNumberFormat="1" applyFont="1" applyAlignment="1" applyProtection="1">
      <alignment horizontal="center"/>
    </xf>
    <xf numFmtId="4" fontId="15" fillId="0" borderId="0" xfId="0" applyNumberFormat="1" applyFont="1" applyFill="1" applyProtection="1"/>
    <xf numFmtId="4" fontId="15" fillId="0" borderId="0" xfId="0" applyNumberFormat="1" applyFont="1" applyAlignment="1" applyProtection="1">
      <alignment horizontal="left"/>
    </xf>
    <xf numFmtId="4" fontId="15" fillId="0" borderId="0" xfId="0" applyNumberFormat="1" applyFont="1" applyProtection="1"/>
    <xf numFmtId="0" fontId="45" fillId="0" borderId="0" xfId="0" applyFont="1" applyFill="1" applyBorder="1"/>
    <xf numFmtId="0" fontId="15" fillId="0" borderId="0" xfId="0" applyFont="1" applyFill="1" applyBorder="1" applyAlignment="1">
      <alignment vertical="top"/>
    </xf>
    <xf numFmtId="0" fontId="15" fillId="0" borderId="0" xfId="0" applyFont="1" applyFill="1" applyBorder="1" applyAlignment="1">
      <alignment vertical="center"/>
    </xf>
    <xf numFmtId="0" fontId="15" fillId="0" borderId="0" xfId="569"/>
    <xf numFmtId="4" fontId="15" fillId="0" borderId="0" xfId="569" applyNumberFormat="1" applyFont="1" applyFill="1" applyAlignment="1" applyProtection="1">
      <alignment horizontal="left"/>
    </xf>
    <xf numFmtId="0" fontId="15" fillId="0" borderId="0" xfId="569" applyFont="1" applyProtection="1"/>
    <xf numFmtId="0" fontId="15" fillId="0" borderId="0" xfId="569" applyProtection="1"/>
    <xf numFmtId="0" fontId="15" fillId="0" borderId="0" xfId="569" applyFill="1" applyProtection="1"/>
    <xf numFmtId="0" fontId="22" fillId="0" borderId="0" xfId="569" applyFont="1" applyProtection="1"/>
    <xf numFmtId="0" fontId="15" fillId="5" borderId="6" xfId="569" applyFill="1" applyBorder="1" applyAlignment="1" applyProtection="1">
      <protection locked="0"/>
    </xf>
    <xf numFmtId="0" fontId="15" fillId="0" borderId="0" xfId="569" applyFont="1" applyFill="1" applyAlignment="1">
      <alignment horizontal="center"/>
    </xf>
    <xf numFmtId="0" fontId="15" fillId="0" borderId="0" xfId="1192"/>
    <xf numFmtId="0" fontId="15" fillId="0" borderId="0" xfId="1192" applyFont="1" applyAlignment="1" applyProtection="1">
      <alignment vertical="top" wrapText="1"/>
    </xf>
    <xf numFmtId="0" fontId="15"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2" fillId="0" borderId="0" xfId="0" applyFont="1" applyBorder="1" applyAlignment="1" applyProtection="1">
      <alignment horizontal="center"/>
    </xf>
    <xf numFmtId="0" fontId="22" fillId="0" borderId="6" xfId="0" applyFont="1" applyBorder="1" applyAlignment="1" applyProtection="1">
      <alignment horizontal="center"/>
    </xf>
    <xf numFmtId="0" fontId="15" fillId="0" borderId="0" xfId="543" applyFont="1" applyFill="1" applyBorder="1" applyAlignment="1" applyProtection="1">
      <alignment horizontal="center"/>
    </xf>
    <xf numFmtId="0" fontId="38" fillId="0" borderId="0" xfId="0" applyFont="1" applyBorder="1" applyAlignment="1" applyProtection="1">
      <alignment horizontal="center"/>
    </xf>
    <xf numFmtId="0" fontId="38" fillId="0" borderId="0" xfId="543" applyFont="1" applyBorder="1" applyProtection="1"/>
    <xf numFmtId="0" fontId="34" fillId="0" borderId="0" xfId="0" applyFont="1" applyFill="1" applyBorder="1" applyAlignment="1" applyProtection="1">
      <alignment horizontal="left"/>
    </xf>
    <xf numFmtId="0" fontId="0" fillId="0" borderId="10" xfId="0" applyFill="1" applyBorder="1" applyAlignment="1" applyProtection="1">
      <alignment horizontal="left"/>
    </xf>
    <xf numFmtId="0" fontId="52" fillId="0" borderId="11" xfId="0" applyFont="1" applyFill="1" applyBorder="1" applyAlignment="1" applyProtection="1">
      <alignment horizontal="right" vertical="top" wrapText="1"/>
    </xf>
    <xf numFmtId="0" fontId="55" fillId="0" borderId="11" xfId="0" applyFont="1" applyFill="1" applyBorder="1" applyAlignment="1" applyProtection="1">
      <alignment horizontal="right" vertical="top" wrapText="1"/>
    </xf>
    <xf numFmtId="0" fontId="52" fillId="0" borderId="0" xfId="271" applyFont="1" applyFill="1" applyAlignment="1" applyProtection="1">
      <alignment vertical="top"/>
    </xf>
    <xf numFmtId="0" fontId="22" fillId="0" borderId="11" xfId="0" applyFont="1" applyBorder="1" applyAlignment="1" applyProtection="1">
      <alignment horizontal="right" vertical="top" wrapText="1"/>
    </xf>
    <xf numFmtId="0" fontId="24"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4" fillId="0" borderId="0" xfId="0" applyFont="1" applyFill="1" applyBorder="1" applyAlignment="1" applyProtection="1">
      <alignment vertical="top"/>
    </xf>
    <xf numFmtId="9" fontId="24" fillId="0" borderId="0" xfId="0" applyNumberFormat="1" applyFont="1" applyFill="1" applyBorder="1" applyAlignment="1" applyProtection="1"/>
    <xf numFmtId="0" fontId="15" fillId="0" borderId="0" xfId="569" applyFont="1" applyAlignment="1">
      <alignment horizontal="left" vertical="top" wrapText="1"/>
    </xf>
    <xf numFmtId="0" fontId="15" fillId="0" borderId="16" xfId="569" applyFont="1" applyBorder="1" applyAlignment="1" applyProtection="1">
      <alignment horizontal="center"/>
    </xf>
    <xf numFmtId="0" fontId="15" fillId="0" borderId="0" xfId="569" applyAlignment="1">
      <alignment wrapText="1"/>
    </xf>
    <xf numFmtId="0" fontId="15" fillId="0" borderId="0" xfId="569" applyFont="1" applyAlignment="1"/>
    <xf numFmtId="0" fontId="15" fillId="0" borderId="0" xfId="569" applyFont="1" applyAlignment="1" applyProtection="1">
      <alignment horizontal="left" vertical="top"/>
    </xf>
    <xf numFmtId="0" fontId="15" fillId="0" borderId="0" xfId="1192" applyAlignment="1">
      <alignment vertical="top" wrapText="1"/>
    </xf>
    <xf numFmtId="0" fontId="22" fillId="0" borderId="0" xfId="569" applyFont="1" applyFill="1" applyAlignment="1" applyProtection="1">
      <alignment horizontal="center"/>
    </xf>
    <xf numFmtId="0" fontId="22" fillId="0" borderId="0" xfId="569" applyFont="1" applyFill="1" applyProtection="1"/>
    <xf numFmtId="43" fontId="22" fillId="0" borderId="0" xfId="4504" applyFont="1" applyProtection="1"/>
    <xf numFmtId="0" fontId="22" fillId="0" borderId="0" xfId="569" applyFont="1" applyAlignment="1">
      <alignment vertical="center"/>
    </xf>
    <xf numFmtId="0" fontId="22" fillId="0" borderId="0" xfId="569" applyFont="1" applyAlignment="1" applyProtection="1"/>
    <xf numFmtId="49" fontId="22" fillId="0" borderId="0" xfId="569" applyNumberFormat="1" applyFont="1" applyProtection="1"/>
    <xf numFmtId="49" fontId="22" fillId="0" borderId="0" xfId="569" applyNumberFormat="1" applyFont="1" applyFill="1" applyProtection="1"/>
    <xf numFmtId="4" fontId="22" fillId="0" borderId="0" xfId="569" applyNumberFormat="1" applyFont="1" applyFill="1" applyProtection="1"/>
    <xf numFmtId="0" fontId="15" fillId="0" borderId="0" xfId="569" applyFont="1" applyAlignment="1" applyProtection="1">
      <alignment wrapText="1"/>
    </xf>
    <xf numFmtId="0" fontId="15" fillId="0" borderId="0" xfId="569" applyFont="1" applyBorder="1" applyAlignment="1">
      <alignment horizontal="left"/>
    </xf>
    <xf numFmtId="0" fontId="33" fillId="0" borderId="0" xfId="0" applyFont="1" applyAlignment="1" applyProtection="1">
      <alignment horizontal="center"/>
    </xf>
    <xf numFmtId="0" fontId="22" fillId="0" borderId="0" xfId="0" applyFont="1" applyFill="1" applyAlignment="1">
      <alignment horizontal="left" vertical="top" wrapText="1"/>
    </xf>
    <xf numFmtId="0" fontId="22" fillId="0" borderId="0" xfId="1192" applyFont="1" applyFill="1" applyAlignment="1">
      <alignment horizontal="left" vertical="top" wrapText="1"/>
    </xf>
    <xf numFmtId="0" fontId="15" fillId="0" borderId="0" xfId="0" applyFont="1" applyFill="1" applyBorder="1" applyAlignment="1">
      <alignment horizontal="left" wrapText="1"/>
    </xf>
    <xf numFmtId="0" fontId="22" fillId="0" borderId="0" xfId="569" quotePrefix="1" applyFont="1" applyProtection="1"/>
    <xf numFmtId="0" fontId="15" fillId="0" borderId="16" xfId="569" applyBorder="1" applyProtection="1"/>
    <xf numFmtId="0" fontId="22" fillId="0" borderId="16" xfId="569" applyFont="1" applyBorder="1" applyProtection="1"/>
    <xf numFmtId="0" fontId="15" fillId="0" borderId="4" xfId="569" applyBorder="1" applyProtection="1"/>
    <xf numFmtId="0" fontId="22" fillId="0" borderId="4" xfId="569" applyFont="1" applyBorder="1" applyProtection="1"/>
    <xf numFmtId="49" fontId="15" fillId="0" borderId="4" xfId="569" applyNumberFormat="1" applyBorder="1" applyProtection="1"/>
    <xf numFmtId="49" fontId="22" fillId="0" borderId="4" xfId="569" applyNumberFormat="1" applyFont="1" applyBorder="1" applyProtection="1"/>
    <xf numFmtId="0" fontId="167" fillId="0" borderId="0" xfId="0" applyFont="1" applyFill="1" applyBorder="1" applyProtection="1"/>
    <xf numFmtId="0" fontId="15" fillId="0" borderId="0" xfId="0" applyFont="1" applyBorder="1" applyAlignment="1" applyProtection="1">
      <alignment horizontal="right"/>
    </xf>
    <xf numFmtId="1" fontId="15" fillId="0" borderId="0" xfId="0" applyNumberFormat="1" applyFont="1" applyFill="1" applyBorder="1" applyAlignment="1" applyProtection="1">
      <alignment horizontal="center"/>
    </xf>
    <xf numFmtId="168" fontId="15" fillId="0" borderId="0" xfId="0" applyNumberFormat="1" applyFont="1" applyFill="1" applyBorder="1" applyAlignment="1" applyProtection="1">
      <alignment horizontal="center"/>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5" fillId="0" borderId="0" xfId="8719"/>
    <xf numFmtId="0" fontId="102" fillId="0" borderId="0" xfId="8719" applyFont="1"/>
    <xf numFmtId="0" fontId="5" fillId="48" borderId="67" xfId="8719" applyFill="1" applyBorder="1"/>
    <xf numFmtId="0" fontId="5" fillId="48" borderId="0" xfId="8719" applyFill="1"/>
    <xf numFmtId="0" fontId="101" fillId="48" borderId="41" xfId="8719" applyFont="1" applyFill="1" applyBorder="1" applyAlignment="1">
      <alignment horizontal="center"/>
    </xf>
    <xf numFmtId="0" fontId="101" fillId="48" borderId="0" xfId="8719" applyFont="1" applyFill="1"/>
    <xf numFmtId="182" fontId="0" fillId="48" borderId="0" xfId="8720" applyNumberFormat="1" applyFont="1" applyFill="1" applyBorder="1" applyAlignment="1"/>
    <xf numFmtId="182" fontId="102" fillId="48" borderId="0" xfId="8720" applyNumberFormat="1" applyFont="1" applyFill="1" applyBorder="1" applyAlignment="1"/>
    <xf numFmtId="182" fontId="149" fillId="48" borderId="0" xfId="8720" applyNumberFormat="1" applyFont="1" applyFill="1" applyBorder="1" applyAlignment="1"/>
    <xf numFmtId="0" fontId="5" fillId="48" borderId="41" xfId="8719" applyFill="1" applyBorder="1"/>
    <xf numFmtId="0" fontId="102" fillId="48" borderId="0" xfId="8719" applyFont="1" applyFill="1"/>
    <xf numFmtId="0" fontId="155" fillId="48" borderId="0" xfId="8719" applyFont="1" applyFill="1"/>
    <xf numFmtId="0" fontId="101" fillId="48" borderId="41" xfId="8719" applyFont="1" applyFill="1" applyBorder="1"/>
    <xf numFmtId="0" fontId="101" fillId="0" borderId="0" xfId="8719" applyFont="1"/>
    <xf numFmtId="0" fontId="101" fillId="44" borderId="0" xfId="8719" applyFont="1" applyFill="1"/>
    <xf numFmtId="0" fontId="5" fillId="44" borderId="0" xfId="8719" applyFill="1"/>
    <xf numFmtId="0" fontId="157" fillId="48" borderId="0" xfId="8719" applyFont="1" applyFill="1"/>
    <xf numFmtId="0" fontId="5" fillId="47" borderId="66" xfId="8719" applyFill="1" applyBorder="1"/>
    <xf numFmtId="0" fontId="5" fillId="47" borderId="29" xfId="8719" applyFill="1" applyBorder="1"/>
    <xf numFmtId="0" fontId="5" fillId="47" borderId="31" xfId="8719" applyFill="1" applyBorder="1"/>
    <xf numFmtId="0" fontId="5" fillId="47" borderId="67" xfId="8719" applyFill="1" applyBorder="1"/>
    <xf numFmtId="0" fontId="5" fillId="47" borderId="0" xfId="8719" applyFill="1"/>
    <xf numFmtId="0" fontId="5" fillId="47" borderId="41" xfId="8719" applyFill="1" applyBorder="1"/>
    <xf numFmtId="0" fontId="5" fillId="47" borderId="88" xfId="8719" applyFill="1" applyBorder="1"/>
    <xf numFmtId="0" fontId="5" fillId="47" borderId="42" xfId="8719" applyFill="1" applyBorder="1"/>
    <xf numFmtId="0" fontId="5" fillId="47" borderId="44" xfId="8719" applyFill="1" applyBorder="1"/>
    <xf numFmtId="0" fontId="146" fillId="47" borderId="4" xfId="8719" applyFont="1" applyFill="1" applyBorder="1" applyAlignment="1">
      <alignment horizontal="center"/>
    </xf>
    <xf numFmtId="0" fontId="146" fillId="47" borderId="81" xfId="8719" applyFont="1" applyFill="1" applyBorder="1" applyAlignment="1">
      <alignment horizontal="center"/>
    </xf>
    <xf numFmtId="0" fontId="101" fillId="48" borderId="67" xfId="8719" applyFont="1" applyFill="1" applyBorder="1"/>
    <xf numFmtId="49" fontId="101" fillId="48" borderId="67" xfId="8719" applyNumberFormat="1" applyFont="1" applyFill="1" applyBorder="1" applyAlignment="1">
      <alignment horizontal="right" vertical="top"/>
    </xf>
    <xf numFmtId="0" fontId="5" fillId="48" borderId="0" xfId="8719" applyFill="1" applyAlignment="1">
      <alignment vertical="top" wrapText="1"/>
    </xf>
    <xf numFmtId="0" fontId="5" fillId="48" borderId="88" xfId="8719" applyFill="1" applyBorder="1"/>
    <xf numFmtId="0" fontId="5" fillId="48" borderId="42" xfId="8719" applyFill="1" applyBorder="1"/>
    <xf numFmtId="0" fontId="5" fillId="48" borderId="44" xfId="8719" applyFill="1" applyBorder="1"/>
    <xf numFmtId="0" fontId="5" fillId="44" borderId="67" xfId="8719" applyFill="1" applyBorder="1"/>
    <xf numFmtId="0" fontId="5" fillId="44" borderId="41" xfId="8719" applyFill="1" applyBorder="1"/>
    <xf numFmtId="0" fontId="5" fillId="44" borderId="0" xfId="8719" applyFill="1" applyAlignment="1">
      <alignment horizontal="left"/>
    </xf>
    <xf numFmtId="0" fontId="5" fillId="44" borderId="88" xfId="8719" applyFill="1" applyBorder="1"/>
    <xf numFmtId="0" fontId="5" fillId="44" borderId="42" xfId="8719" applyFill="1" applyBorder="1"/>
    <xf numFmtId="0" fontId="5" fillId="44" borderId="44" xfId="8719" applyFill="1" applyBorder="1"/>
    <xf numFmtId="0" fontId="160" fillId="0" borderId="0" xfId="8719" applyFont="1"/>
    <xf numFmtId="0" fontId="15" fillId="0" borderId="0" xfId="569" applyFont="1" applyFill="1" applyAlignment="1">
      <alignment horizontal="left" vertical="top" wrapText="1"/>
    </xf>
    <xf numFmtId="0" fontId="15" fillId="0" borderId="0" xfId="569" applyFont="1" applyAlignment="1">
      <alignment horizontal="left" vertical="top"/>
    </xf>
    <xf numFmtId="0" fontId="15" fillId="0" borderId="0" xfId="569" applyFont="1" applyAlignment="1">
      <alignment horizontal="left" vertical="top" wrapText="1"/>
    </xf>
    <xf numFmtId="0" fontId="22" fillId="0" borderId="0" xfId="0" applyFont="1" applyAlignment="1">
      <alignment horizontal="left" vertical="top"/>
    </xf>
    <xf numFmtId="0" fontId="15" fillId="0" borderId="0" xfId="569" applyFont="1" applyAlignment="1">
      <alignment vertical="top"/>
    </xf>
    <xf numFmtId="0" fontId="22" fillId="0" borderId="0" xfId="569" applyFont="1" applyAlignment="1" applyProtection="1">
      <alignment vertical="top"/>
    </xf>
    <xf numFmtId="0" fontId="16" fillId="0" borderId="0" xfId="244" applyAlignment="1"/>
    <xf numFmtId="0" fontId="15" fillId="5" borderId="0" xfId="569" applyFill="1" applyBorder="1" applyAlignment="1" applyProtection="1">
      <protection locked="0"/>
    </xf>
    <xf numFmtId="0" fontId="22" fillId="0" borderId="0" xfId="569" applyFont="1" applyAlignment="1"/>
    <xf numFmtId="0" fontId="15" fillId="0" borderId="0" xfId="569" applyFont="1" applyFill="1" applyAlignment="1">
      <alignment vertical="top" wrapText="1"/>
    </xf>
    <xf numFmtId="0" fontId="22" fillId="0" borderId="0" xfId="0" applyFont="1" applyAlignment="1">
      <alignment vertical="top" wrapText="1"/>
    </xf>
    <xf numFmtId="0" fontId="22" fillId="0" borderId="0" xfId="0" applyFont="1" applyFill="1" applyAlignment="1">
      <alignment vertical="top" wrapText="1"/>
    </xf>
    <xf numFmtId="49" fontId="22" fillId="0" borderId="0" xfId="0" applyNumberFormat="1" applyFont="1" applyAlignment="1"/>
    <xf numFmtId="49" fontId="22" fillId="0" borderId="0" xfId="0" applyNumberFormat="1" applyFont="1" applyAlignment="1">
      <alignment vertical="top"/>
    </xf>
    <xf numFmtId="0" fontId="15" fillId="0" borderId="0" xfId="569" applyFont="1" applyFill="1" applyAlignment="1">
      <alignment horizontal="left" vertical="top"/>
    </xf>
    <xf numFmtId="0" fontId="38" fillId="0" borderId="11" xfId="0" applyFont="1" applyBorder="1" applyProtection="1"/>
    <xf numFmtId="3" fontId="20" fillId="0" borderId="11" xfId="271" applyNumberFormat="1" applyFont="1" applyFill="1" applyBorder="1" applyAlignment="1" applyProtection="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168" fontId="24" fillId="0" borderId="0" xfId="0" applyNumberFormat="1" applyFont="1" applyFill="1" applyBorder="1" applyAlignment="1" applyProtection="1"/>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6" fontId="24"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0" fillId="5" borderId="6" xfId="0"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172" fontId="15" fillId="0" borderId="8" xfId="543" applyNumberFormat="1" applyBorder="1"/>
    <xf numFmtId="172" fontId="15" fillId="0" borderId="0" xfId="543" applyNumberFormat="1"/>
    <xf numFmtId="0" fontId="15" fillId="0" borderId="0" xfId="543"/>
    <xf numFmtId="0" fontId="15" fillId="0" borderId="8" xfId="21368" applyBorder="1"/>
    <xf numFmtId="0" fontId="15" fillId="0" borderId="0" xfId="21368"/>
    <xf numFmtId="0" fontId="21" fillId="0" borderId="0" xfId="21368" applyFont="1" applyAlignment="1">
      <alignment horizontal="center" vertical="center"/>
    </xf>
    <xf numFmtId="0" fontId="22" fillId="0" borderId="0" xfId="21368" applyFont="1" applyAlignment="1">
      <alignment horizontal="left"/>
    </xf>
    <xf numFmtId="0" fontId="25" fillId="0" borderId="0" xfId="21368" applyFont="1" applyAlignment="1">
      <alignment horizontal="center" vertical="center"/>
    </xf>
    <xf numFmtId="0" fontId="25" fillId="0" borderId="27" xfId="21368" applyFont="1" applyBorder="1" applyAlignment="1">
      <alignment horizontal="center" vertical="center"/>
    </xf>
    <xf numFmtId="0" fontId="25" fillId="0" borderId="46" xfId="21368" applyFont="1" applyBorder="1" applyAlignment="1">
      <alignment horizontal="center" vertical="center"/>
    </xf>
    <xf numFmtId="0" fontId="33" fillId="0" borderId="0" xfId="21368" applyFont="1" applyAlignment="1">
      <alignment vertical="center"/>
    </xf>
    <xf numFmtId="0" fontId="15" fillId="0" borderId="0" xfId="1192" applyAlignment="1">
      <alignment horizontal="left"/>
    </xf>
    <xf numFmtId="0" fontId="15" fillId="0" borderId="0" xfId="1192" quotePrefix="1" applyAlignment="1">
      <alignment horizontal="center"/>
    </xf>
    <xf numFmtId="0" fontId="45" fillId="0" borderId="0" xfId="21368" applyFont="1" applyAlignment="1">
      <alignment horizontal="left" vertical="center"/>
    </xf>
    <xf numFmtId="49" fontId="23" fillId="0" borderId="0" xfId="21368" applyNumberFormat="1" applyFont="1" applyAlignment="1">
      <alignment horizontal="left" vertical="top"/>
    </xf>
    <xf numFmtId="0" fontId="15" fillId="0" borderId="47" xfId="21368" applyBorder="1" applyAlignment="1">
      <alignment horizontal="left" vertical="center"/>
    </xf>
    <xf numFmtId="0" fontId="25" fillId="0" borderId="48" xfId="21368" applyFont="1" applyBorder="1" applyAlignment="1">
      <alignment horizontal="center" vertical="center"/>
    </xf>
    <xf numFmtId="0" fontId="23" fillId="0" borderId="0" xfId="21368" applyFont="1"/>
    <xf numFmtId="0" fontId="23" fillId="0" borderId="0" xfId="21368" applyFont="1" applyAlignment="1">
      <alignment horizontal="left" vertical="top"/>
    </xf>
    <xf numFmtId="0" fontId="33" fillId="0" borderId="0" xfId="21368" applyFont="1" applyAlignment="1">
      <alignment horizontal="left" vertical="center"/>
    </xf>
    <xf numFmtId="0" fontId="23" fillId="0" borderId="3" xfId="21368" applyFont="1" applyBorder="1" applyAlignment="1">
      <alignment vertical="top" wrapText="1"/>
    </xf>
    <xf numFmtId="0" fontId="23" fillId="0" borderId="4" xfId="21368" applyFont="1" applyBorder="1" applyAlignment="1">
      <alignment vertical="top" wrapText="1"/>
    </xf>
    <xf numFmtId="164" fontId="15" fillId="0" borderId="4" xfId="21368" applyNumberFormat="1" applyBorder="1" applyAlignment="1">
      <alignment horizontal="right"/>
    </xf>
    <xf numFmtId="0" fontId="23" fillId="0" borderId="4" xfId="21368" applyFont="1" applyBorder="1"/>
    <xf numFmtId="0" fontId="22" fillId="0" borderId="5" xfId="21368" applyFont="1" applyBorder="1" applyAlignment="1">
      <alignment horizontal="right"/>
    </xf>
    <xf numFmtId="0" fontId="15" fillId="0" borderId="16" xfId="21368" applyBorder="1"/>
    <xf numFmtId="0" fontId="15" fillId="0" borderId="16" xfId="21368" applyBorder="1" applyAlignment="1">
      <alignment horizontal="left" vertical="top"/>
    </xf>
    <xf numFmtId="0" fontId="23" fillId="0" borderId="16" xfId="21368" applyFont="1" applyBorder="1" applyAlignment="1">
      <alignment horizontal="left" vertical="top" wrapText="1"/>
    </xf>
    <xf numFmtId="0" fontId="23" fillId="0" borderId="45" xfId="21368" applyFont="1" applyBorder="1" applyAlignment="1">
      <alignment horizontal="left" vertical="top" wrapText="1"/>
    </xf>
    <xf numFmtId="0" fontId="23" fillId="0" borderId="0" xfId="21368" applyFont="1" applyAlignment="1">
      <alignment horizontal="right" vertical="top"/>
    </xf>
    <xf numFmtId="0" fontId="15" fillId="0" borderId="50" xfId="21368" applyBorder="1" applyAlignment="1">
      <alignment vertical="center"/>
    </xf>
    <xf numFmtId="0" fontId="15" fillId="0" borderId="51" xfId="21368" applyBorder="1" applyAlignment="1">
      <alignment vertical="center"/>
    </xf>
    <xf numFmtId="0" fontId="15" fillId="0" borderId="52" xfId="21368" applyBorder="1" applyAlignment="1">
      <alignment vertical="center"/>
    </xf>
    <xf numFmtId="0" fontId="15" fillId="0" borderId="0" xfId="21368" applyAlignment="1">
      <alignment vertical="center" wrapText="1"/>
    </xf>
    <xf numFmtId="0" fontId="15" fillId="0" borderId="54" xfId="21368" applyBorder="1" applyAlignment="1">
      <alignment vertical="center" wrapText="1"/>
    </xf>
    <xf numFmtId="0" fontId="15" fillId="0" borderId="53" xfId="21368" applyBorder="1" applyAlignment="1">
      <alignment vertical="center" wrapText="1"/>
    </xf>
    <xf numFmtId="0" fontId="22" fillId="0" borderId="57" xfId="21368" applyFont="1" applyBorder="1"/>
    <xf numFmtId="0" fontId="22" fillId="0" borderId="58" xfId="21368" applyFont="1" applyBorder="1"/>
    <xf numFmtId="0" fontId="22" fillId="0" borderId="58" xfId="21368" applyFont="1" applyBorder="1" applyAlignment="1">
      <alignment horizontal="right"/>
    </xf>
    <xf numFmtId="0" fontId="22" fillId="0" borderId="59" xfId="21368" applyFont="1" applyBorder="1" applyAlignment="1">
      <alignment horizontal="right"/>
    </xf>
    <xf numFmtId="9" fontId="15" fillId="0" borderId="0" xfId="21368" applyNumberFormat="1"/>
    <xf numFmtId="165" fontId="15" fillId="0" borderId="0" xfId="21368" applyNumberFormat="1"/>
    <xf numFmtId="172" fontId="15" fillId="0" borderId="0" xfId="21368" applyNumberFormat="1"/>
    <xf numFmtId="0" fontId="121" fillId="0" borderId="0" xfId="21368" applyFont="1"/>
    <xf numFmtId="10" fontId="121" fillId="0" borderId="0" xfId="21368" applyNumberFormat="1" applyFont="1"/>
    <xf numFmtId="0" fontId="25" fillId="0" borderId="57" xfId="21368" applyFont="1" applyBorder="1" applyAlignment="1">
      <alignment horizontal="center" vertical="center"/>
    </xf>
    <xf numFmtId="0" fontId="25" fillId="0" borderId="58" xfId="21368" applyFont="1" applyBorder="1" applyAlignment="1">
      <alignment horizontal="center" vertical="center"/>
    </xf>
    <xf numFmtId="0" fontId="25" fillId="0" borderId="59" xfId="21368" applyFont="1" applyBorder="1" applyAlignment="1">
      <alignment horizontal="center" vertical="center"/>
    </xf>
    <xf numFmtId="10" fontId="15" fillId="0" borderId="0" xfId="21368" applyNumberFormat="1"/>
    <xf numFmtId="0" fontId="22" fillId="0" borderId="8" xfId="21368" applyFont="1" applyBorder="1"/>
    <xf numFmtId="0" fontId="15" fillId="0" borderId="0" xfId="1192" applyAlignment="1">
      <alignment horizontal="center"/>
    </xf>
    <xf numFmtId="0" fontId="15" fillId="0" borderId="3" xfId="21368" applyBorder="1"/>
    <xf numFmtId="0" fontId="15" fillId="0" borderId="4" xfId="21368" applyBorder="1"/>
    <xf numFmtId="0" fontId="52" fillId="0" borderId="8" xfId="21368" applyFont="1" applyBorder="1"/>
    <xf numFmtId="0" fontId="15" fillId="0" borderId="0" xfId="21368" applyAlignment="1">
      <alignment vertical="top" wrapText="1"/>
    </xf>
    <xf numFmtId="0" fontId="23" fillId="0" borderId="0" xfId="21368" applyFont="1" applyAlignment="1">
      <alignment vertical="top" wrapText="1"/>
    </xf>
    <xf numFmtId="0" fontId="23" fillId="0" borderId="8" xfId="21368" applyFont="1" applyBorder="1"/>
    <xf numFmtId="1" fontId="15" fillId="0" borderId="0" xfId="1192" applyNumberFormat="1"/>
    <xf numFmtId="0" fontId="15" fillId="0" borderId="0" xfId="1192" applyAlignment="1">
      <alignment wrapText="1"/>
    </xf>
    <xf numFmtId="0" fontId="23" fillId="0" borderId="0" xfId="1192" applyFont="1"/>
    <xf numFmtId="0" fontId="23" fillId="0" borderId="3" xfId="21368" applyFont="1" applyBorder="1"/>
    <xf numFmtId="0" fontId="15" fillId="0" borderId="4" xfId="21368" applyBorder="1" applyAlignment="1">
      <alignment horizontal="right"/>
    </xf>
    <xf numFmtId="1" fontId="15" fillId="0" borderId="0" xfId="21368" applyNumberFormat="1" applyAlignment="1">
      <alignment horizontal="center"/>
    </xf>
    <xf numFmtId="0" fontId="52" fillId="0" borderId="0" xfId="21368" applyFont="1"/>
    <xf numFmtId="0" fontId="15" fillId="0" borderId="0" xfId="21368" applyAlignment="1">
      <alignment horizontal="right"/>
    </xf>
    <xf numFmtId="0" fontId="23" fillId="0" borderId="0" xfId="21368" applyFont="1" applyAlignment="1">
      <alignment vertical="top"/>
    </xf>
    <xf numFmtId="0" fontId="23" fillId="0" borderId="27" xfId="21368" applyFont="1" applyBorder="1"/>
    <xf numFmtId="0" fontId="22" fillId="0" borderId="0" xfId="21368" applyFont="1" applyAlignment="1">
      <alignment vertical="top"/>
    </xf>
    <xf numFmtId="0" fontId="33" fillId="0" borderId="0" xfId="21368" applyFont="1" applyAlignment="1">
      <alignment vertical="top" wrapText="1"/>
    </xf>
    <xf numFmtId="0" fontId="15" fillId="0" borderId="0" xfId="21368" applyAlignment="1">
      <alignment horizontal="left" vertical="top"/>
    </xf>
    <xf numFmtId="0" fontId="33" fillId="0" borderId="0" xfId="21368" applyFont="1" applyAlignment="1">
      <alignment vertical="top"/>
    </xf>
    <xf numFmtId="0" fontId="15" fillId="0" borderId="10" xfId="21368" applyBorder="1" applyAlignment="1">
      <alignment horizontal="center"/>
    </xf>
    <xf numFmtId="0" fontId="15" fillId="0" borderId="16" xfId="21368" applyBorder="1" applyAlignment="1">
      <alignment horizontal="center"/>
    </xf>
    <xf numFmtId="0" fontId="31" fillId="0" borderId="16" xfId="21368" applyFont="1" applyBorder="1"/>
    <xf numFmtId="0" fontId="23" fillId="0" borderId="16" xfId="21368" applyFont="1" applyBorder="1"/>
    <xf numFmtId="0" fontId="22" fillId="0" borderId="0" xfId="1192" applyFont="1"/>
    <xf numFmtId="0" fontId="15" fillId="0" borderId="0" xfId="21368" applyAlignment="1">
      <alignment vertical="top"/>
    </xf>
    <xf numFmtId="0" fontId="45" fillId="0" borderId="0" xfId="21368" applyFont="1" applyAlignment="1">
      <alignment vertical="top" wrapText="1"/>
    </xf>
    <xf numFmtId="0" fontId="45" fillId="0" borderId="0" xfId="1192" applyFont="1"/>
    <xf numFmtId="168" fontId="15" fillId="0" borderId="0" xfId="21368" applyNumberFormat="1"/>
    <xf numFmtId="0" fontId="22" fillId="0" borderId="0" xfId="1192" applyFont="1" applyAlignment="1">
      <alignment horizontal="right"/>
    </xf>
    <xf numFmtId="0" fontId="22" fillId="0" borderId="0" xfId="1192" applyFont="1" applyAlignment="1">
      <alignment horizontal="left"/>
    </xf>
    <xf numFmtId="0" fontId="15" fillId="0" borderId="53" xfId="21368" applyBorder="1" applyAlignment="1">
      <alignment horizontal="left"/>
    </xf>
    <xf numFmtId="0" fontId="140" fillId="0" borderId="50" xfId="1192" applyFont="1" applyBorder="1" applyAlignment="1">
      <alignment horizontal="left"/>
    </xf>
    <xf numFmtId="0" fontId="141" fillId="0" borderId="51" xfId="21368" applyFont="1" applyBorder="1" applyAlignment="1">
      <alignment vertical="top"/>
    </xf>
    <xf numFmtId="0" fontId="140" fillId="0" borderId="51" xfId="21368" applyFont="1" applyBorder="1" applyAlignment="1">
      <alignment vertical="top" wrapText="1"/>
    </xf>
    <xf numFmtId="0" fontId="141" fillId="0" borderId="51" xfId="21368" applyFont="1" applyBorder="1"/>
    <xf numFmtId="0" fontId="15" fillId="0" borderId="51" xfId="21368" applyBorder="1"/>
    <xf numFmtId="0" fontId="15" fillId="0" borderId="51" xfId="21368" applyBorder="1" applyAlignment="1">
      <alignment horizontal="right"/>
    </xf>
    <xf numFmtId="0" fontId="15" fillId="0" borderId="52" xfId="21368" applyBorder="1" applyAlignment="1">
      <alignment horizontal="right"/>
    </xf>
    <xf numFmtId="0" fontId="141" fillId="0" borderId="53" xfId="1192" applyFont="1" applyBorder="1" applyAlignment="1">
      <alignment horizontal="left"/>
    </xf>
    <xf numFmtId="0" fontId="141" fillId="0" borderId="0" xfId="21368" applyFont="1" applyAlignment="1">
      <alignment vertical="top"/>
    </xf>
    <xf numFmtId="0" fontId="140" fillId="0" borderId="0" xfId="21368" applyFont="1" applyAlignment="1">
      <alignment vertical="top" wrapText="1"/>
    </xf>
    <xf numFmtId="0" fontId="141" fillId="0" borderId="0" xfId="21368" applyFont="1"/>
    <xf numFmtId="0" fontId="15" fillId="0" borderId="54" xfId="21368" applyBorder="1" applyAlignment="1">
      <alignment horizontal="right"/>
    </xf>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21368" applyFont="1" applyBorder="1" applyAlignment="1">
      <alignment vertical="top"/>
    </xf>
    <xf numFmtId="0" fontId="140" fillId="0" borderId="58" xfId="21368" applyFont="1" applyBorder="1" applyAlignment="1">
      <alignment vertical="top" wrapText="1"/>
    </xf>
    <xf numFmtId="0" fontId="141" fillId="0" borderId="58" xfId="21368" applyFont="1" applyBorder="1"/>
    <xf numFmtId="0" fontId="15" fillId="0" borderId="58" xfId="21368" applyBorder="1"/>
    <xf numFmtId="0" fontId="15" fillId="0" borderId="58" xfId="21368" applyBorder="1" applyAlignment="1">
      <alignment horizontal="right"/>
    </xf>
    <xf numFmtId="0" fontId="15" fillId="0" borderId="59" xfId="21368" applyBorder="1" applyAlignment="1">
      <alignment horizontal="right"/>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9" fontId="15" fillId="0" borderId="0" xfId="1192" applyNumberFormat="1"/>
    <xf numFmtId="168" fontId="15" fillId="0" borderId="0" xfId="1192" applyNumberFormat="1" applyAlignment="1">
      <alignment horizontal="center"/>
    </xf>
    <xf numFmtId="1" fontId="15" fillId="0" borderId="0" xfId="1192" applyNumberFormat="1" applyAlignment="1">
      <alignment horizontal="center"/>
    </xf>
    <xf numFmtId="0" fontId="22" fillId="0" borderId="0" xfId="1192" applyFont="1" applyAlignment="1">
      <alignment horizontal="left" indent="1"/>
    </xf>
    <xf numFmtId="0" fontId="15" fillId="0" borderId="0" xfId="1192" applyAlignment="1">
      <alignment horizontal="left" vertical="top"/>
    </xf>
    <xf numFmtId="0" fontId="33" fillId="0" borderId="0" xfId="1192" applyFont="1" applyAlignment="1">
      <alignment horizontal="left" vertical="top"/>
    </xf>
    <xf numFmtId="0" fontId="45" fillId="0" borderId="0" xfId="21368" applyFont="1" applyAlignment="1">
      <alignment horizontal="left" vertical="top" wrapText="1"/>
    </xf>
    <xf numFmtId="0" fontId="15" fillId="0" borderId="0" xfId="1192" applyAlignment="1">
      <alignment vertical="top"/>
    </xf>
    <xf numFmtId="168" fontId="15" fillId="0" borderId="0" xfId="1192" applyNumberFormat="1"/>
    <xf numFmtId="165" fontId="15" fillId="0" borderId="0" xfId="1192" applyNumberFormat="1"/>
    <xf numFmtId="2" fontId="15" fillId="0" borderId="0" xfId="1192" applyNumberFormat="1"/>
    <xf numFmtId="6" fontId="15" fillId="0" borderId="0" xfId="1192" applyNumberFormat="1"/>
    <xf numFmtId="6" fontId="22" fillId="0" borderId="0" xfId="1192" applyNumberFormat="1" applyFont="1" applyAlignment="1">
      <alignment horizontal="right"/>
    </xf>
    <xf numFmtId="0" fontId="22" fillId="0" borderId="0" xfId="1192" applyFont="1" applyAlignment="1">
      <alignment vertical="center"/>
    </xf>
    <xf numFmtId="168" fontId="15" fillId="0" borderId="0" xfId="543" applyNumberFormat="1"/>
    <xf numFmtId="9" fontId="15" fillId="0" borderId="0" xfId="543" applyNumberFormat="1" applyAlignment="1">
      <alignment horizontal="center"/>
    </xf>
    <xf numFmtId="0" fontId="23" fillId="0" borderId="27" xfId="21368" applyFont="1" applyBorder="1" applyAlignment="1">
      <alignment horizontal="left" vertical="top"/>
    </xf>
    <xf numFmtId="0" fontId="15" fillId="0" borderId="27" xfId="21368" applyBorder="1" applyAlignment="1">
      <alignment horizontal="left" vertical="top"/>
    </xf>
    <xf numFmtId="0" fontId="22" fillId="0" borderId="27" xfId="21368" applyFont="1" applyBorder="1" applyAlignment="1">
      <alignment horizontal="right"/>
    </xf>
    <xf numFmtId="0" fontId="15" fillId="0" borderId="27" xfId="21368" applyBorder="1" applyAlignment="1">
      <alignment horizontal="center"/>
    </xf>
    <xf numFmtId="0" fontId="15" fillId="0" borderId="46" xfId="21368" applyBorder="1" applyAlignment="1">
      <alignment horizontal="center"/>
    </xf>
    <xf numFmtId="0" fontId="31" fillId="0" borderId="0" xfId="21368" applyFont="1"/>
    <xf numFmtId="164" fontId="23" fillId="0" borderId="0" xfId="21368" applyNumberFormat="1" applyFont="1" applyAlignment="1">
      <alignment horizontal="left" vertical="top" wrapText="1"/>
    </xf>
    <xf numFmtId="0" fontId="26" fillId="0" borderId="0" xfId="21368" applyFont="1"/>
    <xf numFmtId="0" fontId="23" fillId="0" borderId="0" xfId="21368" applyFont="1" applyAlignment="1">
      <alignment horizontal="right"/>
    </xf>
    <xf numFmtId="164" fontId="15" fillId="0" borderId="57" xfId="21368" applyNumberFormat="1" applyBorder="1" applyAlignment="1">
      <alignment vertical="top" wrapText="1"/>
    </xf>
    <xf numFmtId="164" fontId="15" fillId="0" borderId="58" xfId="21368" applyNumberFormat="1" applyBorder="1" applyAlignment="1">
      <alignment vertical="top" wrapText="1"/>
    </xf>
    <xf numFmtId="164" fontId="15" fillId="0" borderId="59" xfId="21368" applyNumberFormat="1" applyBorder="1" applyAlignment="1">
      <alignment vertical="top" wrapText="1"/>
    </xf>
    <xf numFmtId="0" fontId="15" fillId="0" borderId="8" xfId="543" applyBorder="1"/>
    <xf numFmtId="0" fontId="15" fillId="0" borderId="27" xfId="543" applyBorder="1"/>
    <xf numFmtId="0" fontId="15" fillId="0" borderId="46" xfId="543" applyBorder="1"/>
    <xf numFmtId="1" fontId="15" fillId="0" borderId="0" xfId="21368" applyNumberFormat="1"/>
    <xf numFmtId="0" fontId="15" fillId="0" borderId="50" xfId="21368" applyBorder="1" applyAlignment="1">
      <alignment vertical="top"/>
    </xf>
    <xf numFmtId="0" fontId="15" fillId="0" borderId="51" xfId="21368" applyBorder="1" applyAlignment="1">
      <alignment vertical="top"/>
    </xf>
    <xf numFmtId="0" fontId="15" fillId="0" borderId="52" xfId="21368" applyBorder="1" applyAlignment="1">
      <alignment vertical="top"/>
    </xf>
    <xf numFmtId="1" fontId="23" fillId="0" borderId="8" xfId="21368" applyNumberFormat="1" applyFont="1" applyBorder="1"/>
    <xf numFmtId="0" fontId="15" fillId="0" borderId="0" xfId="543" applyAlignment="1">
      <alignment vertical="top"/>
    </xf>
    <xf numFmtId="0" fontId="23" fillId="0" borderId="51" xfId="21368" applyFont="1" applyBorder="1" applyAlignment="1">
      <alignment horizontal="left" vertical="top"/>
    </xf>
    <xf numFmtId="0" fontId="23" fillId="0" borderId="52" xfId="21368" applyFont="1" applyBorder="1" applyAlignment="1">
      <alignment horizontal="left" vertical="top"/>
    </xf>
    <xf numFmtId="0" fontId="15" fillId="0" borderId="53" xfId="21368" applyBorder="1" applyAlignment="1">
      <alignment vertical="top"/>
    </xf>
    <xf numFmtId="0" fontId="15" fillId="0" borderId="54" xfId="21368" applyBorder="1" applyAlignment="1">
      <alignment vertical="top"/>
    </xf>
    <xf numFmtId="0" fontId="15" fillId="0" borderId="54" xfId="21368" applyBorder="1" applyAlignment="1">
      <alignment vertical="top" wrapText="1"/>
    </xf>
    <xf numFmtId="0" fontId="15" fillId="0" borderId="53" xfId="21368" applyBorder="1" applyAlignment="1">
      <alignment vertical="top" wrapText="1"/>
    </xf>
    <xf numFmtId="0" fontId="60" fillId="0" borderId="53" xfId="21368" applyFont="1" applyBorder="1"/>
    <xf numFmtId="0" fontId="23" fillId="0" borderId="54" xfId="21368" applyFont="1" applyBorder="1" applyAlignment="1">
      <alignment horizontal="left" vertical="top"/>
    </xf>
    <xf numFmtId="0" fontId="60" fillId="0" borderId="57" xfId="21368" applyFont="1" applyBorder="1"/>
    <xf numFmtId="0" fontId="23" fillId="0" borderId="58" xfId="21368" applyFont="1" applyBorder="1" applyAlignment="1">
      <alignment horizontal="left" vertical="top"/>
    </xf>
    <xf numFmtId="0" fontId="23" fillId="0" borderId="12" xfId="21368" applyFont="1" applyBorder="1"/>
    <xf numFmtId="0" fontId="15" fillId="0" borderId="57" xfId="21368" applyBorder="1" applyAlignment="1">
      <alignment vertical="center"/>
    </xf>
    <xf numFmtId="0" fontId="15" fillId="0" borderId="58" xfId="21368" applyBorder="1" applyAlignment="1">
      <alignment vertical="top"/>
    </xf>
    <xf numFmtId="0" fontId="15" fillId="0" borderId="59" xfId="21368" applyBorder="1" applyAlignment="1">
      <alignment vertical="top"/>
    </xf>
    <xf numFmtId="0" fontId="23" fillId="0" borderId="4" xfId="21368" applyFont="1" applyBorder="1" applyAlignment="1">
      <alignment horizontal="left" vertical="top"/>
    </xf>
    <xf numFmtId="0" fontId="15" fillId="0" borderId="4" xfId="21368" applyBorder="1" applyAlignment="1">
      <alignment horizontal="left" vertical="top"/>
    </xf>
    <xf numFmtId="0" fontId="23" fillId="0" borderId="6" xfId="21368" applyFont="1" applyBorder="1"/>
    <xf numFmtId="1" fontId="23" fillId="0" borderId="8" xfId="21368" applyNumberFormat="1" applyFont="1" applyBorder="1" applyAlignment="1">
      <alignment horizontal="center" vertical="top"/>
    </xf>
    <xf numFmtId="0" fontId="15" fillId="0" borderId="12" xfId="21368" applyBorder="1"/>
    <xf numFmtId="0" fontId="23" fillId="0" borderId="9" xfId="21368" applyFont="1" applyBorder="1"/>
    <xf numFmtId="0" fontId="15" fillId="0" borderId="10" xfId="21368" applyBorder="1"/>
    <xf numFmtId="0" fontId="31" fillId="0" borderId="3" xfId="21368" applyFont="1" applyBorder="1"/>
    <xf numFmtId="0" fontId="22" fillId="0" borderId="4" xfId="21368" applyFont="1" applyBorder="1"/>
    <xf numFmtId="0" fontId="129" fillId="0" borderId="0" xfId="21368" applyFont="1" applyAlignment="1">
      <alignment vertical="top" wrapText="1"/>
    </xf>
    <xf numFmtId="0" fontId="15" fillId="0" borderId="12" xfId="21368" applyBorder="1" applyAlignment="1">
      <alignment vertical="top"/>
    </xf>
    <xf numFmtId="0" fontId="31" fillId="0" borderId="1" xfId="21368" applyFont="1" applyBorder="1"/>
    <xf numFmtId="0" fontId="129" fillId="0" borderId="2" xfId="21368" applyFont="1" applyBorder="1" applyAlignment="1">
      <alignment horizontal="left" wrapText="1"/>
    </xf>
    <xf numFmtId="0" fontId="23" fillId="0" borderId="2" xfId="21368" applyFont="1" applyBorder="1"/>
    <xf numFmtId="0" fontId="129" fillId="0" borderId="2" xfId="21368" applyFont="1" applyBorder="1" applyAlignment="1">
      <alignment horizontal="left"/>
    </xf>
    <xf numFmtId="0" fontId="129" fillId="0" borderId="7" xfId="21368" applyFont="1" applyBorder="1" applyAlignment="1">
      <alignment horizontal="left" wrapText="1"/>
    </xf>
    <xf numFmtId="0" fontId="129" fillId="0" borderId="0" xfId="21368" applyFont="1" applyAlignment="1">
      <alignment horizontal="left" wrapText="1"/>
    </xf>
    <xf numFmtId="0" fontId="31" fillId="0" borderId="9" xfId="21368" applyFont="1" applyBorder="1"/>
    <xf numFmtId="0" fontId="23" fillId="0" borderId="10" xfId="21368" applyFont="1" applyBorder="1"/>
    <xf numFmtId="0" fontId="129" fillId="0" borderId="0" xfId="21368" applyFont="1" applyAlignment="1">
      <alignment wrapText="1"/>
    </xf>
    <xf numFmtId="0" fontId="31" fillId="0" borderId="0" xfId="21368" applyFont="1" applyAlignment="1">
      <alignment horizontal="center"/>
    </xf>
    <xf numFmtId="0" fontId="31" fillId="0" borderId="9" xfId="21368" applyFont="1" applyBorder="1" applyAlignment="1">
      <alignment horizontal="center"/>
    </xf>
    <xf numFmtId="0" fontId="22" fillId="0" borderId="10" xfId="21368" applyFont="1" applyBorder="1"/>
    <xf numFmtId="0" fontId="33" fillId="0" borderId="0" xfId="21368" applyFont="1"/>
    <xf numFmtId="0" fontId="23" fillId="0" borderId="50" xfId="21368" applyFont="1" applyBorder="1"/>
    <xf numFmtId="0" fontId="23" fillId="0" borderId="51" xfId="21368" applyFont="1" applyBorder="1"/>
    <xf numFmtId="1" fontId="23" fillId="0" borderId="51" xfId="21368" quotePrefix="1" applyNumberFormat="1" applyFont="1" applyBorder="1" applyAlignment="1">
      <alignment horizontal="center" vertical="top"/>
    </xf>
    <xf numFmtId="0" fontId="22" fillId="0" borderId="51" xfId="21368" applyFont="1" applyBorder="1"/>
    <xf numFmtId="0" fontId="22" fillId="0" borderId="52" xfId="21368" applyFont="1" applyBorder="1" applyAlignment="1">
      <alignment horizontal="center"/>
    </xf>
    <xf numFmtId="0" fontId="15" fillId="0" borderId="53" xfId="21368" applyBorder="1"/>
    <xf numFmtId="1" fontId="23" fillId="0" borderId="0" xfId="21368" quotePrefix="1" applyNumberFormat="1" applyFont="1" applyAlignment="1">
      <alignment horizontal="center" vertical="top"/>
    </xf>
    <xf numFmtId="0" fontId="31" fillId="0" borderId="0" xfId="21368" applyFont="1" applyAlignment="1">
      <alignment vertical="top"/>
    </xf>
    <xf numFmtId="0" fontId="23" fillId="0" borderId="61" xfId="21368" applyFont="1" applyBorder="1"/>
    <xf numFmtId="0" fontId="15" fillId="0" borderId="57" xfId="21368" applyBorder="1" applyAlignment="1">
      <alignment horizontal="center"/>
    </xf>
    <xf numFmtId="0" fontId="15" fillId="0" borderId="58" xfId="21368" applyBorder="1" applyAlignment="1">
      <alignment horizontal="center"/>
    </xf>
    <xf numFmtId="1" fontId="23" fillId="0" borderId="58" xfId="21368" quotePrefix="1" applyNumberFormat="1" applyFont="1" applyBorder="1" applyAlignment="1">
      <alignment horizontal="center" vertical="top"/>
    </xf>
    <xf numFmtId="0" fontId="31" fillId="0" borderId="58" xfId="21368" applyFont="1" applyBorder="1" applyAlignment="1">
      <alignment vertical="top"/>
    </xf>
    <xf numFmtId="0" fontId="23" fillId="0" borderId="58" xfId="21368" applyFont="1" applyBorder="1" applyAlignment="1">
      <alignment vertical="top" wrapText="1"/>
    </xf>
    <xf numFmtId="0" fontId="23" fillId="0" borderId="58" xfId="21368" applyFont="1" applyBorder="1"/>
    <xf numFmtId="0" fontId="22" fillId="0" borderId="59" xfId="21368" applyFont="1" applyBorder="1" applyAlignment="1">
      <alignment horizontal="center"/>
    </xf>
    <xf numFmtId="0" fontId="15" fillId="0" borderId="61" xfId="21368" applyBorder="1"/>
    <xf numFmtId="0" fontId="15" fillId="0" borderId="53" xfId="543" applyBorder="1"/>
    <xf numFmtId="1" fontId="23" fillId="0" borderId="0" xfId="21368" applyNumberFormat="1" applyFont="1" applyAlignment="1">
      <alignment horizontal="center" vertical="top"/>
    </xf>
    <xf numFmtId="0" fontId="23" fillId="0" borderId="54" xfId="21368" applyFont="1" applyBorder="1"/>
    <xf numFmtId="0" fontId="15" fillId="0" borderId="57" xfId="543" applyBorder="1"/>
    <xf numFmtId="0" fontId="15" fillId="0" borderId="58" xfId="543" applyBorder="1"/>
    <xf numFmtId="1" fontId="23" fillId="0" borderId="58" xfId="21368" applyNumberFormat="1" applyFont="1" applyBorder="1" applyAlignment="1">
      <alignment horizontal="center" vertical="top"/>
    </xf>
    <xf numFmtId="0" fontId="31" fillId="0" borderId="58" xfId="21368" applyFont="1" applyBorder="1" applyAlignment="1">
      <alignment vertical="center"/>
    </xf>
    <xf numFmtId="0" fontId="15" fillId="0" borderId="58" xfId="21368" applyBorder="1" applyAlignment="1">
      <alignment vertical="top" wrapText="1"/>
    </xf>
    <xf numFmtId="0" fontId="23" fillId="0" borderId="59" xfId="21368" applyFont="1" applyBorder="1"/>
    <xf numFmtId="0" fontId="31" fillId="0" borderId="0" xfId="21368" applyFont="1" applyAlignment="1">
      <alignment vertical="center"/>
    </xf>
    <xf numFmtId="0" fontId="23" fillId="0" borderId="53" xfId="21368" applyFont="1" applyBorder="1"/>
    <xf numFmtId="0" fontId="23" fillId="0" borderId="58" xfId="21368" applyFont="1" applyBorder="1" applyAlignment="1">
      <alignment vertical="top"/>
    </xf>
    <xf numFmtId="0" fontId="23" fillId="0" borderId="57" xfId="21368" applyFont="1" applyBorder="1"/>
    <xf numFmtId="0" fontId="23" fillId="0" borderId="52" xfId="21368" applyFont="1" applyBorder="1"/>
    <xf numFmtId="0" fontId="15" fillId="0" borderId="50" xfId="543" applyBorder="1"/>
    <xf numFmtId="0" fontId="15" fillId="0" borderId="51" xfId="543" applyBorder="1"/>
    <xf numFmtId="0" fontId="15" fillId="0" borderId="52" xfId="543" applyBorder="1"/>
    <xf numFmtId="0" fontId="23" fillId="0" borderId="62" xfId="21368" applyFont="1" applyBorder="1"/>
    <xf numFmtId="0" fontId="23" fillId="0" borderId="0" xfId="21368" applyFont="1" applyAlignment="1">
      <alignment wrapText="1"/>
    </xf>
    <xf numFmtId="2" fontId="23" fillId="0" borderId="0" xfId="21368" applyNumberFormat="1" applyFont="1" applyAlignment="1">
      <alignment horizontal="right"/>
    </xf>
    <xf numFmtId="2" fontId="23" fillId="0" borderId="8" xfId="21368" applyNumberFormat="1" applyFont="1" applyBorder="1" applyAlignment="1">
      <alignment horizontal="left"/>
    </xf>
    <xf numFmtId="0" fontId="23" fillId="0" borderId="8" xfId="21368" applyFont="1" applyBorder="1" applyAlignment="1">
      <alignment horizontal="right"/>
    </xf>
    <xf numFmtId="0" fontId="128" fillId="0" borderId="0" xfId="21368" applyFont="1"/>
    <xf numFmtId="0" fontId="22" fillId="0" borderId="58" xfId="21368" applyFont="1" applyBorder="1" applyAlignment="1">
      <alignment horizontal="center"/>
    </xf>
    <xf numFmtId="0" fontId="23" fillId="0" borderId="0" xfId="21368" applyFont="1" applyAlignment="1">
      <alignment horizontal="left"/>
    </xf>
    <xf numFmtId="9" fontId="23" fillId="0" borderId="0" xfId="21368" applyNumberFormat="1" applyFont="1" applyAlignment="1">
      <alignment horizontal="left"/>
    </xf>
    <xf numFmtId="0" fontId="15" fillId="0" borderId="64" xfId="21368" applyBorder="1"/>
    <xf numFmtId="0" fontId="53" fillId="0" borderId="4" xfId="21368" applyFont="1" applyBorder="1"/>
    <xf numFmtId="0" fontId="23" fillId="0" borderId="4" xfId="21368" applyFont="1" applyBorder="1" applyAlignment="1">
      <alignment horizontal="left" vertical="top" wrapText="1" shrinkToFit="1"/>
    </xf>
    <xf numFmtId="0" fontId="15" fillId="0" borderId="17" xfId="543" applyBorder="1"/>
    <xf numFmtId="0" fontId="15" fillId="0" borderId="16" xfId="543" applyBorder="1"/>
    <xf numFmtId="0" fontId="15" fillId="0" borderId="2" xfId="543" applyBorder="1"/>
    <xf numFmtId="0" fontId="15" fillId="0" borderId="51" xfId="21368" quotePrefix="1" applyBorder="1" applyAlignment="1">
      <alignment horizontal="center" vertical="top"/>
    </xf>
    <xf numFmtId="0" fontId="23" fillId="0" borderId="53" xfId="21368" applyFont="1" applyBorder="1" applyAlignment="1">
      <alignment horizontal="left" vertical="top"/>
    </xf>
    <xf numFmtId="0" fontId="23" fillId="0" borderId="0" xfId="21368" applyFont="1" applyAlignment="1">
      <alignment horizontal="center" vertical="top"/>
    </xf>
    <xf numFmtId="0" fontId="23" fillId="0" borderId="57" xfId="21368" applyFont="1" applyBorder="1" applyAlignment="1">
      <alignment horizontal="left" vertical="top"/>
    </xf>
    <xf numFmtId="0" fontId="23" fillId="0" borderId="58" xfId="21368" applyFont="1" applyBorder="1" applyAlignment="1">
      <alignment horizontal="center" vertical="top"/>
    </xf>
    <xf numFmtId="0" fontId="22" fillId="0" borderId="58" xfId="21368" applyFont="1" applyBorder="1" applyAlignment="1">
      <alignment vertical="top"/>
    </xf>
    <xf numFmtId="0" fontId="22" fillId="0" borderId="58" xfId="21368" applyFont="1" applyBorder="1" applyAlignment="1">
      <alignment horizontal="left" vertical="top"/>
    </xf>
    <xf numFmtId="0" fontId="22" fillId="0" borderId="51" xfId="21368" applyFont="1" applyBorder="1" applyAlignment="1">
      <alignment horizontal="left" vertical="top"/>
    </xf>
    <xf numFmtId="0" fontId="22" fillId="0" borderId="53" xfId="21368" applyFont="1" applyBorder="1" applyAlignment="1">
      <alignment horizontal="left" vertical="top"/>
    </xf>
    <xf numFmtId="0" fontId="52" fillId="0" borderId="0" xfId="21368" applyFont="1" applyAlignment="1">
      <alignment horizontal="left" vertical="top"/>
    </xf>
    <xf numFmtId="0" fontId="23" fillId="0" borderId="0" xfId="21368" quotePrefix="1" applyFont="1" applyAlignment="1">
      <alignment horizontal="center" vertical="top"/>
    </xf>
    <xf numFmtId="0" fontId="53" fillId="0" borderId="0" xfId="21368" applyFont="1" applyAlignment="1">
      <alignment horizontal="center"/>
    </xf>
    <xf numFmtId="0" fontId="53" fillId="0" borderId="0" xfId="21368" applyFont="1" applyAlignment="1">
      <alignment vertical="top"/>
    </xf>
    <xf numFmtId="0" fontId="31" fillId="0" borderId="8" xfId="21368" applyFont="1" applyBorder="1"/>
    <xf numFmtId="0" fontId="106" fillId="0" borderId="0" xfId="21368" applyFont="1"/>
    <xf numFmtId="0" fontId="52" fillId="0" borderId="0" xfId="21368" applyFont="1" applyAlignment="1">
      <alignment vertical="top"/>
    </xf>
    <xf numFmtId="0" fontId="31" fillId="0" borderId="53" xfId="21368" applyFont="1" applyBorder="1"/>
    <xf numFmtId="2" fontId="23" fillId="0" borderId="8" xfId="21368" applyNumberFormat="1" applyFont="1" applyBorder="1" applyAlignment="1">
      <alignment horizontal="right"/>
    </xf>
    <xf numFmtId="0" fontId="22" fillId="0" borderId="50" xfId="21368" applyFont="1" applyBorder="1" applyAlignment="1">
      <alignment horizontal="left" vertical="top"/>
    </xf>
    <xf numFmtId="0" fontId="52" fillId="0" borderId="51" xfId="21368" applyFont="1" applyBorder="1" applyAlignment="1">
      <alignment horizontal="left" vertical="top"/>
    </xf>
    <xf numFmtId="0" fontId="106" fillId="0" borderId="0" xfId="21368" applyFont="1" applyAlignment="1">
      <alignment horizontal="left" vertical="top"/>
    </xf>
    <xf numFmtId="1" fontId="22" fillId="0" borderId="58" xfId="21368"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21368" applyFont="1" applyAlignment="1">
      <alignment wrapText="1"/>
    </xf>
    <xf numFmtId="0" fontId="31" fillId="0" borderId="0" xfId="21368" applyFont="1" applyAlignment="1">
      <alignment vertical="center" wrapText="1"/>
    </xf>
    <xf numFmtId="180" fontId="23" fillId="0" borderId="0" xfId="21368" applyNumberFormat="1" applyFont="1" applyAlignment="1">
      <alignment horizontal="center"/>
    </xf>
    <xf numFmtId="1" fontId="23" fillId="0" borderId="0" xfId="21368" applyNumberFormat="1" applyFont="1" applyAlignment="1">
      <alignment horizontal="center"/>
    </xf>
    <xf numFmtId="0" fontId="22" fillId="0" borderId="51" xfId="21368" applyFont="1" applyBorder="1" applyAlignment="1">
      <alignment horizontal="center"/>
    </xf>
    <xf numFmtId="0" fontId="22" fillId="0" borderId="51" xfId="21368" applyFont="1" applyBorder="1" applyAlignment="1">
      <alignment vertical="top"/>
    </xf>
    <xf numFmtId="0" fontId="22" fillId="0" borderId="53" xfId="21368" applyFont="1" applyBorder="1"/>
    <xf numFmtId="0" fontId="15" fillId="0" borderId="54" xfId="543" applyBorder="1"/>
    <xf numFmtId="49" fontId="23" fillId="0" borderId="0" xfId="21368" applyNumberFormat="1" applyFont="1" applyAlignment="1">
      <alignment horizontal="left" vertical="center" wrapText="1"/>
    </xf>
    <xf numFmtId="0" fontId="15" fillId="0" borderId="57" xfId="21368" applyBorder="1"/>
    <xf numFmtId="1" fontId="15" fillId="0" borderId="0" xfId="21368" applyNumberFormat="1" applyAlignment="1">
      <alignment vertical="center"/>
    </xf>
    <xf numFmtId="0" fontId="33" fillId="0" borderId="50" xfId="21368" applyFont="1" applyBorder="1"/>
    <xf numFmtId="0" fontId="23" fillId="0" borderId="51" xfId="21368" applyFont="1" applyBorder="1" applyAlignment="1">
      <alignment horizontal="center" vertical="top"/>
    </xf>
    <xf numFmtId="0" fontId="23" fillId="0" borderId="51" xfId="21368" applyFont="1" applyBorder="1" applyAlignment="1">
      <alignment vertical="top" wrapText="1"/>
    </xf>
    <xf numFmtId="0" fontId="15" fillId="0" borderId="0" xfId="21368" quotePrefix="1" applyAlignment="1">
      <alignment horizontal="center" vertical="top"/>
    </xf>
    <xf numFmtId="1" fontId="23" fillId="0" borderId="0" xfId="21368" quotePrefix="1" applyNumberFormat="1" applyFont="1" applyAlignment="1">
      <alignment wrapText="1"/>
    </xf>
    <xf numFmtId="0" fontId="23" fillId="0" borderId="6" xfId="21368" applyFont="1" applyBorder="1" applyAlignment="1">
      <alignment horizontal="right"/>
    </xf>
    <xf numFmtId="0" fontId="31" fillId="0" borderId="51" xfId="21368" applyFont="1" applyBorder="1" applyAlignment="1">
      <alignment vertical="top"/>
    </xf>
    <xf numFmtId="0" fontId="22" fillId="0" borderId="51" xfId="21368" applyFont="1" applyBorder="1" applyAlignment="1">
      <alignment horizontal="right"/>
    </xf>
    <xf numFmtId="0" fontId="15" fillId="0" borderId="52" xfId="21368" applyBorder="1" applyAlignment="1">
      <alignment horizontal="center"/>
    </xf>
    <xf numFmtId="164" fontId="23" fillId="0" borderId="0" xfId="21368" applyNumberFormat="1" applyFont="1"/>
    <xf numFmtId="0" fontId="15" fillId="0" borderId="53" xfId="21368" applyBorder="1" applyAlignment="1">
      <alignment horizontal="left" vertical="top"/>
    </xf>
    <xf numFmtId="0" fontId="15" fillId="0" borderId="54" xfId="21368" applyBorder="1" applyAlignment="1">
      <alignment horizontal="left" vertical="top"/>
    </xf>
    <xf numFmtId="0" fontId="15" fillId="0" borderId="54" xfId="21368" applyBorder="1" applyAlignment="1">
      <alignment horizontal="center"/>
    </xf>
    <xf numFmtId="0" fontId="15" fillId="0" borderId="59" xfId="21368" applyBorder="1" applyAlignment="1">
      <alignment horizontal="center"/>
    </xf>
    <xf numFmtId="0" fontId="15" fillId="0" borderId="2" xfId="21368" applyBorder="1"/>
    <xf numFmtId="0" fontId="15" fillId="0" borderId="2" xfId="21368" applyBorder="1" applyAlignment="1">
      <alignment horizontal="center"/>
    </xf>
    <xf numFmtId="0" fontId="23" fillId="0" borderId="7" xfId="21368" applyFont="1" applyBorder="1"/>
    <xf numFmtId="0" fontId="125" fillId="0" borderId="0" xfId="21368" applyFont="1" applyAlignment="1">
      <alignment horizontal="left" vertical="top" wrapText="1"/>
    </xf>
    <xf numFmtId="0" fontId="31" fillId="0" borderId="0" xfId="21368" applyFont="1" applyAlignment="1">
      <alignment horizontal="left" vertical="top"/>
    </xf>
    <xf numFmtId="0" fontId="25" fillId="0" borderId="0" xfId="21368" applyFont="1"/>
    <xf numFmtId="0" fontId="15" fillId="0" borderId="0" xfId="21368" applyAlignment="1">
      <alignment vertical="top" wrapText="1" shrinkToFit="1"/>
    </xf>
    <xf numFmtId="0" fontId="161" fillId="0" borderId="0" xfId="21368" applyFont="1"/>
    <xf numFmtId="0" fontId="23" fillId="0" borderId="0" xfId="21368" quotePrefix="1" applyFont="1" applyAlignment="1">
      <alignment horizontal="right"/>
    </xf>
    <xf numFmtId="164" fontId="15" fillId="0" borderId="0" xfId="1192" applyNumberFormat="1" applyAlignment="1">
      <alignment horizontal="right"/>
    </xf>
    <xf numFmtId="164" fontId="15" fillId="0" borderId="0" xfId="21368" applyNumberFormat="1" applyAlignment="1">
      <alignment horizontal="right"/>
    </xf>
    <xf numFmtId="0" fontId="15" fillId="0" borderId="0" xfId="4497"/>
    <xf numFmtId="0" fontId="15" fillId="0" borderId="6" xfId="21368" applyBorder="1" applyAlignment="1">
      <alignment vertical="top" wrapText="1"/>
    </xf>
    <xf numFmtId="0" fontId="15" fillId="0" borderId="6" xfId="21368" applyBorder="1" applyAlignment="1">
      <alignment horizontal="left" vertical="top" wrapText="1"/>
    </xf>
    <xf numFmtId="0" fontId="161" fillId="0" borderId="4" xfId="21368" applyFont="1" applyBorder="1"/>
    <xf numFmtId="0" fontId="15" fillId="0" borderId="4" xfId="21368" applyBorder="1" applyAlignment="1">
      <alignment horizontal="left" vertical="top" wrapText="1" shrinkToFit="1"/>
    </xf>
    <xf numFmtId="0" fontId="23" fillId="0" borderId="0" xfId="21368" applyFont="1" applyAlignment="1">
      <alignment horizontal="left" vertical="top" wrapText="1" shrinkToFit="1"/>
    </xf>
    <xf numFmtId="0" fontId="25" fillId="0" borderId="0" xfId="21368" applyFont="1" applyAlignment="1">
      <alignment horizontal="left" vertical="top"/>
    </xf>
    <xf numFmtId="0" fontId="15" fillId="0" borderId="0" xfId="21368" applyAlignment="1">
      <alignment vertical="center" wrapText="1" shrinkToFit="1"/>
    </xf>
    <xf numFmtId="0" fontId="23" fillId="0" borderId="0" xfId="21368" quotePrefix="1" applyFont="1"/>
    <xf numFmtId="0" fontId="15" fillId="0" borderId="0" xfId="21368" applyAlignment="1">
      <alignment horizontal="left" vertical="center"/>
    </xf>
    <xf numFmtId="0" fontId="15" fillId="0" borderId="0" xfId="21368" applyAlignment="1">
      <alignment horizontal="left" vertical="top" shrinkToFit="1"/>
    </xf>
    <xf numFmtId="0" fontId="15" fillId="0" borderId="0" xfId="21368" applyAlignment="1">
      <alignment horizontal="left" vertical="center" shrinkToFit="1"/>
    </xf>
    <xf numFmtId="0" fontId="23" fillId="0" borderId="0" xfId="21368" applyFont="1" applyAlignment="1">
      <alignment horizontal="left" vertical="top" shrinkToFit="1"/>
    </xf>
    <xf numFmtId="0" fontId="25" fillId="0" borderId="4" xfId="21368" applyFont="1" applyBorder="1"/>
    <xf numFmtId="0" fontId="15" fillId="0" borderId="4" xfId="21368" applyBorder="1" applyAlignment="1">
      <alignment horizontal="left" vertical="top" shrinkToFit="1"/>
    </xf>
    <xf numFmtId="0" fontId="45" fillId="0" borderId="0" xfId="21368" applyFont="1"/>
    <xf numFmtId="0" fontId="15" fillId="0" borderId="0" xfId="21368" applyAlignment="1">
      <alignment vertical="center"/>
    </xf>
    <xf numFmtId="0" fontId="31" fillId="0" borderId="0" xfId="21368" applyFont="1" applyAlignment="1">
      <alignment horizontal="right"/>
    </xf>
    <xf numFmtId="0" fontId="21" fillId="0" borderId="0" xfId="21368" applyFont="1"/>
    <xf numFmtId="0" fontId="23" fillId="0" borderId="3" xfId="21368" applyFont="1" applyBorder="1" applyAlignment="1">
      <alignment horizontal="center"/>
    </xf>
    <xf numFmtId="0" fontId="25" fillId="0" borderId="0" xfId="21368" applyFont="1" applyAlignment="1">
      <alignment horizontal="center"/>
    </xf>
    <xf numFmtId="0" fontId="15" fillId="0" borderId="4" xfId="21368" applyBorder="1" applyAlignment="1">
      <alignment horizontal="left" vertical="top" wrapText="1"/>
    </xf>
    <xf numFmtId="0" fontId="22" fillId="0" borderId="8" xfId="21368" applyFont="1" applyBorder="1" applyAlignment="1">
      <alignment vertical="top"/>
    </xf>
    <xf numFmtId="164" fontId="33" fillId="0" borderId="0" xfId="21368" applyNumberFormat="1" applyFont="1" applyAlignment="1">
      <alignment horizontal="left"/>
    </xf>
    <xf numFmtId="0" fontId="25" fillId="0" borderId="0" xfId="21368" applyFont="1" applyAlignment="1">
      <alignment horizontal="left"/>
    </xf>
    <xf numFmtId="0" fontId="15" fillId="0" borderId="4" xfId="21368" applyBorder="1" applyAlignment="1">
      <alignment vertical="top" wrapText="1"/>
    </xf>
    <xf numFmtId="0" fontId="22" fillId="0" borderId="4" xfId="21368" applyFont="1" applyBorder="1" applyAlignment="1">
      <alignment horizontal="center" vertical="top"/>
    </xf>
    <xf numFmtId="0" fontId="25" fillId="0" borderId="4" xfId="21368" applyFont="1" applyBorder="1" applyAlignment="1">
      <alignment horizontal="left" vertical="top"/>
    </xf>
    <xf numFmtId="168" fontId="15" fillId="0" borderId="0" xfId="4497" applyNumberFormat="1"/>
    <xf numFmtId="0" fontId="125" fillId="0" borderId="0" xfId="21368" applyFont="1" applyAlignment="1">
      <alignment horizontal="left" vertical="top"/>
    </xf>
    <xf numFmtId="0" fontId="125" fillId="0" borderId="4" xfId="21368" applyFont="1" applyBorder="1" applyAlignment="1">
      <alignment horizontal="left" vertical="top"/>
    </xf>
    <xf numFmtId="1" fontId="15" fillId="0" borderId="0" xfId="543" applyNumberFormat="1"/>
    <xf numFmtId="0" fontId="23" fillId="0" borderId="1" xfId="21368" applyFont="1" applyBorder="1"/>
    <xf numFmtId="0" fontId="22" fillId="0" borderId="0" xfId="21368" applyFont="1" applyAlignment="1">
      <alignment horizontal="center" wrapText="1"/>
    </xf>
    <xf numFmtId="0" fontId="22" fillId="0" borderId="9" xfId="21368" applyFont="1" applyBorder="1" applyAlignment="1">
      <alignment horizontal="left"/>
    </xf>
    <xf numFmtId="0" fontId="15" fillId="0" borderId="2" xfId="21368" applyBorder="1" applyAlignment="1">
      <alignment horizontal="left"/>
    </xf>
    <xf numFmtId="0" fontId="22" fillId="0" borderId="2" xfId="21368" applyFont="1" applyBorder="1" applyAlignment="1">
      <alignment horizontal="left"/>
    </xf>
    <xf numFmtId="180" fontId="63" fillId="0" borderId="0" xfId="21368" applyNumberFormat="1" applyFont="1" applyAlignment="1">
      <alignment horizontal="center" vertical="center"/>
    </xf>
    <xf numFmtId="175" fontId="136" fillId="0" borderId="42" xfId="1022" applyNumberFormat="1" applyFont="1" applyFill="1" applyBorder="1" applyAlignment="1" applyProtection="1">
      <alignment horizontal="center" vertical="center"/>
    </xf>
    <xf numFmtId="182" fontId="97" fillId="0" borderId="11" xfId="700" applyNumberFormat="1" applyFont="1" applyBorder="1" applyProtection="1"/>
    <xf numFmtId="9" fontId="97" fillId="0" borderId="11" xfId="1022" applyFont="1" applyFill="1" applyBorder="1" applyAlignment="1" applyProtection="1">
      <alignment horizontal="right"/>
    </xf>
    <xf numFmtId="9" fontId="97" fillId="0" borderId="15" xfId="1022" applyFont="1" applyFill="1" applyBorder="1" applyAlignment="1" applyProtection="1">
      <alignment horizontal="right"/>
    </xf>
    <xf numFmtId="182" fontId="136" fillId="0" borderId="72" xfId="700" applyNumberFormat="1" applyFont="1" applyBorder="1" applyProtection="1"/>
    <xf numFmtId="9" fontId="97" fillId="0" borderId="0" xfId="1022" applyFont="1" applyFill="1" applyProtection="1"/>
    <xf numFmtId="182" fontId="97" fillId="0" borderId="6" xfId="700" applyNumberFormat="1" applyFont="1" applyBorder="1" applyAlignment="1" applyProtection="1">
      <alignment horizontal="center"/>
    </xf>
    <xf numFmtId="182" fontId="136" fillId="0" borderId="0" xfId="700" applyNumberFormat="1" applyFont="1" applyBorder="1" applyAlignment="1" applyProtection="1">
      <alignment horizontal="center"/>
    </xf>
    <xf numFmtId="10" fontId="97" fillId="0" borderId="0" xfId="1022" applyNumberFormat="1" applyFont="1" applyBorder="1" applyAlignment="1" applyProtection="1">
      <alignment horizontal="center"/>
    </xf>
    <xf numFmtId="9" fontId="97" fillId="0" borderId="0" xfId="1022" applyFont="1" applyFill="1" applyBorder="1" applyProtection="1"/>
    <xf numFmtId="182" fontId="97" fillId="0" borderId="6" xfId="700" applyNumberFormat="1" applyFont="1" applyBorder="1" applyProtection="1"/>
    <xf numFmtId="182" fontId="97" fillId="0" borderId="0" xfId="700" applyNumberFormat="1" applyFont="1" applyBorder="1" applyProtection="1"/>
    <xf numFmtId="175" fontId="22" fillId="0" borderId="0" xfId="543" applyNumberFormat="1" applyFont="1" applyAlignment="1">
      <alignment vertical="center"/>
    </xf>
    <xf numFmtId="10" fontId="136" fillId="0" borderId="0" xfId="1022" applyNumberFormat="1" applyFont="1" applyProtection="1"/>
    <xf numFmtId="175" fontId="15" fillId="0" borderId="0" xfId="543" applyNumberFormat="1" applyAlignment="1">
      <alignment vertical="center"/>
    </xf>
    <xf numFmtId="0" fontId="22" fillId="0" borderId="3" xfId="21368" applyFont="1" applyBorder="1" applyAlignment="1">
      <alignment horizontal="left"/>
    </xf>
    <xf numFmtId="0" fontId="22" fillId="0" borderId="4" xfId="21368" applyFont="1" applyBorder="1" applyAlignment="1">
      <alignment horizontal="left"/>
    </xf>
    <xf numFmtId="0" fontId="22" fillId="0" borderId="5" xfId="21368" applyFont="1" applyBorder="1" applyAlignment="1">
      <alignment horizontal="left"/>
    </xf>
    <xf numFmtId="0" fontId="22" fillId="0" borderId="0" xfId="21368" applyFont="1" applyAlignment="1">
      <alignment horizontal="center"/>
    </xf>
    <xf numFmtId="0" fontId="15" fillId="0" borderId="0" xfId="21368" applyAlignment="1">
      <alignment horizontal="left" vertical="top" wrapText="1"/>
    </xf>
    <xf numFmtId="0" fontId="22" fillId="0" borderId="0" xfId="21368" applyFont="1" applyAlignment="1">
      <alignment horizontal="center" vertical="top"/>
    </xf>
    <xf numFmtId="0" fontId="22" fillId="0" borderId="0" xfId="21368" applyFont="1" applyAlignment="1">
      <alignment horizontal="left" vertical="top" wrapText="1"/>
    </xf>
    <xf numFmtId="0" fontId="15" fillId="0" borderId="0" xfId="21368" applyAlignment="1">
      <alignment horizontal="left" vertical="top" wrapText="1" shrinkToFit="1"/>
    </xf>
    <xf numFmtId="44" fontId="15" fillId="0" borderId="0" xfId="707" applyFont="1" applyFill="1" applyBorder="1" applyAlignment="1" applyProtection="1">
      <alignment horizontal="left" vertical="top" wrapText="1"/>
    </xf>
    <xf numFmtId="0" fontId="23" fillId="0" borderId="0" xfId="21368" applyFont="1" applyAlignment="1">
      <alignment horizontal="center"/>
    </xf>
    <xf numFmtId="0" fontId="15" fillId="0" borderId="0" xfId="21368" applyAlignment="1">
      <alignment horizontal="left" vertical="center" wrapText="1" shrinkToFit="1"/>
    </xf>
    <xf numFmtId="0" fontId="22" fillId="0" borderId="0" xfId="21368" applyFont="1" applyAlignment="1">
      <alignment horizontal="right"/>
    </xf>
    <xf numFmtId="0" fontId="15" fillId="0" borderId="58" xfId="21368" applyBorder="1" applyAlignment="1">
      <alignment horizontal="left" vertical="top" wrapText="1"/>
    </xf>
    <xf numFmtId="0" fontId="15" fillId="0" borderId="53" xfId="21368" applyBorder="1" applyAlignment="1">
      <alignment horizontal="center"/>
    </xf>
    <xf numFmtId="0" fontId="15" fillId="0" borderId="0" xfId="21368" applyAlignment="1">
      <alignment horizontal="center"/>
    </xf>
    <xf numFmtId="0" fontId="23" fillId="0" borderId="0" xfId="21368" applyFont="1" applyAlignment="1">
      <alignment horizontal="left" vertical="top" wrapText="1"/>
    </xf>
    <xf numFmtId="0" fontId="23" fillId="0" borderId="51" xfId="21368" applyFont="1" applyBorder="1" applyAlignment="1">
      <alignment horizontal="left" vertical="top" wrapText="1"/>
    </xf>
    <xf numFmtId="0" fontId="22" fillId="0" borderId="54" xfId="21368" applyFont="1" applyBorder="1" applyAlignment="1">
      <alignment horizontal="center"/>
    </xf>
    <xf numFmtId="0" fontId="22" fillId="0" borderId="54" xfId="21368" applyFont="1" applyBorder="1" applyAlignment="1">
      <alignment horizontal="center" vertical="top"/>
    </xf>
    <xf numFmtId="0" fontId="129" fillId="0" borderId="0" xfId="21368" applyFont="1" applyAlignment="1">
      <alignment horizontal="left" vertical="top" wrapText="1"/>
    </xf>
    <xf numFmtId="0" fontId="15" fillId="0" borderId="0" xfId="543" applyAlignment="1">
      <alignment horizontal="center"/>
    </xf>
    <xf numFmtId="0" fontId="15" fillId="0" borderId="0" xfId="21368" applyAlignment="1">
      <alignment horizontal="left" vertical="center" wrapText="1"/>
    </xf>
    <xf numFmtId="0" fontId="15" fillId="0" borderId="51" xfId="21368" applyBorder="1" applyAlignment="1">
      <alignment horizontal="left" vertical="top" wrapText="1"/>
    </xf>
    <xf numFmtId="0" fontId="22" fillId="0" borderId="0" xfId="21368" applyFont="1"/>
    <xf numFmtId="0" fontId="22" fillId="0" borderId="0" xfId="21368" applyFont="1" applyAlignment="1">
      <alignment horizontal="left" vertical="top"/>
    </xf>
    <xf numFmtId="0" fontId="15" fillId="0" borderId="0" xfId="21368" applyAlignment="1" applyProtection="1">
      <alignment horizontal="center"/>
      <protection locked="0"/>
    </xf>
    <xf numFmtId="0" fontId="15" fillId="0" borderId="0" xfId="1192" applyAlignment="1">
      <alignment horizontal="right"/>
    </xf>
    <xf numFmtId="165" fontId="15" fillId="0" borderId="0" xfId="1192" applyNumberFormat="1" applyAlignment="1">
      <alignment horizontal="right"/>
    </xf>
    <xf numFmtId="9" fontId="15" fillId="0" borderId="0" xfId="1192" quotePrefix="1" applyNumberFormat="1" applyAlignment="1">
      <alignment horizontal="center"/>
    </xf>
    <xf numFmtId="0" fontId="15" fillId="0" borderId="0" xfId="21368" applyAlignment="1">
      <alignment horizontal="left"/>
    </xf>
    <xf numFmtId="0" fontId="15" fillId="0" borderId="58" xfId="21368" applyBorder="1" applyAlignment="1">
      <alignment vertical="center" wrapText="1"/>
    </xf>
    <xf numFmtId="0" fontId="15" fillId="0" borderId="59" xfId="21368" applyBorder="1" applyAlignment="1">
      <alignment vertical="center" wrapText="1"/>
    </xf>
    <xf numFmtId="0" fontId="122" fillId="0" borderId="53" xfId="25589" applyFont="1" applyBorder="1" applyAlignment="1">
      <alignment horizontal="left" vertical="top"/>
    </xf>
    <xf numFmtId="0" fontId="121" fillId="0" borderId="0" xfId="25589" applyFont="1" applyAlignment="1">
      <alignment horizontal="left" vertical="top" wrapText="1"/>
    </xf>
    <xf numFmtId="0" fontId="121" fillId="0" borderId="54" xfId="25589" applyFont="1" applyBorder="1" applyAlignment="1">
      <alignment horizontal="left" vertical="top" wrapText="1"/>
    </xf>
    <xf numFmtId="0" fontId="121" fillId="0" borderId="0" xfId="25589" applyFont="1" applyAlignment="1">
      <alignment vertical="center" wrapText="1"/>
    </xf>
    <xf numFmtId="0" fontId="123" fillId="0" borderId="0" xfId="25589" applyFont="1" applyAlignment="1">
      <alignment vertical="center"/>
    </xf>
    <xf numFmtId="0" fontId="121" fillId="0" borderId="0" xfId="25589" applyFont="1"/>
    <xf numFmtId="0" fontId="121" fillId="0" borderId="0" xfId="25589" applyFont="1" applyAlignment="1">
      <alignment vertical="center"/>
    </xf>
    <xf numFmtId="0" fontId="124" fillId="0" borderId="0" xfId="25589" applyFont="1" applyAlignment="1">
      <alignment vertical="center"/>
    </xf>
    <xf numFmtId="0" fontId="15" fillId="0" borderId="0" xfId="25589" applyFont="1" applyAlignment="1">
      <alignment vertical="center"/>
    </xf>
    <xf numFmtId="0" fontId="121" fillId="0" borderId="53" xfId="25589" applyFont="1" applyBorder="1" applyAlignment="1">
      <alignment vertical="top" wrapText="1"/>
    </xf>
    <xf numFmtId="0" fontId="121" fillId="0" borderId="0" xfId="25589" applyFont="1" applyAlignment="1">
      <alignment vertical="top" wrapText="1"/>
    </xf>
    <xf numFmtId="10" fontId="121" fillId="0" borderId="0" xfId="25589" applyNumberFormat="1" applyFont="1" applyAlignment="1">
      <alignment vertical="top" wrapText="1"/>
    </xf>
    <xf numFmtId="0" fontId="121" fillId="0" borderId="54" xfId="25589" applyFont="1" applyBorder="1" applyAlignment="1">
      <alignment vertical="top" wrapText="1"/>
    </xf>
    <xf numFmtId="0" fontId="121" fillId="0" borderId="0" xfId="25589" applyFont="1" applyAlignment="1">
      <alignment vertical="top"/>
    </xf>
    <xf numFmtId="165" fontId="121" fillId="0" borderId="0" xfId="25589" applyNumberFormat="1" applyFont="1" applyAlignment="1">
      <alignment vertical="top" wrapText="1"/>
    </xf>
    <xf numFmtId="0" fontId="121" fillId="0" borderId="53" xfId="25589" applyFont="1" applyBorder="1" applyAlignment="1">
      <alignment horizontal="left" vertical="top" wrapText="1"/>
    </xf>
    <xf numFmtId="0" fontId="121" fillId="0" borderId="0" xfId="25589" applyFont="1" applyAlignment="1">
      <alignment horizontal="left" vertical="top"/>
    </xf>
    <xf numFmtId="165" fontId="121" fillId="0" borderId="65" xfId="25589" applyNumberFormat="1" applyFont="1" applyBorder="1" applyAlignment="1">
      <alignment horizontal="center" vertical="top" wrapText="1"/>
    </xf>
    <xf numFmtId="165" fontId="121" fillId="0" borderId="0" xfId="25589" applyNumberFormat="1" applyFont="1" applyAlignment="1">
      <alignment horizontal="center" vertical="top" wrapText="1"/>
    </xf>
    <xf numFmtId="165" fontId="121" fillId="0" borderId="53" xfId="25589" applyNumberFormat="1" applyFont="1" applyBorder="1" applyAlignment="1">
      <alignment horizontal="left" vertical="top"/>
    </xf>
    <xf numFmtId="168" fontId="121" fillId="0" borderId="0" xfId="25589" applyNumberFormat="1" applyFont="1" applyAlignment="1">
      <alignment vertical="top" wrapText="1"/>
    </xf>
    <xf numFmtId="168" fontId="121" fillId="0" borderId="0" xfId="25589" applyNumberFormat="1" applyFont="1" applyAlignment="1">
      <alignment vertical="top"/>
    </xf>
    <xf numFmtId="165" fontId="121" fillId="0" borderId="53" xfId="25589" applyNumberFormat="1" applyFont="1" applyBorder="1" applyAlignment="1">
      <alignment horizontal="center" vertical="top" wrapText="1"/>
    </xf>
    <xf numFmtId="10" fontId="121" fillId="0" borderId="65" xfId="25589" applyNumberFormat="1" applyFont="1" applyBorder="1" applyAlignment="1">
      <alignment horizontal="center" vertical="top" wrapText="1"/>
    </xf>
    <xf numFmtId="10" fontId="121" fillId="0" borderId="0" xfId="25589" applyNumberFormat="1" applyFont="1" applyAlignment="1">
      <alignment horizontal="center" vertical="top" wrapText="1"/>
    </xf>
    <xf numFmtId="10" fontId="121" fillId="0" borderId="53" xfId="25589" applyNumberFormat="1" applyFont="1" applyBorder="1" applyAlignment="1">
      <alignment horizontal="left" vertical="top"/>
    </xf>
    <xf numFmtId="1" fontId="121" fillId="0" borderId="0" xfId="25589" applyNumberFormat="1" applyFont="1" applyAlignment="1">
      <alignment vertical="top" wrapText="1"/>
    </xf>
    <xf numFmtId="0" fontId="15" fillId="0" borderId="0" xfId="25589" applyFont="1" applyAlignment="1">
      <alignment vertical="top" wrapText="1"/>
    </xf>
    <xf numFmtId="0" fontId="15" fillId="0" borderId="0" xfId="25589" applyFont="1"/>
    <xf numFmtId="0" fontId="15" fillId="0" borderId="0" xfId="25589" applyFont="1" applyAlignment="1">
      <alignment horizontal="left"/>
    </xf>
    <xf numFmtId="0" fontId="15" fillId="0" borderId="0" xfId="25589" applyFont="1" applyAlignment="1">
      <alignment horizontal="right"/>
    </xf>
    <xf numFmtId="0" fontId="47" fillId="0" borderId="0" xfId="25589" applyFont="1"/>
    <xf numFmtId="0" fontId="23" fillId="0" borderId="0" xfId="25589" applyFont="1" applyAlignment="1">
      <alignment vertical="top" wrapText="1"/>
    </xf>
    <xf numFmtId="0" fontId="15" fillId="0" borderId="4" xfId="25589" applyFont="1" applyBorder="1"/>
    <xf numFmtId="0" fontId="22" fillId="0" borderId="4" xfId="25589" applyFont="1" applyBorder="1" applyAlignment="1">
      <alignment horizontal="right"/>
    </xf>
    <xf numFmtId="0" fontId="121" fillId="0" borderId="0" xfId="25589" applyFont="1" applyAlignment="1">
      <alignment wrapText="1"/>
    </xf>
    <xf numFmtId="0" fontId="15" fillId="0" borderId="0" xfId="25589" applyFont="1" applyAlignment="1">
      <alignment wrapText="1"/>
    </xf>
    <xf numFmtId="0" fontId="15" fillId="0" borderId="51" xfId="25589" applyFont="1" applyBorder="1" applyAlignment="1">
      <alignment wrapText="1"/>
    </xf>
    <xf numFmtId="9" fontId="15" fillId="0" borderId="0" xfId="25589" applyNumberFormat="1" applyFont="1" applyAlignment="1">
      <alignment horizontal="center"/>
    </xf>
    <xf numFmtId="0" fontId="97" fillId="0" borderId="0" xfId="25589" applyFont="1" applyAlignment="1">
      <alignment wrapText="1"/>
    </xf>
    <xf numFmtId="0" fontId="97" fillId="0" borderId="0" xfId="25589" applyFont="1"/>
    <xf numFmtId="0" fontId="136" fillId="0" borderId="0" xfId="25589" applyFont="1"/>
    <xf numFmtId="181" fontId="137" fillId="0" borderId="0" xfId="25590" applyNumberFormat="1" applyFont="1" applyBorder="1" applyProtection="1"/>
    <xf numFmtId="0" fontId="138" fillId="0" borderId="0" xfId="25589" applyFont="1" applyAlignment="1">
      <alignment vertical="center" wrapText="1"/>
    </xf>
    <xf numFmtId="49" fontId="97" fillId="0" borderId="0" xfId="25589" applyNumberFormat="1" applyFont="1" applyAlignment="1">
      <alignment horizontal="center" vertical="center"/>
    </xf>
    <xf numFmtId="0" fontId="97" fillId="0" borderId="66" xfId="25589" applyFont="1" applyBorder="1" applyAlignment="1">
      <alignment vertical="center"/>
    </xf>
    <xf numFmtId="0" fontId="97" fillId="0" borderId="29" xfId="25589" applyFont="1" applyBorder="1" applyAlignment="1">
      <alignment vertical="center"/>
    </xf>
    <xf numFmtId="0" fontId="136" fillId="0" borderId="29" xfId="25589" applyFont="1" applyBorder="1" applyAlignment="1">
      <alignment vertical="center"/>
    </xf>
    <xf numFmtId="0" fontId="97" fillId="0" borderId="29" xfId="25589" applyFont="1" applyBorder="1" applyAlignment="1">
      <alignment horizontal="right" vertical="center"/>
    </xf>
    <xf numFmtId="5" fontId="97" fillId="0" borderId="29" xfId="25589" applyNumberFormat="1" applyFont="1" applyBorder="1" applyAlignment="1">
      <alignment vertical="center"/>
    </xf>
    <xf numFmtId="0" fontId="97" fillId="0" borderId="31" xfId="25589" applyFont="1" applyBorder="1" applyAlignment="1">
      <alignment vertical="center"/>
    </xf>
    <xf numFmtId="0" fontId="97" fillId="0" borderId="0" xfId="25589" applyFont="1" applyAlignment="1">
      <alignment vertical="center"/>
    </xf>
    <xf numFmtId="0" fontId="97" fillId="0" borderId="67" xfId="25589" applyFont="1" applyBorder="1" applyAlignment="1">
      <alignment vertical="center"/>
    </xf>
    <xf numFmtId="0" fontId="136" fillId="0" borderId="0" xfId="25589" applyFont="1" applyAlignment="1">
      <alignment vertical="center"/>
    </xf>
    <xf numFmtId="175" fontId="97" fillId="0" borderId="0" xfId="25591" applyNumberFormat="1" applyFont="1" applyFill="1" applyBorder="1" applyAlignment="1" applyProtection="1">
      <alignment horizontal="right" vertical="center"/>
    </xf>
    <xf numFmtId="0" fontId="171" fillId="0" borderId="0" xfId="25589" applyFont="1" applyAlignment="1">
      <alignment horizontal="right" vertical="center"/>
    </xf>
    <xf numFmtId="5" fontId="97" fillId="0" borderId="6" xfId="25589" applyNumberFormat="1" applyFont="1" applyBorder="1" applyAlignment="1">
      <alignment vertical="center"/>
    </xf>
    <xf numFmtId="0" fontId="97" fillId="0" borderId="41" xfId="25589" applyFont="1" applyBorder="1" applyAlignment="1">
      <alignment vertical="center"/>
    </xf>
    <xf numFmtId="183" fontId="97" fillId="0" borderId="0" xfId="25589" applyNumberFormat="1" applyFont="1" applyAlignment="1">
      <alignment vertical="center" wrapText="1"/>
    </xf>
    <xf numFmtId="182" fontId="97" fillId="0" borderId="88" xfId="25589" applyNumberFormat="1" applyFont="1" applyBorder="1" applyAlignment="1">
      <alignment vertical="center"/>
    </xf>
    <xf numFmtId="175" fontId="97" fillId="0" borderId="42" xfId="25591" applyNumberFormat="1" applyFont="1" applyFill="1" applyBorder="1" applyAlignment="1" applyProtection="1">
      <alignment horizontal="left" vertical="center"/>
    </xf>
    <xf numFmtId="0" fontId="136" fillId="0" borderId="42" xfId="25589" applyFont="1" applyBorder="1" applyAlignment="1">
      <alignment vertical="center"/>
    </xf>
    <xf numFmtId="0" fontId="97" fillId="0" borderId="42" xfId="25589" applyFont="1" applyBorder="1" applyAlignment="1">
      <alignment vertical="center"/>
    </xf>
    <xf numFmtId="9" fontId="136" fillId="0" borderId="42" xfId="25591" applyFont="1" applyFill="1" applyBorder="1" applyAlignment="1" applyProtection="1">
      <alignment vertical="center"/>
    </xf>
    <xf numFmtId="0" fontId="97" fillId="0" borderId="44" xfId="25589" applyFont="1" applyBorder="1" applyAlignment="1">
      <alignment vertical="center"/>
    </xf>
    <xf numFmtId="182" fontId="97" fillId="0" borderId="0" xfId="25589" applyNumberFormat="1" applyFont="1" applyAlignment="1">
      <alignment vertical="center"/>
    </xf>
    <xf numFmtId="175" fontId="97" fillId="0" borderId="0" xfId="25591" applyNumberFormat="1" applyFont="1" applyFill="1" applyBorder="1" applyAlignment="1" applyProtection="1">
      <alignment horizontal="left" vertical="center"/>
    </xf>
    <xf numFmtId="9" fontId="97" fillId="0" borderId="0" xfId="25591" applyFont="1" applyFill="1" applyBorder="1" applyAlignment="1" applyProtection="1">
      <alignment vertical="center"/>
    </xf>
    <xf numFmtId="9" fontId="97" fillId="0" borderId="0" xfId="25591" applyFont="1" applyBorder="1" applyAlignment="1" applyProtection="1">
      <alignment vertical="center"/>
    </xf>
    <xf numFmtId="164" fontId="97" fillId="0" borderId="0" xfId="25589" applyNumberFormat="1" applyFont="1" applyAlignment="1">
      <alignment vertical="center" wrapText="1"/>
    </xf>
    <xf numFmtId="0" fontId="97" fillId="0" borderId="0" xfId="25589" applyFont="1" applyAlignment="1">
      <alignment horizontal="center" vertical="center"/>
    </xf>
    <xf numFmtId="182" fontId="97" fillId="0" borderId="11" xfId="25589" applyNumberFormat="1" applyFont="1" applyBorder="1"/>
    <xf numFmtId="164" fontId="97" fillId="0" borderId="0" xfId="25589" applyNumberFormat="1" applyFont="1" applyAlignment="1">
      <alignment wrapText="1"/>
    </xf>
    <xf numFmtId="49" fontId="97" fillId="0" borderId="0" xfId="25589" applyNumberFormat="1" applyFont="1" applyAlignment="1">
      <alignment horizontal="left"/>
    </xf>
    <xf numFmtId="182" fontId="97" fillId="0" borderId="75" xfId="25589" applyNumberFormat="1" applyFont="1" applyBorder="1"/>
    <xf numFmtId="0" fontId="139" fillId="0" borderId="0" xfId="25589" applyFont="1"/>
    <xf numFmtId="182" fontId="97" fillId="0" borderId="13" xfId="25589" applyNumberFormat="1" applyFont="1" applyBorder="1"/>
    <xf numFmtId="49" fontId="97" fillId="0" borderId="0" xfId="25589" applyNumberFormat="1" applyFont="1" applyAlignment="1">
      <alignment horizontal="center"/>
    </xf>
    <xf numFmtId="0" fontId="136" fillId="0" borderId="4" xfId="25589" applyFont="1" applyBorder="1" applyAlignment="1">
      <alignment horizontal="left" indent="1"/>
    </xf>
    <xf numFmtId="0" fontId="97" fillId="0" borderId="4" xfId="25589" applyFont="1" applyBorder="1"/>
    <xf numFmtId="182" fontId="97" fillId="0" borderId="11" xfId="25589" applyNumberFormat="1" applyFont="1" applyBorder="1" applyAlignment="1">
      <alignment horizontal="left"/>
    </xf>
    <xf numFmtId="168" fontId="97" fillId="0" borderId="11" xfId="25591" applyNumberFormat="1" applyFont="1" applyFill="1" applyBorder="1" applyAlignment="1" applyProtection="1">
      <alignment horizontal="left" vertical="center" indent="1"/>
    </xf>
    <xf numFmtId="182" fontId="97" fillId="0" borderId="15" xfId="25589" applyNumberFormat="1" applyFont="1" applyBorder="1"/>
    <xf numFmtId="168" fontId="136" fillId="0" borderId="72" xfId="25591" applyNumberFormat="1" applyFont="1" applyFill="1" applyBorder="1" applyAlignment="1" applyProtection="1">
      <alignment horizontal="left" vertical="center" indent="1"/>
    </xf>
    <xf numFmtId="182" fontId="136" fillId="0" borderId="72" xfId="25589" applyNumberFormat="1" applyFont="1" applyBorder="1"/>
    <xf numFmtId="1" fontId="97" fillId="0" borderId="0" xfId="25589" applyNumberFormat="1" applyFont="1"/>
    <xf numFmtId="2" fontId="97" fillId="0" borderId="0" xfId="25589" applyNumberFormat="1" applyFont="1" applyAlignment="1">
      <alignment horizontal="center"/>
    </xf>
    <xf numFmtId="2" fontId="97" fillId="0" borderId="0" xfId="25589" applyNumberFormat="1" applyFont="1"/>
    <xf numFmtId="0" fontId="136" fillId="45" borderId="3" xfId="25589" applyFont="1" applyFill="1" applyBorder="1" applyAlignment="1">
      <alignment horizontal="left" indent="1"/>
    </xf>
    <xf numFmtId="0" fontId="97" fillId="45" borderId="4" xfId="25589" applyFont="1" applyFill="1" applyBorder="1"/>
    <xf numFmtId="2" fontId="97" fillId="45" borderId="5" xfId="25589" applyNumberFormat="1" applyFont="1" applyFill="1" applyBorder="1"/>
    <xf numFmtId="0" fontId="97" fillId="0" borderId="0" xfId="25589" applyFont="1" applyAlignment="1">
      <alignment horizontal="right"/>
    </xf>
    <xf numFmtId="181" fontId="97" fillId="0" borderId="0" xfId="25589" applyNumberFormat="1" applyFont="1"/>
    <xf numFmtId="165" fontId="137" fillId="0" borderId="0" xfId="25591" applyNumberFormat="1" applyFont="1" applyFill="1" applyBorder="1" applyProtection="1"/>
    <xf numFmtId="0" fontId="97" fillId="0" borderId="11" xfId="25589" applyFont="1" applyBorder="1" applyAlignment="1">
      <alignment horizontal="center"/>
    </xf>
    <xf numFmtId="2" fontId="97" fillId="0" borderId="11" xfId="25589" applyNumberFormat="1" applyFont="1" applyBorder="1" applyAlignment="1">
      <alignment horizontal="center"/>
    </xf>
    <xf numFmtId="0" fontId="97" fillId="0" borderId="0" xfId="25589" applyFont="1" applyAlignment="1">
      <alignment vertical="top" wrapText="1"/>
    </xf>
    <xf numFmtId="0" fontId="97" fillId="0" borderId="11" xfId="25589" applyFont="1" applyBorder="1" applyAlignment="1">
      <alignment horizontal="center" vertical="top" wrapText="1"/>
    </xf>
    <xf numFmtId="0" fontId="97" fillId="0" borderId="15" xfId="25589" applyFont="1" applyBorder="1" applyAlignment="1">
      <alignment horizontal="center" vertical="top" wrapText="1"/>
    </xf>
    <xf numFmtId="2" fontId="97" fillId="0" borderId="15" xfId="25589" applyNumberFormat="1" applyFont="1" applyBorder="1" applyAlignment="1">
      <alignment horizontal="center"/>
    </xf>
    <xf numFmtId="0" fontId="97" fillId="0" borderId="15" xfId="25589" applyFont="1" applyBorder="1" applyAlignment="1">
      <alignment horizontal="center"/>
    </xf>
    <xf numFmtId="0" fontId="136" fillId="0" borderId="72" xfId="25589" applyFont="1" applyBorder="1" applyAlignment="1">
      <alignment horizontal="center" vertical="top" wrapText="1"/>
    </xf>
    <xf numFmtId="0" fontId="136" fillId="0" borderId="72" xfId="25589" applyFont="1" applyBorder="1" applyAlignment="1">
      <alignment horizontal="center"/>
    </xf>
    <xf numFmtId="0" fontId="97" fillId="0" borderId="0" xfId="25589" applyFont="1" applyAlignment="1">
      <alignment horizontal="right" vertical="top"/>
    </xf>
    <xf numFmtId="0" fontId="97" fillId="0" borderId="0" xfId="25589" applyFont="1" applyAlignment="1">
      <alignment horizontal="right" vertical="top" wrapText="1" indent="1"/>
    </xf>
    <xf numFmtId="0" fontId="171" fillId="0" borderId="0" xfId="25589" applyFont="1" applyAlignment="1">
      <alignment horizontal="right"/>
    </xf>
    <xf numFmtId="0" fontId="136" fillId="0" borderId="0" xfId="25589" applyFont="1" applyAlignment="1">
      <alignment horizontal="right"/>
    </xf>
    <xf numFmtId="0" fontId="97" fillId="0" borderId="0" xfId="25589" applyFont="1" applyAlignment="1">
      <alignment horizontal="center"/>
    </xf>
    <xf numFmtId="182" fontId="97" fillId="0" borderId="0" xfId="25589" applyNumberFormat="1" applyFont="1"/>
    <xf numFmtId="184" fontId="97" fillId="0" borderId="6" xfId="25589" applyNumberFormat="1" applyFont="1" applyBorder="1"/>
    <xf numFmtId="0" fontId="136" fillId="0" borderId="0" xfId="25589" applyFont="1" applyAlignment="1">
      <alignment horizontal="right" vertical="top"/>
    </xf>
    <xf numFmtId="182" fontId="136" fillId="0" borderId="0" xfId="25589" applyNumberFormat="1" applyFont="1"/>
    <xf numFmtId="184" fontId="97" fillId="0" borderId="0" xfId="25589" applyNumberFormat="1" applyFont="1" applyAlignment="1">
      <alignment horizontal="center"/>
    </xf>
    <xf numFmtId="184" fontId="97" fillId="0" borderId="0" xfId="25589" applyNumberFormat="1" applyFont="1"/>
    <xf numFmtId="0" fontId="97" fillId="0" borderId="71" xfId="25589" applyFont="1" applyBorder="1" applyAlignment="1">
      <alignment horizontal="right" indent="1"/>
    </xf>
    <xf numFmtId="0" fontId="97" fillId="0" borderId="82" xfId="25589" applyFont="1" applyBorder="1" applyAlignment="1">
      <alignment horizontal="right" indent="1"/>
    </xf>
    <xf numFmtId="0" fontId="97" fillId="0" borderId="6" xfId="25589" applyFont="1" applyBorder="1" applyAlignment="1">
      <alignment horizontal="right" vertical="top" wrapText="1" indent="1"/>
    </xf>
    <xf numFmtId="0" fontId="97" fillId="0" borderId="0" xfId="25589" applyFont="1" applyAlignment="1">
      <alignment horizontal="left" indent="1"/>
    </xf>
    <xf numFmtId="0" fontId="97" fillId="0" borderId="82" xfId="25589" quotePrefix="1" applyFont="1" applyBorder="1" applyAlignment="1">
      <alignment horizontal="right" indent="1"/>
    </xf>
    <xf numFmtId="0" fontId="97" fillId="0" borderId="74" xfId="25589" applyFont="1" applyBorder="1" applyAlignment="1">
      <alignment horizontal="right" indent="1"/>
    </xf>
    <xf numFmtId="0" fontId="97" fillId="0" borderId="0" xfId="25589" applyFont="1" applyAlignment="1">
      <alignment horizontal="left"/>
    </xf>
    <xf numFmtId="0" fontId="97" fillId="43" borderId="6" xfId="25589" applyFont="1" applyFill="1" applyBorder="1" applyAlignment="1" applyProtection="1">
      <alignment horizontal="center"/>
      <protection locked="0"/>
    </xf>
    <xf numFmtId="182" fontId="97" fillId="0" borderId="76" xfId="25589" applyNumberFormat="1" applyFont="1" applyBorder="1"/>
    <xf numFmtId="182" fontId="97" fillId="0" borderId="93" xfId="25589" applyNumberFormat="1" applyFont="1" applyBorder="1"/>
    <xf numFmtId="182" fontId="97" fillId="0" borderId="95" xfId="25589" applyNumberFormat="1" applyFont="1" applyBorder="1"/>
    <xf numFmtId="0" fontId="97" fillId="0" borderId="0" xfId="25589" applyFont="1" applyAlignment="1">
      <alignment horizontal="right" indent="1"/>
    </xf>
    <xf numFmtId="182" fontId="97" fillId="0" borderId="6" xfId="25589" applyNumberFormat="1" applyFont="1" applyBorder="1"/>
    <xf numFmtId="0" fontId="15" fillId="0" borderId="0" xfId="0" applyFont="1" applyAlignment="1">
      <alignment horizontal="left" vertical="top" wrapText="1"/>
    </xf>
    <xf numFmtId="0" fontId="16" fillId="0" borderId="0" xfId="244" applyBorder="1" applyAlignment="1" applyProtection="1">
      <alignment horizontal="left" vertical="top" wrapText="1"/>
    </xf>
    <xf numFmtId="0" fontId="15" fillId="0" borderId="0" xfId="0" applyFont="1" applyFill="1" applyAlignment="1">
      <alignment horizontal="left" vertical="top" wrapText="1"/>
    </xf>
    <xf numFmtId="0" fontId="15" fillId="0" borderId="0" xfId="1192" applyFont="1" applyAlignment="1">
      <alignment horizontal="left" vertical="top" wrapText="1"/>
    </xf>
    <xf numFmtId="0" fontId="22" fillId="0" borderId="0" xfId="0" applyFont="1" applyAlignment="1">
      <alignment horizontal="left" vertical="top" wrapText="1"/>
    </xf>
    <xf numFmtId="0" fontId="44" fillId="0" borderId="0" xfId="0" applyFont="1" applyAlignment="1">
      <alignment horizontal="left" vertical="top" wrapText="1"/>
    </xf>
    <xf numFmtId="0" fontId="44" fillId="0" borderId="0" xfId="0" applyFont="1" applyFill="1" applyAlignment="1">
      <alignment horizontal="left" vertical="top" wrapText="1"/>
    </xf>
    <xf numFmtId="0" fontId="15" fillId="0" borderId="0" xfId="0" applyFont="1" applyAlignment="1">
      <alignment horizontal="left" wrapText="1"/>
    </xf>
    <xf numFmtId="0" fontId="16" fillId="0" borderId="0" xfId="244" applyAlignment="1" applyProtection="1">
      <alignment horizontal="left"/>
    </xf>
    <xf numFmtId="0" fontId="112" fillId="0" borderId="0" xfId="0" applyFont="1" applyAlignment="1">
      <alignment horizontal="left" wrapText="1"/>
    </xf>
    <xf numFmtId="0" fontId="15" fillId="0" borderId="0" xfId="0" applyFont="1" applyFill="1" applyAlignment="1">
      <alignment horizontal="left" wrapText="1"/>
    </xf>
    <xf numFmtId="0" fontId="24" fillId="0" borderId="0" xfId="0" applyFont="1" applyFill="1" applyAlignment="1">
      <alignment horizontal="left" wrapText="1"/>
    </xf>
    <xf numFmtId="0" fontId="21" fillId="3" borderId="0"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15" fillId="0" borderId="0" xfId="0" applyFont="1" applyBorder="1" applyAlignment="1">
      <alignment horizontal="left" vertical="top" wrapText="1"/>
    </xf>
    <xf numFmtId="0" fontId="104" fillId="0" borderId="0" xfId="0" applyFont="1" applyAlignment="1">
      <alignment horizontal="left" vertical="top" wrapText="1"/>
    </xf>
    <xf numFmtId="0" fontId="33" fillId="0" borderId="0" xfId="569" applyFont="1" applyAlignment="1">
      <alignment horizontal="left"/>
    </xf>
    <xf numFmtId="4" fontId="15" fillId="0" borderId="0" xfId="569" applyNumberFormat="1" applyFont="1" applyFill="1" applyAlignment="1" applyProtection="1">
      <alignment horizontal="left"/>
    </xf>
    <xf numFmtId="0" fontId="15" fillId="0" borderId="0" xfId="569" applyFont="1" applyFill="1" applyAlignment="1">
      <alignment horizontal="left" vertical="top" wrapText="1"/>
    </xf>
    <xf numFmtId="4" fontId="33" fillId="0" borderId="0" xfId="569" applyNumberFormat="1" applyFont="1" applyFill="1" applyAlignment="1" applyProtection="1">
      <alignment horizontal="left" vertical="top" wrapText="1"/>
    </xf>
    <xf numFmtId="4" fontId="15" fillId="0" borderId="0" xfId="569" applyNumberFormat="1" applyFont="1" applyFill="1" applyAlignment="1" applyProtection="1">
      <alignment horizontal="left" vertical="top" wrapText="1"/>
    </xf>
    <xf numFmtId="0" fontId="15" fillId="0" borderId="0" xfId="0" applyFont="1" applyAlignment="1" applyProtection="1">
      <alignment horizontal="left" vertical="top" wrapText="1"/>
    </xf>
    <xf numFmtId="0" fontId="24" fillId="0" borderId="0" xfId="0" applyFont="1" applyAlignment="1" applyProtection="1">
      <alignment horizontal="left" vertical="top"/>
    </xf>
    <xf numFmtId="0" fontId="15" fillId="0" borderId="0" xfId="0" applyFont="1" applyFill="1" applyAlignment="1" applyProtection="1">
      <alignment horizontal="left" vertical="top" wrapText="1"/>
    </xf>
    <xf numFmtId="0" fontId="33" fillId="0" borderId="0" xfId="0" applyFont="1" applyAlignment="1">
      <alignment horizontal="left"/>
    </xf>
    <xf numFmtId="0" fontId="15" fillId="0" borderId="0" xfId="0" applyFont="1" applyAlignment="1">
      <alignment horizontal="left"/>
    </xf>
    <xf numFmtId="0" fontId="22" fillId="0" borderId="4" xfId="569" applyFont="1" applyBorder="1" applyAlignment="1" applyProtection="1">
      <alignment horizontal="left"/>
    </xf>
    <xf numFmtId="0" fontId="22" fillId="0" borderId="4" xfId="569" applyFont="1" applyBorder="1" applyAlignment="1" applyProtection="1">
      <alignment horizontal="left" vertical="top"/>
    </xf>
    <xf numFmtId="0" fontId="33" fillId="0" borderId="0" xfId="0" applyFont="1" applyAlignment="1">
      <alignment horizontal="left" wrapText="1"/>
    </xf>
    <xf numFmtId="0" fontId="15" fillId="0" borderId="0" xfId="0" applyFont="1" applyAlignment="1">
      <alignment horizontal="left" vertical="top"/>
    </xf>
    <xf numFmtId="0" fontId="22" fillId="0" borderId="0" xfId="0" applyFont="1" applyAlignment="1">
      <alignment horizontal="left"/>
    </xf>
    <xf numFmtId="0" fontId="15" fillId="0" borderId="0" xfId="0" applyFont="1" applyFill="1" applyAlignment="1">
      <alignment horizontal="left"/>
    </xf>
    <xf numFmtId="0" fontId="15" fillId="0" borderId="0" xfId="0" applyFont="1" applyAlignment="1" applyProtection="1">
      <alignment horizontal="left"/>
    </xf>
    <xf numFmtId="0" fontId="24" fillId="0" borderId="0" xfId="0" applyFont="1" applyAlignment="1" applyProtection="1">
      <alignment horizontal="left"/>
    </xf>
    <xf numFmtId="0" fontId="16" fillId="0" borderId="0" xfId="244" quotePrefix="1" applyAlignment="1" applyProtection="1">
      <alignment horizontal="left"/>
    </xf>
    <xf numFmtId="0" fontId="22" fillId="0" borderId="4" xfId="0" applyFont="1" applyBorder="1" applyAlignment="1" applyProtection="1">
      <alignment horizontal="left"/>
    </xf>
    <xf numFmtId="0" fontId="15" fillId="0" borderId="0" xfId="0" applyFont="1" applyAlignment="1" applyProtection="1">
      <alignment horizontal="left" vertical="top"/>
    </xf>
    <xf numFmtId="0" fontId="22" fillId="0" borderId="4" xfId="569" applyFont="1" applyFill="1" applyBorder="1" applyAlignment="1" applyProtection="1">
      <alignment horizontal="left"/>
    </xf>
    <xf numFmtId="0" fontId="33" fillId="0" borderId="0" xfId="569" applyFont="1" applyFill="1" applyBorder="1" applyAlignment="1">
      <alignment horizontal="left" vertical="top"/>
    </xf>
    <xf numFmtId="0" fontId="15" fillId="0" borderId="0" xfId="569" applyFont="1" applyFill="1" applyBorder="1" applyAlignment="1">
      <alignment horizontal="left" vertical="top"/>
    </xf>
    <xf numFmtId="0" fontId="15" fillId="0" borderId="0" xfId="569" applyFont="1" applyAlignment="1">
      <alignment horizontal="left" vertical="top"/>
    </xf>
    <xf numFmtId="0" fontId="22" fillId="0" borderId="0" xfId="569" applyFont="1" applyAlignment="1">
      <alignment horizontal="left" vertical="top"/>
    </xf>
    <xf numFmtId="0" fontId="33" fillId="0" borderId="0" xfId="0" applyFont="1" applyAlignment="1">
      <alignment horizontal="left" vertical="top" wrapText="1"/>
    </xf>
    <xf numFmtId="4" fontId="15" fillId="0" borderId="0" xfId="0" applyNumberFormat="1" applyFont="1" applyAlignment="1" applyProtection="1">
      <alignment horizontal="left" vertical="top" wrapText="1"/>
    </xf>
    <xf numFmtId="4" fontId="33" fillId="0" borderId="0" xfId="0" applyNumberFormat="1" applyFont="1" applyFill="1" applyAlignment="1" applyProtection="1">
      <alignment horizontal="left"/>
    </xf>
    <xf numFmtId="4" fontId="15" fillId="0" borderId="0" xfId="0" applyNumberFormat="1" applyFont="1" applyFill="1" applyAlignment="1" applyProtection="1">
      <alignment horizontal="left" vertical="top" wrapText="1"/>
    </xf>
    <xf numFmtId="4" fontId="16" fillId="0" borderId="0" xfId="244" applyNumberFormat="1" applyFill="1" applyAlignment="1" applyProtection="1">
      <alignment horizontal="left"/>
    </xf>
    <xf numFmtId="0" fontId="15" fillId="0" borderId="0" xfId="271" applyFont="1" applyFill="1" applyAlignment="1">
      <alignment horizontal="left" vertical="top" wrapText="1"/>
    </xf>
    <xf numFmtId="4" fontId="15" fillId="0" borderId="0" xfId="1192" applyNumberFormat="1" applyFont="1" applyAlignment="1" applyProtection="1">
      <alignment horizontal="left" vertical="top" wrapText="1"/>
    </xf>
    <xf numFmtId="4" fontId="15" fillId="0" borderId="0" xfId="1192" applyNumberFormat="1" applyFont="1" applyFill="1" applyAlignment="1" applyProtection="1">
      <alignment horizontal="left" vertical="top" wrapText="1"/>
    </xf>
    <xf numFmtId="0" fontId="33" fillId="0" borderId="0" xfId="0" applyFont="1" applyAlignment="1" applyProtection="1">
      <alignment horizontal="center"/>
    </xf>
    <xf numFmtId="0" fontId="0" fillId="0" borderId="0" xfId="0" applyAlignment="1" applyProtection="1"/>
    <xf numFmtId="0" fontId="33" fillId="0" borderId="0" xfId="0" applyFont="1" applyFill="1" applyAlignment="1">
      <alignment horizontal="center"/>
    </xf>
    <xf numFmtId="0" fontId="0" fillId="0" borderId="0" xfId="0" applyFill="1" applyAlignment="1">
      <alignment horizontal="center"/>
    </xf>
    <xf numFmtId="0" fontId="22" fillId="0" borderId="0" xfId="0" applyFont="1" applyFill="1" applyAlignment="1" applyProtection="1">
      <alignment horizontal="center"/>
    </xf>
    <xf numFmtId="0" fontId="0" fillId="0" borderId="0" xfId="0" applyFill="1" applyAlignment="1" applyProtection="1"/>
    <xf numFmtId="0" fontId="22" fillId="0" borderId="4" xfId="569" applyFont="1" applyBorder="1" applyAlignment="1">
      <alignment horizontal="left"/>
    </xf>
    <xf numFmtId="0" fontId="15" fillId="0" borderId="0" xfId="1192" applyFont="1" applyAlignment="1" applyProtection="1">
      <alignment horizontal="left" vertical="top" wrapText="1"/>
    </xf>
    <xf numFmtId="49" fontId="15" fillId="0" borderId="0" xfId="0" applyNumberFormat="1" applyFont="1" applyFill="1" applyAlignment="1">
      <alignment horizontal="left" vertical="top" wrapText="1"/>
    </xf>
    <xf numFmtId="49" fontId="15" fillId="0" borderId="0" xfId="1192" applyNumberFormat="1" applyFont="1" applyFill="1" applyAlignment="1">
      <alignment horizontal="left" vertical="top" wrapText="1"/>
    </xf>
    <xf numFmtId="0" fontId="15" fillId="0" borderId="0" xfId="1192" applyFont="1" applyFill="1" applyAlignment="1">
      <alignment horizontal="left" vertical="top" wrapText="1"/>
    </xf>
    <xf numFmtId="0" fontId="15" fillId="0" borderId="0" xfId="569" applyFont="1" applyAlignment="1">
      <alignment horizontal="left" vertical="top" wrapText="1"/>
    </xf>
    <xf numFmtId="0" fontId="33" fillId="0" borderId="0" xfId="569" applyFont="1" applyBorder="1" applyAlignment="1">
      <alignment horizontal="left" vertical="top" wrapText="1"/>
    </xf>
    <xf numFmtId="0" fontId="15" fillId="0" borderId="0" xfId="569" applyFont="1" applyBorder="1" applyAlignment="1">
      <alignment horizontal="left" vertical="top"/>
    </xf>
    <xf numFmtId="0" fontId="33" fillId="0" borderId="0" xfId="0" applyFont="1" applyAlignment="1" applyProtection="1">
      <alignment horizontal="left"/>
    </xf>
    <xf numFmtId="0" fontId="15" fillId="0" borderId="0" xfId="271" applyFont="1" applyAlignment="1">
      <alignment horizontal="left" vertical="top" wrapText="1"/>
    </xf>
    <xf numFmtId="0" fontId="15" fillId="0" borderId="0" xfId="569" applyFont="1" applyAlignment="1">
      <alignment horizontal="left"/>
    </xf>
    <xf numFmtId="0" fontId="33" fillId="0" borderId="0" xfId="0" applyFont="1" applyBorder="1" applyAlignment="1">
      <alignment horizontal="left"/>
    </xf>
    <xf numFmtId="0" fontId="15" fillId="0" borderId="0" xfId="0" applyFont="1" applyBorder="1" applyAlignment="1">
      <alignment horizontal="left"/>
    </xf>
    <xf numFmtId="0" fontId="15" fillId="0" borderId="0" xfId="1192" applyFont="1" applyFill="1" applyBorder="1" applyAlignment="1" applyProtection="1">
      <alignment horizontal="left" vertical="top" wrapText="1"/>
    </xf>
    <xf numFmtId="0" fontId="16" fillId="0" borderId="0" xfId="244" applyAlignment="1">
      <alignment horizontal="left"/>
    </xf>
    <xf numFmtId="0" fontId="22" fillId="0" borderId="16" xfId="0" applyFont="1" applyFill="1" applyBorder="1" applyAlignment="1" applyProtection="1">
      <alignment horizontal="left"/>
    </xf>
    <xf numFmtId="0" fontId="15" fillId="0" borderId="27" xfId="0" applyFont="1" applyBorder="1" applyAlignment="1">
      <alignment horizontal="left"/>
    </xf>
    <xf numFmtId="0" fontId="15" fillId="0" borderId="0" xfId="1192" applyFont="1" applyAlignment="1" applyProtection="1">
      <alignment horizontal="left"/>
    </xf>
    <xf numFmtId="0" fontId="0" fillId="0" borderId="0" xfId="0" applyAlignment="1">
      <alignment horizontal="left" vertical="top" wrapText="1"/>
    </xf>
    <xf numFmtId="0" fontId="15" fillId="0" borderId="0" xfId="271" applyFont="1" applyFill="1" applyAlignment="1" applyProtection="1">
      <alignment horizontal="left" vertical="top" wrapText="1"/>
      <protection locked="0"/>
    </xf>
    <xf numFmtId="0" fontId="15" fillId="0" borderId="0" xfId="1192" applyFont="1" applyBorder="1" applyAlignment="1" applyProtection="1">
      <alignment horizontal="left" vertical="top" wrapText="1"/>
    </xf>
    <xf numFmtId="0" fontId="33" fillId="0" borderId="0" xfId="1192" applyFont="1" applyAlignment="1" applyProtection="1">
      <alignment horizontal="left"/>
    </xf>
    <xf numFmtId="0" fontId="15" fillId="0" borderId="0" xfId="1192" applyFont="1" applyFill="1" applyAlignment="1" applyProtection="1">
      <alignment horizontal="left"/>
    </xf>
    <xf numFmtId="0" fontId="15" fillId="0" borderId="0" xfId="1192" applyFont="1" applyFill="1" applyAlignment="1" applyProtection="1">
      <alignment horizontal="left" vertical="top" wrapText="1"/>
    </xf>
    <xf numFmtId="0" fontId="33" fillId="0" borderId="0" xfId="0" applyFont="1" applyFill="1" applyAlignment="1">
      <alignment horizontal="left"/>
    </xf>
    <xf numFmtId="0" fontId="22" fillId="0" borderId="0" xfId="271" applyFont="1" applyFill="1" applyAlignment="1">
      <alignment horizontal="left" vertical="top" wrapText="1"/>
    </xf>
    <xf numFmtId="0" fontId="113" fillId="0" borderId="0" xfId="569" applyFont="1" applyAlignment="1">
      <alignment horizontal="center"/>
    </xf>
    <xf numFmtId="0" fontId="114" fillId="0" borderId="0" xfId="569" applyFont="1" applyAlignment="1"/>
    <xf numFmtId="0" fontId="15" fillId="0" borderId="0" xfId="569" applyFont="1" applyAlignment="1">
      <alignment wrapText="1"/>
    </xf>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applyAlignment="1"/>
    <xf numFmtId="0" fontId="15" fillId="0" borderId="0" xfId="1192" applyFont="1" applyAlignment="1">
      <alignment vertical="top" wrapText="1"/>
    </xf>
    <xf numFmtId="0" fontId="15" fillId="0" borderId="0" xfId="1192" applyAlignment="1">
      <alignment vertical="top" wrapText="1"/>
    </xf>
    <xf numFmtId="0" fontId="15" fillId="0" borderId="0" xfId="569" applyFont="1" applyAlignment="1"/>
    <xf numFmtId="0" fontId="33" fillId="0" borderId="0" xfId="569" applyFont="1" applyAlignment="1" applyProtection="1">
      <alignment horizontal="center"/>
    </xf>
    <xf numFmtId="0" fontId="22" fillId="0" borderId="0" xfId="569" applyFont="1" applyAlignment="1" applyProtection="1">
      <alignment horizontal="center"/>
    </xf>
    <xf numFmtId="0" fontId="15" fillId="0" borderId="15" xfId="569" applyBorder="1" applyAlignment="1" applyProtection="1">
      <alignment horizontal="center" vertical="top" wrapText="1"/>
    </xf>
    <xf numFmtId="0" fontId="15" fillId="0" borderId="14" xfId="569" applyBorder="1" applyAlignment="1" applyProtection="1">
      <alignment horizontal="center" vertical="top" wrapText="1"/>
    </xf>
    <xf numFmtId="0" fontId="15" fillId="0" borderId="13" xfId="569" applyBorder="1" applyAlignment="1" applyProtection="1">
      <alignment horizontal="center" vertical="top" wrapText="1"/>
    </xf>
    <xf numFmtId="0" fontId="15" fillId="0" borderId="0" xfId="569" applyFont="1" applyAlignment="1" applyProtection="1">
      <alignment horizontal="left" vertical="top" wrapText="1"/>
    </xf>
    <xf numFmtId="0" fontId="33" fillId="0" borderId="0" xfId="569" applyFont="1" applyAlignment="1">
      <alignment horizontal="left" vertical="top" wrapText="1"/>
    </xf>
    <xf numFmtId="0" fontId="15" fillId="0" borderId="0" xfId="569" applyFont="1" applyAlignment="1" applyProtection="1">
      <alignment horizontal="left"/>
    </xf>
    <xf numFmtId="0" fontId="15" fillId="0" borderId="0" xfId="1192" applyFont="1" applyAlignment="1" applyProtection="1">
      <alignment vertical="top" wrapText="1"/>
    </xf>
    <xf numFmtId="0" fontId="33" fillId="0" borderId="0" xfId="569" applyFont="1" applyFill="1" applyAlignment="1">
      <alignment horizontal="left"/>
    </xf>
    <xf numFmtId="0" fontId="15" fillId="0" borderId="0" xfId="569" applyFont="1" applyBorder="1" applyAlignment="1">
      <alignment horizontal="left" vertical="top" wrapText="1"/>
    </xf>
    <xf numFmtId="0" fontId="15" fillId="0" borderId="0" xfId="1192" applyFont="1" applyFill="1" applyAlignment="1" applyProtection="1">
      <alignment horizontal="left" vertical="top" wrapText="1"/>
      <protection locked="0"/>
    </xf>
    <xf numFmtId="0" fontId="15" fillId="0" borderId="27" xfId="569" applyFont="1" applyBorder="1" applyAlignment="1">
      <alignment horizontal="left"/>
    </xf>
    <xf numFmtId="0" fontId="15" fillId="0" borderId="0" xfId="569" applyFont="1" applyFill="1" applyAlignment="1" applyProtection="1">
      <alignment horizontal="left" vertical="top" wrapText="1"/>
    </xf>
    <xf numFmtId="0" fontId="16" fillId="0" borderId="0" xfId="244" applyAlignment="1" applyProtection="1">
      <alignment horizontal="left" vertical="top" wrapText="1"/>
    </xf>
    <xf numFmtId="0" fontId="15" fillId="0" borderId="0" xfId="569" applyFont="1" applyFill="1" applyAlignment="1">
      <alignment horizontal="left"/>
    </xf>
    <xf numFmtId="0" fontId="22" fillId="0" borderId="0" xfId="569" applyFont="1" applyAlignment="1">
      <alignment horizontal="left"/>
    </xf>
    <xf numFmtId="0" fontId="22" fillId="0" borderId="4" xfId="0" applyFont="1" applyBorder="1" applyAlignment="1" applyProtection="1">
      <alignment horizontal="left" vertical="top"/>
    </xf>
    <xf numFmtId="4" fontId="33" fillId="0" borderId="0" xfId="0" applyNumberFormat="1" applyFont="1" applyFill="1" applyAlignment="1" applyProtection="1">
      <alignment horizontal="left" vertical="top" wrapText="1"/>
    </xf>
    <xf numFmtId="4" fontId="15" fillId="0" borderId="0" xfId="569" applyNumberFormat="1" applyFont="1" applyAlignment="1" applyProtection="1">
      <alignment horizontal="left" vertical="top" wrapText="1"/>
    </xf>
    <xf numFmtId="0" fontId="15" fillId="0" borderId="0" xfId="1192" applyFont="1" applyFill="1" applyAlignment="1">
      <alignment vertical="top" wrapText="1"/>
    </xf>
    <xf numFmtId="0" fontId="33" fillId="0" borderId="0" xfId="569" applyFont="1" applyAlignment="1" applyProtection="1">
      <alignment horizontal="left"/>
    </xf>
    <xf numFmtId="0" fontId="15" fillId="0" borderId="0" xfId="569" applyFont="1" applyAlignment="1" applyProtection="1">
      <alignment horizontal="left" vertical="top"/>
    </xf>
    <xf numFmtId="0" fontId="22" fillId="0" borderId="0" xfId="0" applyFont="1" applyAlignment="1">
      <alignment horizontal="left" vertical="top"/>
    </xf>
    <xf numFmtId="0" fontId="33" fillId="0" borderId="0" xfId="569" applyFont="1" applyFill="1" applyAlignment="1">
      <alignment horizontal="center"/>
    </xf>
    <xf numFmtId="0" fontId="15" fillId="0" borderId="0" xfId="569" applyFill="1" applyAlignment="1">
      <alignment horizontal="center"/>
    </xf>
    <xf numFmtId="0" fontId="33" fillId="0" borderId="0" xfId="569" applyFont="1" applyAlignment="1">
      <alignment horizontal="left" wrapText="1"/>
    </xf>
    <xf numFmtId="0" fontId="15" fillId="0" borderId="0" xfId="569" applyFont="1" applyFill="1" applyAlignment="1">
      <alignment horizontal="left" vertical="center" wrapText="1"/>
    </xf>
    <xf numFmtId="0" fontId="22" fillId="0" borderId="0" xfId="569" applyFont="1" applyFill="1" applyAlignment="1" applyProtection="1">
      <alignment horizontal="center"/>
    </xf>
    <xf numFmtId="0" fontId="15" fillId="0" borderId="0" xfId="569" applyFont="1" applyFill="1" applyAlignment="1" applyProtection="1"/>
    <xf numFmtId="0" fontId="15" fillId="0" borderId="0" xfId="1192" applyFont="1" applyAlignment="1">
      <alignment horizontal="left"/>
    </xf>
    <xf numFmtId="0" fontId="16" fillId="0" borderId="0" xfId="244" applyNumberFormat="1" applyFill="1" applyAlignment="1" applyProtection="1">
      <alignment horizontal="left"/>
    </xf>
    <xf numFmtId="0" fontId="15" fillId="0" borderId="0" xfId="569" applyFill="1" applyAlignment="1" applyProtection="1"/>
    <xf numFmtId="0" fontId="15" fillId="0" borderId="0" xfId="1192" applyFont="1" applyFill="1" applyAlignment="1">
      <alignment horizontal="left"/>
    </xf>
    <xf numFmtId="0" fontId="33" fillId="0" borderId="0" xfId="569" applyFont="1" applyBorder="1" applyAlignment="1">
      <alignment horizontal="left"/>
    </xf>
    <xf numFmtId="0" fontId="15" fillId="0" borderId="0" xfId="569" applyFont="1" applyBorder="1" applyAlignment="1">
      <alignment horizontal="left"/>
    </xf>
    <xf numFmtId="0" fontId="22" fillId="0" borderId="16" xfId="569" applyFont="1" applyFill="1" applyBorder="1" applyAlignment="1" applyProtection="1">
      <alignment horizontal="left"/>
    </xf>
    <xf numFmtId="0" fontId="15" fillId="0" borderId="0" xfId="569" applyAlignment="1">
      <alignment horizontal="left" vertical="top" wrapText="1"/>
    </xf>
    <xf numFmtId="0" fontId="15" fillId="0" borderId="0" xfId="569" applyFont="1" applyFill="1" applyAlignment="1">
      <alignment vertical="top" wrapText="1"/>
    </xf>
    <xf numFmtId="0" fontId="15" fillId="0" borderId="0" xfId="569" applyFont="1" applyAlignment="1">
      <alignment vertical="top" wrapText="1"/>
    </xf>
    <xf numFmtId="0" fontId="33" fillId="0" borderId="0" xfId="0" applyFont="1" applyFill="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33" fillId="0" borderId="0" xfId="1192" applyFont="1" applyFill="1" applyAlignment="1">
      <alignment horizontal="left" vertical="top" wrapText="1"/>
    </xf>
    <xf numFmtId="0" fontId="22" fillId="0" borderId="0" xfId="0" applyFont="1" applyFill="1" applyAlignment="1">
      <alignment horizontal="left" vertical="top" wrapText="1"/>
    </xf>
    <xf numFmtId="0" fontId="22" fillId="0" borderId="0" xfId="1192" applyFont="1" applyFill="1" applyAlignment="1">
      <alignment horizontal="left" vertical="top" wrapText="1"/>
    </xf>
    <xf numFmtId="4" fontId="15" fillId="0" borderId="0" xfId="0" applyNumberFormat="1" applyFont="1" applyAlignment="1" applyProtection="1">
      <alignment horizontal="left"/>
    </xf>
    <xf numFmtId="0" fontId="22" fillId="0" borderId="0" xfId="0" applyFont="1" applyAlignment="1">
      <alignment vertical="top"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wrapText="1"/>
    </xf>
    <xf numFmtId="0" fontId="15" fillId="0" borderId="0" xfId="569" applyAlignment="1" applyProtection="1">
      <alignment horizontal="left" wrapText="1"/>
    </xf>
    <xf numFmtId="0" fontId="22" fillId="0" borderId="4" xfId="0" applyFont="1" applyFill="1" applyBorder="1" applyAlignment="1" applyProtection="1">
      <alignment horizontal="left"/>
    </xf>
    <xf numFmtId="0" fontId="15" fillId="0" borderId="0" xfId="0" applyFont="1" applyFill="1" applyBorder="1" applyAlignment="1">
      <alignment horizontal="left" vertical="top" wrapText="1"/>
    </xf>
    <xf numFmtId="0" fontId="15" fillId="0" borderId="0" xfId="0" applyFont="1" applyFill="1" applyBorder="1" applyAlignment="1">
      <alignment vertical="top" wrapText="1"/>
    </xf>
    <xf numFmtId="0" fontId="16" fillId="0" borderId="0" xfId="244" applyFill="1" applyBorder="1" applyAlignment="1">
      <alignment horizontal="left" vertical="top" wrapText="1"/>
    </xf>
    <xf numFmtId="4" fontId="15" fillId="0" borderId="0" xfId="0" applyNumberFormat="1" applyFont="1" applyFill="1" applyBorder="1" applyAlignment="1" applyProtection="1">
      <alignment horizontal="left"/>
    </xf>
    <xf numFmtId="0" fontId="33" fillId="0" borderId="0" xfId="0" applyFont="1" applyFill="1" applyBorder="1" applyAlignment="1">
      <alignment horizontal="left" vertical="top"/>
    </xf>
    <xf numFmtId="0" fontId="15" fillId="0" borderId="0" xfId="0" applyFont="1" applyFill="1" applyBorder="1" applyAlignment="1">
      <alignment horizontal="left" vertical="top"/>
    </xf>
    <xf numFmtId="4" fontId="15" fillId="0" borderId="0" xfId="0" applyNumberFormat="1" applyFont="1" applyFill="1" applyAlignment="1" applyProtection="1">
      <alignment horizontal="left"/>
    </xf>
    <xf numFmtId="49" fontId="15" fillId="0" borderId="0" xfId="0" applyNumberFormat="1" applyFont="1" applyAlignment="1">
      <alignment horizontal="left" vertical="top" wrapText="1"/>
    </xf>
    <xf numFmtId="0" fontId="23" fillId="43" borderId="6" xfId="0" applyFont="1" applyFill="1" applyBorder="1" applyAlignment="1" applyProtection="1">
      <alignment horizontal="left"/>
      <protection locked="0"/>
    </xf>
    <xf numFmtId="0" fontId="38" fillId="0" borderId="3" xfId="0" applyFont="1" applyBorder="1" applyAlignment="1" applyProtection="1">
      <alignment horizontal="center"/>
    </xf>
    <xf numFmtId="0" fontId="38" fillId="0" borderId="4" xfId="0" applyFont="1" applyBorder="1" applyAlignment="1" applyProtection="1">
      <alignment horizontal="center"/>
    </xf>
    <xf numFmtId="0" fontId="38" fillId="0" borderId="5" xfId="0" applyFont="1" applyBorder="1" applyAlignment="1" applyProtection="1">
      <alignment horizontal="center"/>
    </xf>
    <xf numFmtId="0" fontId="24" fillId="45" borderId="11" xfId="0" applyFont="1" applyFill="1" applyBorder="1" applyAlignment="1" applyProtection="1">
      <alignment horizontal="center"/>
    </xf>
    <xf numFmtId="0" fontId="24" fillId="45" borderId="3" xfId="0" applyFont="1" applyFill="1" applyBorder="1" applyAlignment="1" applyProtection="1">
      <alignment horizontal="center"/>
    </xf>
    <xf numFmtId="0" fontId="24" fillId="45" borderId="4" xfId="0" applyFont="1" applyFill="1" applyBorder="1" applyAlignment="1" applyProtection="1">
      <alignment horizontal="center"/>
    </xf>
    <xf numFmtId="0" fontId="24" fillId="45" borderId="5" xfId="0"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5"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3" xfId="0" applyFont="1" applyBorder="1" applyAlignment="1" applyProtection="1">
      <alignment horizontal="left"/>
    </xf>
    <xf numFmtId="0" fontId="15" fillId="0" borderId="4" xfId="0" applyFont="1" applyBorder="1" applyAlignment="1" applyProtection="1">
      <alignment horizontal="left"/>
    </xf>
    <xf numFmtId="0" fontId="15" fillId="0" borderId="5" xfId="0" applyFont="1" applyBorder="1" applyAlignment="1" applyProtection="1">
      <alignment horizontal="left"/>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2" xfId="0" applyFont="1" applyBorder="1" applyAlignment="1" applyProtection="1">
      <alignment horizontal="center" vertical="center" wrapText="1"/>
    </xf>
    <xf numFmtId="0" fontId="24"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3" fillId="43" borderId="3" xfId="0" applyNumberFormat="1" applyFont="1" applyFill="1" applyBorder="1" applyAlignment="1" applyProtection="1">
      <alignment horizontal="center"/>
      <protection locked="0"/>
    </xf>
    <xf numFmtId="180" fontId="23" fillId="43" borderId="4" xfId="0" applyNumberFormat="1" applyFont="1" applyFill="1" applyBorder="1" applyAlignment="1" applyProtection="1">
      <alignment horizontal="center"/>
      <protection locked="0"/>
    </xf>
    <xf numFmtId="180" fontId="23"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24" fillId="5" borderId="3" xfId="0" applyNumberFormat="1" applyFont="1" applyFill="1" applyBorder="1" applyAlignment="1" applyProtection="1">
      <alignment horizontal="right" vertical="top"/>
      <protection locked="0"/>
    </xf>
    <xf numFmtId="0" fontId="24" fillId="5" borderId="4" xfId="0" applyNumberFormat="1" applyFont="1" applyFill="1" applyBorder="1" applyAlignment="1" applyProtection="1">
      <alignment horizontal="right" vertical="top"/>
      <protection locked="0"/>
    </xf>
    <xf numFmtId="0" fontId="24" fillId="5" borderId="5" xfId="0" applyNumberFormat="1" applyFont="1" applyFill="1" applyBorder="1" applyAlignment="1" applyProtection="1">
      <alignment horizontal="right" vertical="top"/>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5" fontId="24" fillId="5" borderId="3" xfId="0" applyNumberFormat="1" applyFont="1" applyFill="1" applyBorder="1" applyAlignment="1" applyProtection="1">
      <alignment horizontal="center"/>
      <protection locked="0"/>
    </xf>
    <xf numFmtId="165" fontId="24" fillId="5" borderId="4" xfId="0" applyNumberFormat="1" applyFont="1" applyFill="1" applyBorder="1" applyAlignment="1" applyProtection="1">
      <alignment horizontal="center"/>
      <protection locked="0"/>
    </xf>
    <xf numFmtId="165" fontId="24"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8" fontId="15" fillId="43" borderId="3" xfId="0" applyNumberFormat="1" applyFont="1" applyFill="1" applyBorder="1" applyAlignment="1" applyProtection="1">
      <alignment horizontal="center"/>
      <protection locked="0"/>
    </xf>
    <xf numFmtId="168" fontId="15" fillId="43" borderId="4" xfId="0" applyNumberFormat="1" applyFont="1" applyFill="1" applyBorder="1" applyAlignment="1" applyProtection="1">
      <alignment horizontal="center"/>
      <protection locked="0"/>
    </xf>
    <xf numFmtId="168" fontId="15"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4" fillId="5" borderId="6" xfId="0" applyNumberFormat="1" applyFont="1" applyFill="1" applyBorder="1" applyAlignment="1" applyProtection="1">
      <alignment horizontal="right"/>
      <protection locked="0"/>
    </xf>
    <xf numFmtId="178" fontId="24" fillId="5" borderId="4" xfId="0" applyNumberFormat="1" applyFont="1" applyFill="1" applyBorder="1" applyAlignment="1" applyProtection="1">
      <alignment horizontal="right"/>
      <protection locked="0"/>
    </xf>
    <xf numFmtId="0" fontId="24" fillId="5" borderId="6" xfId="0" applyFont="1" applyFill="1" applyBorder="1" applyAlignment="1" applyProtection="1">
      <alignment horizontal="center"/>
      <protection locked="0"/>
    </xf>
    <xf numFmtId="166" fontId="24" fillId="5" borderId="4" xfId="0" applyNumberFormat="1" applyFont="1" applyFill="1" applyBorder="1" applyAlignment="1" applyProtection="1">
      <alignment horizontal="left"/>
      <protection locked="0"/>
    </xf>
    <xf numFmtId="0" fontId="24" fillId="5" borderId="0" xfId="0" applyFont="1" applyFill="1" applyBorder="1" applyAlignment="1" applyProtection="1">
      <alignment horizontal="left" vertical="top" wrapText="1"/>
      <protection locked="0"/>
    </xf>
    <xf numFmtId="0" fontId="24"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center"/>
      <protection locked="0"/>
    </xf>
    <xf numFmtId="168" fontId="24"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4" fillId="5" borderId="11" xfId="0" applyNumberFormat="1" applyFont="1" applyFill="1" applyBorder="1" applyAlignment="1" applyProtection="1">
      <alignment horizontal="center"/>
      <protection locked="0"/>
    </xf>
    <xf numFmtId="10" fontId="24"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4" fillId="5" borderId="11" xfId="0" quotePrefix="1" applyNumberFormat="1" applyFont="1" applyFill="1" applyBorder="1" applyAlignment="1" applyProtection="1">
      <alignment horizontal="center"/>
      <protection locked="0"/>
    </xf>
    <xf numFmtId="1" fontId="24" fillId="5" borderId="11" xfId="0" applyNumberFormat="1" applyFont="1" applyFill="1" applyBorder="1" applyAlignment="1" applyProtection="1">
      <alignment horizontal="center"/>
      <protection locked="0"/>
    </xf>
    <xf numFmtId="0" fontId="21" fillId="3" borderId="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protection locked="0"/>
    </xf>
    <xf numFmtId="0" fontId="22" fillId="0" borderId="0" xfId="0" applyFont="1" applyAlignment="1" applyProtection="1">
      <alignment horizontal="center"/>
    </xf>
    <xf numFmtId="0" fontId="15" fillId="5" borderId="6" xfId="0" applyFont="1" applyFill="1" applyBorder="1" applyAlignment="1" applyProtection="1">
      <alignment horizontal="left" vertical="top" wrapText="1"/>
      <protection locked="0"/>
    </xf>
    <xf numFmtId="168" fontId="24" fillId="5" borderId="3" xfId="0" applyNumberFormat="1" applyFont="1" applyFill="1" applyBorder="1" applyAlignment="1" applyProtection="1">
      <alignment horizontal="left" vertical="top"/>
      <protection locked="0"/>
    </xf>
    <xf numFmtId="168" fontId="24" fillId="5" borderId="4" xfId="0" applyNumberFormat="1" applyFont="1" applyFill="1" applyBorder="1" applyAlignment="1" applyProtection="1">
      <alignment horizontal="left" vertical="top"/>
      <protection locked="0"/>
    </xf>
    <xf numFmtId="168" fontId="24" fillId="5" borderId="5" xfId="0" applyNumberFormat="1" applyFont="1" applyFill="1" applyBorder="1" applyAlignment="1" applyProtection="1">
      <alignment horizontal="left" vertical="top"/>
      <protection locked="0"/>
    </xf>
    <xf numFmtId="168" fontId="15" fillId="0" borderId="3" xfId="0" applyNumberFormat="1" applyFont="1" applyFill="1" applyBorder="1" applyAlignment="1" applyProtection="1">
      <alignment horizontal="left" vertical="top"/>
    </xf>
    <xf numFmtId="168" fontId="24" fillId="0" borderId="4" xfId="0" applyNumberFormat="1" applyFont="1" applyFill="1" applyBorder="1" applyAlignment="1" applyProtection="1">
      <alignment horizontal="left" vertical="top"/>
    </xf>
    <xf numFmtId="168" fontId="24" fillId="0" borderId="5" xfId="0" applyNumberFormat="1" applyFont="1" applyFill="1" applyBorder="1" applyAlignment="1" applyProtection="1">
      <alignment horizontal="left" vertical="top"/>
    </xf>
    <xf numFmtId="168" fontId="24" fillId="0" borderId="3" xfId="0" applyNumberFormat="1" applyFont="1" applyFill="1" applyBorder="1" applyAlignment="1" applyProtection="1">
      <alignment horizontal="left" vertical="top"/>
    </xf>
    <xf numFmtId="3" fontId="24" fillId="0" borderId="11" xfId="0" applyNumberFormat="1" applyFont="1" applyFill="1" applyBorder="1" applyAlignment="1" applyProtection="1">
      <alignment horizontal="center"/>
    </xf>
    <xf numFmtId="168" fontId="24"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5" fillId="43" borderId="4" xfId="0" applyFont="1" applyFill="1" applyBorder="1" applyAlignment="1" applyProtection="1">
      <alignment horizontal="left" wrapText="1"/>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4" fillId="5" borderId="9" xfId="0" applyFont="1"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2"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9" xfId="0" applyFont="1" applyFill="1" applyBorder="1" applyAlignment="1" applyProtection="1">
      <alignment horizontal="center"/>
    </xf>
    <xf numFmtId="0" fontId="22" fillId="0" borderId="6" xfId="0" applyFont="1" applyFill="1" applyBorder="1" applyAlignment="1" applyProtection="1">
      <alignment horizontal="center"/>
    </xf>
    <xf numFmtId="0" fontId="22" fillId="0" borderId="10" xfId="0" applyFont="1" applyFill="1" applyBorder="1" applyAlignment="1" applyProtection="1">
      <alignment horizontal="center"/>
    </xf>
    <xf numFmtId="0" fontId="24" fillId="0" borderId="1" xfId="0" applyFont="1" applyFill="1" applyBorder="1" applyAlignment="1" applyProtection="1">
      <alignment horizontal="center" vertical="top" wrapText="1"/>
    </xf>
    <xf numFmtId="0" fontId="24" fillId="0" borderId="2" xfId="0" applyFont="1" applyFill="1" applyBorder="1" applyAlignment="1" applyProtection="1">
      <alignment horizontal="center" vertical="top" wrapText="1"/>
    </xf>
    <xf numFmtId="0" fontId="24" fillId="0" borderId="7" xfId="0" applyFont="1" applyFill="1" applyBorder="1" applyAlignment="1" applyProtection="1">
      <alignment horizontal="center" vertical="top" wrapText="1"/>
    </xf>
    <xf numFmtId="0" fontId="24" fillId="0" borderId="8" xfId="0" applyFont="1" applyFill="1" applyBorder="1" applyAlignment="1" applyProtection="1">
      <alignment horizontal="center" vertical="top" wrapText="1"/>
    </xf>
    <xf numFmtId="0" fontId="24" fillId="0" borderId="0" xfId="0" applyFont="1" applyFill="1" applyBorder="1" applyAlignment="1" applyProtection="1">
      <alignment horizontal="center" vertical="top" wrapText="1"/>
    </xf>
    <xf numFmtId="0" fontId="24" fillId="0" borderId="12" xfId="0" applyFont="1" applyFill="1" applyBorder="1" applyAlignment="1" applyProtection="1">
      <alignment horizontal="center" vertical="top" wrapText="1"/>
    </xf>
    <xf numFmtId="0" fontId="24" fillId="0" borderId="9" xfId="0" applyFont="1" applyFill="1" applyBorder="1" applyAlignment="1" applyProtection="1">
      <alignment horizontal="center" vertical="top" wrapText="1"/>
    </xf>
    <xf numFmtId="0" fontId="24" fillId="0" borderId="6" xfId="0" applyFont="1" applyFill="1" applyBorder="1" applyAlignment="1" applyProtection="1">
      <alignment horizontal="center" vertical="top" wrapText="1"/>
    </xf>
    <xf numFmtId="0" fontId="24" fillId="0" borderId="10" xfId="0" applyFont="1" applyFill="1" applyBorder="1" applyAlignment="1" applyProtection="1">
      <alignment horizontal="center" vertical="top" wrapText="1"/>
    </xf>
    <xf numFmtId="0" fontId="22" fillId="0" borderId="3" xfId="0" applyFont="1" applyBorder="1" applyAlignment="1" applyProtection="1">
      <alignment horizontal="center" wrapText="1"/>
    </xf>
    <xf numFmtId="0" fontId="22" fillId="0" borderId="4" xfId="0" applyFont="1" applyBorder="1" applyAlignment="1" applyProtection="1">
      <alignment horizontal="center" wrapText="1"/>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22" fillId="0" borderId="3" xfId="0" applyFont="1" applyBorder="1" applyAlignment="1" applyProtection="1">
      <alignment horizontal="right"/>
    </xf>
    <xf numFmtId="0" fontId="22" fillId="0" borderId="4" xfId="0" applyFont="1" applyBorder="1" applyAlignment="1" applyProtection="1">
      <alignment horizontal="right"/>
    </xf>
    <xf numFmtId="0" fontId="22"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5" xfId="0" applyFont="1" applyBorder="1" applyAlignment="1" applyProtection="1">
      <alignment horizontal="center" wrapText="1"/>
    </xf>
    <xf numFmtId="0" fontId="22" fillId="0" borderId="2" xfId="0" applyFont="1" applyBorder="1" applyAlignment="1" applyProtection="1">
      <alignment horizontal="center" wrapText="1"/>
    </xf>
    <xf numFmtId="0" fontId="22"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2" fillId="0" borderId="9"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15"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22" fillId="0" borderId="6" xfId="0" applyFont="1" applyBorder="1" applyAlignment="1" applyProtection="1">
      <alignment horizontal="right"/>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15" fillId="0" borderId="11"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4" fillId="5" borderId="6" xfId="0" applyNumberFormat="1" applyFont="1" applyFill="1" applyBorder="1" applyAlignment="1" applyProtection="1">
      <alignment horizontal="left"/>
      <protection locked="0"/>
    </xf>
    <xf numFmtId="0" fontId="23"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4" fillId="5" borderId="4" xfId="0" applyNumberFormat="1" applyFont="1" applyFill="1" applyBorder="1" applyAlignment="1" applyProtection="1">
      <alignment horizontal="right"/>
      <protection locked="0"/>
    </xf>
    <xf numFmtId="0" fontId="15" fillId="5" borderId="9" xfId="0" applyFont="1" applyFill="1" applyBorder="1" applyAlignment="1" applyProtection="1">
      <alignment horizontal="center"/>
      <protection locked="0"/>
    </xf>
    <xf numFmtId="0" fontId="15" fillId="0" borderId="3" xfId="271" applyFont="1" applyBorder="1" applyAlignment="1" applyProtection="1">
      <alignment horizontal="left"/>
    </xf>
    <xf numFmtId="0" fontId="15" fillId="0" borderId="4" xfId="271" applyFont="1" applyBorder="1" applyAlignment="1" applyProtection="1">
      <alignment horizontal="left"/>
    </xf>
    <xf numFmtId="0" fontId="15" fillId="0" borderId="5" xfId="271" applyFont="1" applyBorder="1" applyAlignment="1" applyProtection="1">
      <alignment horizontal="left"/>
    </xf>
    <xf numFmtId="168" fontId="52" fillId="0" borderId="2" xfId="0" applyNumberFormat="1" applyFont="1" applyFill="1" applyBorder="1" applyAlignment="1" applyProtection="1">
      <alignment horizontal="left" vertical="top" wrapText="1"/>
    </xf>
    <xf numFmtId="168" fontId="52" fillId="0" borderId="0" xfId="0" applyNumberFormat="1" applyFont="1" applyFill="1" applyBorder="1" applyAlignment="1" applyProtection="1">
      <alignment horizontal="left" vertical="top" wrapText="1"/>
    </xf>
    <xf numFmtId="0" fontId="34" fillId="5" borderId="6" xfId="0" applyFont="1" applyFill="1" applyBorder="1" applyAlignment="1" applyProtection="1">
      <alignment horizontal="left"/>
      <protection locked="0"/>
    </xf>
    <xf numFmtId="0" fontId="24" fillId="5" borderId="6"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15"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0" fontId="16"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4"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3" fillId="43" borderId="6" xfId="0" applyFont="1" applyFill="1" applyBorder="1" applyAlignment="1" applyProtection="1">
      <alignment horizontal="left" wrapText="1"/>
      <protection locked="0"/>
    </xf>
    <xf numFmtId="0" fontId="15"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5" fillId="5" borderId="0" xfId="244" applyFont="1" applyFill="1" applyBorder="1" applyAlignment="1" applyProtection="1">
      <alignment horizontal="left"/>
      <protection locked="0"/>
    </xf>
    <xf numFmtId="0" fontId="15" fillId="5" borderId="6" xfId="0" applyFont="1" applyFill="1" applyBorder="1" applyAlignment="1" applyProtection="1">
      <alignment horizontal="left" wrapText="1"/>
      <protection locked="0"/>
    </xf>
    <xf numFmtId="0" fontId="24" fillId="5" borderId="6" xfId="0" applyFont="1" applyFill="1" applyBorder="1" applyAlignment="1" applyProtection="1">
      <alignment horizontal="left" wrapText="1"/>
      <protection locked="0"/>
    </xf>
    <xf numFmtId="166" fontId="24" fillId="5" borderId="4"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24" fillId="5" borderId="6" xfId="271" applyNumberFormat="1" applyFont="1" applyFill="1" applyBorder="1" applyAlignment="1" applyProtection="1">
      <alignment horizontal="left"/>
      <protection locked="0"/>
    </xf>
    <xf numFmtId="0" fontId="24" fillId="0" borderId="6" xfId="0" applyFont="1" applyBorder="1" applyAlignment="1" applyProtection="1">
      <alignment horizontal="left"/>
    </xf>
    <xf numFmtId="0" fontId="15" fillId="0" borderId="6" xfId="0" applyFont="1" applyFill="1" applyBorder="1" applyAlignment="1" applyProtection="1">
      <alignment horizontal="center"/>
      <protection locked="0"/>
    </xf>
    <xf numFmtId="0" fontId="22" fillId="0" borderId="0" xfId="0" applyFont="1" applyBorder="1" applyAlignment="1" applyProtection="1">
      <alignment horizontal="center"/>
    </xf>
    <xf numFmtId="168" fontId="15"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30"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4" fillId="0" borderId="6" xfId="0" applyFont="1" applyFill="1" applyBorder="1" applyAlignment="1" applyProtection="1">
      <alignment horizontal="left" wrapText="1"/>
    </xf>
    <xf numFmtId="0" fontId="15" fillId="0" borderId="0" xfId="0" applyFont="1" applyFill="1" applyAlignment="1" applyProtection="1">
      <alignment horizontal="center"/>
    </xf>
    <xf numFmtId="0" fontId="24" fillId="0" borderId="0" xfId="0" applyFont="1" applyFill="1" applyAlignment="1" applyProtection="1">
      <alignment horizontal="center"/>
    </xf>
    <xf numFmtId="168" fontId="24" fillId="0" borderId="6" xfId="0" applyNumberFormat="1" applyFont="1" applyFill="1" applyBorder="1" applyAlignment="1" applyProtection="1">
      <alignment horizontal="center"/>
    </xf>
    <xf numFmtId="0" fontId="23"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5" fillId="0" borderId="4" xfId="0" applyFont="1" applyFill="1" applyBorder="1" applyAlignment="1" applyProtection="1">
      <alignment horizontal="left"/>
      <protection locked="0"/>
    </xf>
    <xf numFmtId="0" fontId="24"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5"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5" fillId="0" borderId="6" xfId="0" applyFont="1" applyFill="1" applyBorder="1" applyAlignment="1" applyProtection="1">
      <alignment horizontal="left"/>
    </xf>
    <xf numFmtId="0" fontId="15" fillId="43" borderId="0" xfId="0" applyFont="1" applyFill="1" applyBorder="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4" fillId="0" borderId="3" xfId="0" applyNumberFormat="1" applyFont="1" applyFill="1" applyBorder="1" applyAlignment="1" applyProtection="1">
      <alignment horizontal="center"/>
    </xf>
    <xf numFmtId="168" fontId="24" fillId="0" borderId="4" xfId="0" applyNumberFormat="1" applyFont="1" applyFill="1" applyBorder="1" applyAlignment="1" applyProtection="1">
      <alignment horizontal="center"/>
    </xf>
    <xf numFmtId="168" fontId="24" fillId="0" borderId="5" xfId="0" applyNumberFormat="1" applyFont="1" applyFill="1" applyBorder="1" applyAlignment="1" applyProtection="1">
      <alignment horizontal="center"/>
    </xf>
    <xf numFmtId="0" fontId="22" fillId="0" borderId="9" xfId="0" applyFont="1" applyBorder="1" applyAlignment="1" applyProtection="1">
      <alignment horizontal="right"/>
    </xf>
    <xf numFmtId="0" fontId="22" fillId="0" borderId="10" xfId="0" applyFont="1" applyBorder="1" applyAlignment="1" applyProtection="1">
      <alignment horizontal="right"/>
    </xf>
    <xf numFmtId="0" fontId="22" fillId="0" borderId="1" xfId="0" applyFont="1" applyBorder="1" applyAlignment="1" applyProtection="1">
      <alignment horizontal="center" wrapText="1"/>
    </xf>
    <xf numFmtId="0" fontId="22" fillId="0" borderId="8" xfId="0" applyFont="1" applyBorder="1" applyAlignment="1" applyProtection="1">
      <alignment horizontal="center" wrapText="1"/>
    </xf>
    <xf numFmtId="0" fontId="22" fillId="0" borderId="0" xfId="0" applyFont="1" applyBorder="1" applyAlignment="1" applyProtection="1">
      <alignment horizontal="center" wrapText="1"/>
    </xf>
    <xf numFmtId="0" fontId="22" fillId="0" borderId="12" xfId="0" applyFont="1" applyBorder="1" applyAlignment="1" applyProtection="1">
      <alignment horizontal="center" wrapText="1"/>
    </xf>
    <xf numFmtId="0" fontId="22" fillId="0" borderId="9"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4" fillId="5" borderId="4" xfId="0" applyFont="1" applyFill="1" applyBorder="1" applyAlignment="1" applyProtection="1">
      <alignment horizontal="right"/>
      <protection locked="0"/>
    </xf>
    <xf numFmtId="0" fontId="1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4" fillId="5" borderId="3" xfId="0" applyNumberFormat="1" applyFont="1" applyFill="1" applyBorder="1" applyAlignment="1" applyProtection="1">
      <alignment horizontal="center"/>
      <protection locked="0"/>
    </xf>
    <xf numFmtId="9" fontId="24" fillId="5" borderId="4" xfId="0" applyNumberFormat="1" applyFont="1" applyFill="1" applyBorder="1" applyAlignment="1" applyProtection="1">
      <alignment horizontal="center"/>
      <protection locked="0"/>
    </xf>
    <xf numFmtId="9" fontId="24" fillId="5" borderId="5" xfId="0" applyNumberFormat="1" applyFont="1" applyFill="1" applyBorder="1" applyAlignment="1" applyProtection="1">
      <alignment horizontal="center"/>
      <protection locked="0"/>
    </xf>
    <xf numFmtId="0" fontId="24" fillId="0" borderId="11" xfId="0" applyFont="1" applyFill="1" applyBorder="1" applyAlignment="1" applyProtection="1">
      <alignment horizontal="center"/>
    </xf>
    <xf numFmtId="0" fontId="15" fillId="0" borderId="0" xfId="0" applyFont="1" applyFill="1" applyBorder="1" applyAlignment="1" applyProtection="1">
      <alignment horizontal="left" wrapText="1"/>
    </xf>
    <xf numFmtId="0" fontId="22" fillId="0" borderId="0" xfId="0" applyFont="1" applyAlignment="1" applyProtection="1">
      <alignment horizontal="center" vertical="center"/>
    </xf>
    <xf numFmtId="1" fontId="24" fillId="0" borderId="3" xfId="0" applyNumberFormat="1" applyFont="1" applyFill="1" applyBorder="1" applyAlignment="1" applyProtection="1">
      <alignment horizontal="center"/>
    </xf>
    <xf numFmtId="1" fontId="24" fillId="0" borderId="4" xfId="0" applyNumberFormat="1" applyFont="1" applyFill="1" applyBorder="1" applyAlignment="1" applyProtection="1">
      <alignment horizontal="center"/>
    </xf>
    <xf numFmtId="1" fontId="24" fillId="0" borderId="5" xfId="0" applyNumberFormat="1" applyFont="1" applyFill="1" applyBorder="1" applyAlignment="1" applyProtection="1">
      <alignment horizont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34" fillId="5" borderId="3" xfId="0" applyFont="1" applyFill="1" applyBorder="1" applyAlignment="1" applyProtection="1">
      <alignment horizontal="left"/>
      <protection locked="0"/>
    </xf>
    <xf numFmtId="0" fontId="34" fillId="5" borderId="4" xfId="0" applyFont="1" applyFill="1" applyBorder="1" applyAlignment="1" applyProtection="1">
      <alignment horizontal="left"/>
      <protection locked="0"/>
    </xf>
    <xf numFmtId="0" fontId="34"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4" fontId="34" fillId="5" borderId="3" xfId="0" applyNumberFormat="1" applyFont="1" applyFill="1" applyBorder="1" applyAlignment="1" applyProtection="1">
      <alignment horizontal="left"/>
      <protection locked="0"/>
    </xf>
    <xf numFmtId="164" fontId="34" fillId="5" borderId="4" xfId="0" applyNumberFormat="1" applyFont="1" applyFill="1" applyBorder="1" applyAlignment="1" applyProtection="1">
      <alignment horizontal="left"/>
      <protection locked="0"/>
    </xf>
    <xf numFmtId="164" fontId="34" fillId="5" borderId="5" xfId="0" applyNumberFormat="1" applyFont="1" applyFill="1" applyBorder="1" applyAlignment="1" applyProtection="1">
      <alignment horizontal="left"/>
      <protection locked="0"/>
    </xf>
    <xf numFmtId="0" fontId="167" fillId="44" borderId="8" xfId="0" applyFont="1" applyFill="1" applyBorder="1" applyAlignment="1" applyProtection="1">
      <alignment horizontal="center" vertical="top" wrapText="1"/>
    </xf>
    <xf numFmtId="0" fontId="167" fillId="44" borderId="0" xfId="0" applyFont="1" applyFill="1" applyBorder="1" applyAlignment="1" applyProtection="1">
      <alignment horizontal="center" vertical="top" wrapText="1"/>
    </xf>
    <xf numFmtId="9" fontId="167" fillId="44" borderId="8" xfId="0" applyNumberFormat="1" applyFont="1" applyFill="1" applyBorder="1" applyAlignment="1" applyProtection="1">
      <alignment horizontal="center"/>
    </xf>
    <xf numFmtId="9" fontId="167" fillId="44" borderId="0" xfId="0" applyNumberFormat="1" applyFont="1" applyFill="1" applyBorder="1" applyAlignment="1" applyProtection="1">
      <alignment horizontal="center"/>
    </xf>
    <xf numFmtId="171" fontId="15"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5" fillId="0" borderId="0" xfId="543" applyNumberFormat="1" applyFont="1" applyFill="1" applyBorder="1" applyAlignment="1" applyProtection="1">
      <alignment horizontal="center" vertical="center"/>
    </xf>
    <xf numFmtId="0" fontId="22" fillId="0" borderId="2"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6" xfId="0" applyFont="1" applyFill="1" applyBorder="1" applyAlignment="1" applyProtection="1">
      <alignment horizontal="center" wrapText="1"/>
    </xf>
    <xf numFmtId="0" fontId="22" fillId="0" borderId="10" xfId="0" applyFont="1" applyFill="1" applyBorder="1" applyAlignment="1" applyProtection="1">
      <alignment horizontal="center" wrapText="1"/>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6" xfId="0" applyFont="1" applyBorder="1" applyAlignment="1" applyProtection="1">
      <alignment horizontal="center"/>
    </xf>
    <xf numFmtId="171" fontId="15" fillId="0" borderId="0" xfId="543" applyNumberFormat="1" applyFont="1" applyBorder="1" applyAlignment="1" applyProtection="1">
      <alignment horizontal="right"/>
    </xf>
    <xf numFmtId="2" fontId="15" fillId="0" borderId="0" xfId="543" applyNumberFormat="1" applyFont="1" applyBorder="1" applyAlignment="1" applyProtection="1">
      <alignment horizontal="center"/>
    </xf>
    <xf numFmtId="0" fontId="15" fillId="0" borderId="0" xfId="543" applyFont="1" applyBorder="1" applyAlignment="1" applyProtection="1">
      <alignment horizontal="center"/>
    </xf>
    <xf numFmtId="2" fontId="15" fillId="0" borderId="0" xfId="543"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5" fillId="0" borderId="0" xfId="543" applyFont="1" applyFill="1" applyAlignment="1" applyProtection="1">
      <alignment horizontal="center"/>
    </xf>
    <xf numFmtId="0" fontId="15" fillId="5" borderId="3" xfId="0" applyNumberFormat="1" applyFont="1" applyFill="1" applyBorder="1" applyAlignment="1" applyProtection="1">
      <alignment horizontal="right"/>
      <protection locked="0"/>
    </xf>
    <xf numFmtId="0" fontId="15" fillId="5" borderId="4" xfId="0" applyNumberFormat="1" applyFont="1" applyFill="1" applyBorder="1" applyAlignment="1" applyProtection="1">
      <alignment horizontal="right"/>
      <protection locked="0"/>
    </xf>
    <xf numFmtId="0" fontId="15" fillId="5" borderId="5" xfId="0" applyNumberFormat="1" applyFont="1" applyFill="1" applyBorder="1" applyAlignment="1" applyProtection="1">
      <alignment horizontal="right"/>
      <protection locked="0"/>
    </xf>
    <xf numFmtId="0" fontId="52" fillId="5" borderId="3" xfId="0" applyNumberFormat="1" applyFont="1" applyFill="1" applyBorder="1" applyAlignment="1" applyProtection="1">
      <alignment horizontal="right"/>
      <protection locked="0"/>
    </xf>
    <xf numFmtId="0" fontId="52" fillId="5" borderId="4" xfId="0" applyNumberFormat="1" applyFont="1" applyFill="1" applyBorder="1" applyAlignment="1" applyProtection="1">
      <alignment horizontal="right"/>
      <protection locked="0"/>
    </xf>
    <xf numFmtId="0" fontId="52" fillId="5" borderId="5" xfId="0" applyNumberFormat="1" applyFont="1" applyFill="1" applyBorder="1" applyAlignment="1" applyProtection="1">
      <alignment horizontal="righ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52" fillId="5" borderId="3" xfId="0" applyNumberFormat="1" applyFont="1" applyFill="1" applyBorder="1" applyAlignment="1" applyProtection="1">
      <alignment horizontal="center"/>
      <protection locked="0"/>
    </xf>
    <xf numFmtId="0" fontId="52" fillId="5" borderId="4" xfId="0" applyNumberFormat="1" applyFont="1" applyFill="1" applyBorder="1" applyAlignment="1" applyProtection="1">
      <alignment horizontal="center"/>
      <protection locked="0"/>
    </xf>
    <xf numFmtId="0" fontId="52" fillId="5" borderId="5" xfId="0" applyNumberFormat="1" applyFont="1" applyFill="1" applyBorder="1" applyAlignment="1" applyProtection="1">
      <alignment horizontal="center"/>
      <protection locked="0"/>
    </xf>
    <xf numFmtId="0" fontId="15" fillId="5" borderId="3" xfId="0" applyFont="1" applyFill="1" applyBorder="1" applyAlignment="1" applyProtection="1">
      <protection locked="0"/>
    </xf>
    <xf numFmtId="0" fontId="24" fillId="0" borderId="4" xfId="0" applyFont="1" applyBorder="1" applyAlignment="1" applyProtection="1">
      <protection locked="0"/>
    </xf>
    <xf numFmtId="0" fontId="24" fillId="0" borderId="5" xfId="0" applyFont="1" applyBorder="1" applyAlignment="1" applyProtection="1">
      <protection locked="0"/>
    </xf>
    <xf numFmtId="0" fontId="22" fillId="0" borderId="2" xfId="0" applyFont="1" applyBorder="1" applyAlignment="1" applyProtection="1">
      <alignment horizontal="right"/>
    </xf>
    <xf numFmtId="0" fontId="22"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2" fillId="0" borderId="17" xfId="0" applyFont="1" applyFill="1" applyBorder="1" applyAlignment="1" applyProtection="1">
      <alignment horizontal="center"/>
    </xf>
    <xf numFmtId="164" fontId="23"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23" fillId="5" borderId="3" xfId="0" applyFont="1" applyFill="1" applyBorder="1" applyAlignment="1" applyProtection="1">
      <alignment horizontal="left"/>
      <protection locked="0"/>
    </xf>
    <xf numFmtId="168" fontId="15" fillId="0" borderId="11" xfId="543" applyNumberFormat="1" applyFont="1" applyFill="1" applyBorder="1" applyAlignment="1" applyProtection="1">
      <alignment horizontal="center"/>
    </xf>
    <xf numFmtId="0" fontId="15"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165" fontId="24" fillId="0" borderId="1" xfId="0" applyNumberFormat="1" applyFont="1" applyBorder="1" applyAlignment="1" applyProtection="1">
      <alignment horizontal="right"/>
    </xf>
    <xf numFmtId="165" fontId="24" fillId="0" borderId="2" xfId="0" applyNumberFormat="1" applyFont="1" applyBorder="1" applyAlignment="1" applyProtection="1">
      <alignment horizontal="right"/>
    </xf>
    <xf numFmtId="165" fontId="24" fillId="0" borderId="7" xfId="0" applyNumberFormat="1" applyFont="1" applyBorder="1" applyAlignment="1" applyProtection="1">
      <alignment horizontal="right"/>
    </xf>
    <xf numFmtId="0" fontId="15" fillId="5" borderId="3" xfId="0" applyFont="1" applyFill="1" applyBorder="1" applyAlignment="1" applyProtection="1">
      <alignment horizontal="center"/>
      <protection locked="0"/>
    </xf>
    <xf numFmtId="0" fontId="34" fillId="5" borderId="3" xfId="543" applyFont="1" applyFill="1" applyBorder="1" applyAlignment="1" applyProtection="1">
      <alignment horizontal="center"/>
    </xf>
    <xf numFmtId="0" fontId="34" fillId="5" borderId="4" xfId="543" applyFont="1" applyFill="1" applyBorder="1" applyAlignment="1" applyProtection="1">
      <alignment horizontal="center"/>
    </xf>
    <xf numFmtId="0" fontId="34" fillId="5" borderId="5" xfId="543" applyFont="1" applyFill="1" applyBorder="1" applyAlignment="1" applyProtection="1">
      <alignment horizontal="center"/>
    </xf>
    <xf numFmtId="49" fontId="15" fillId="5" borderId="3" xfId="543" applyNumberFormat="1" applyFont="1" applyFill="1" applyBorder="1" applyAlignment="1" applyProtection="1">
      <alignment horizontal="center"/>
    </xf>
    <xf numFmtId="49" fontId="15" fillId="5" borderId="5" xfId="543" applyNumberFormat="1" applyFont="1" applyFill="1" applyBorder="1" applyAlignment="1" applyProtection="1">
      <alignment horizontal="center"/>
    </xf>
    <xf numFmtId="0" fontId="24" fillId="0" borderId="11" xfId="0" applyFont="1" applyFill="1" applyBorder="1" applyAlignment="1" applyProtection="1">
      <alignment horizontal="center" vertical="top" wrapText="1"/>
    </xf>
    <xf numFmtId="165" fontId="22" fillId="0" borderId="3" xfId="271" applyNumberFormat="1" applyFont="1" applyBorder="1" applyAlignment="1" applyProtection="1">
      <alignment horizontal="center"/>
    </xf>
    <xf numFmtId="165" fontId="22" fillId="0" borderId="4" xfId="271" applyNumberFormat="1" applyFont="1" applyBorder="1" applyAlignment="1" applyProtection="1">
      <alignment horizontal="center"/>
    </xf>
    <xf numFmtId="165" fontId="22" fillId="0" borderId="5" xfId="271" applyNumberFormat="1" applyFont="1" applyBorder="1" applyAlignment="1" applyProtection="1">
      <alignment horizontal="center"/>
    </xf>
    <xf numFmtId="0" fontId="22" fillId="0" borderId="11" xfId="0" applyFont="1" applyBorder="1" applyAlignment="1" applyProtection="1">
      <alignment horizont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4" fillId="2" borderId="11" xfId="0" applyFont="1" applyFill="1" applyBorder="1" applyAlignment="1" applyProtection="1">
      <alignment horizontal="center"/>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7" xfId="0" applyFont="1" applyBorder="1" applyAlignment="1" applyProtection="1">
      <alignment horizontal="center"/>
    </xf>
    <xf numFmtId="0" fontId="22" fillId="0" borderId="8" xfId="0" applyFont="1" applyBorder="1" applyAlignment="1" applyProtection="1">
      <alignment horizontal="center"/>
    </xf>
    <xf numFmtId="0" fontId="22" fillId="0" borderId="12" xfId="0" applyFont="1" applyBorder="1" applyAlignment="1" applyProtection="1">
      <alignment horizontal="center"/>
    </xf>
    <xf numFmtId="0" fontId="22" fillId="0" borderId="9" xfId="0" applyFont="1" applyBorder="1" applyAlignment="1" applyProtection="1">
      <alignment horizontal="center"/>
    </xf>
    <xf numFmtId="0" fontId="24" fillId="5" borderId="5"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15" fillId="0" borderId="3" xfId="543" applyFont="1" applyFill="1" applyBorder="1" applyAlignment="1" applyProtection="1">
      <alignment horizontal="center"/>
    </xf>
    <xf numFmtId="0" fontId="15" fillId="0" borderId="4" xfId="543" applyFont="1" applyFill="1" applyBorder="1" applyAlignment="1" applyProtection="1">
      <alignment horizontal="center"/>
    </xf>
    <xf numFmtId="0" fontId="15" fillId="0" borderId="5" xfId="543" applyFont="1" applyFill="1" applyBorder="1" applyAlignment="1" applyProtection="1">
      <alignment horizontal="center"/>
    </xf>
    <xf numFmtId="175" fontId="52" fillId="5" borderId="3" xfId="0" applyNumberFormat="1" applyFont="1" applyFill="1" applyBorder="1" applyAlignment="1" applyProtection="1">
      <alignment horizontal="center"/>
      <protection locked="0"/>
    </xf>
    <xf numFmtId="175" fontId="52" fillId="5" borderId="4" xfId="0" applyNumberFormat="1" applyFont="1" applyFill="1" applyBorder="1" applyAlignment="1" applyProtection="1">
      <alignment horizontal="center"/>
      <protection locked="0"/>
    </xf>
    <xf numFmtId="175" fontId="52" fillId="5" borderId="5" xfId="0" applyNumberFormat="1" applyFont="1" applyFill="1" applyBorder="1" applyAlignment="1" applyProtection="1">
      <alignment horizontal="center"/>
      <protection locked="0"/>
    </xf>
    <xf numFmtId="168" fontId="24"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4" fillId="0" borderId="0" xfId="0" applyFont="1" applyAlignment="1" applyProtection="1">
      <alignment horizontal="left" vertical="top" wrapText="1"/>
    </xf>
    <xf numFmtId="172" fontId="0" fillId="5" borderId="6" xfId="0" applyNumberFormat="1" applyFill="1" applyBorder="1" applyAlignment="1" applyProtection="1">
      <alignment horizontal="center"/>
      <protection locked="0"/>
    </xf>
    <xf numFmtId="168" fontId="15" fillId="10" borderId="3" xfId="543" applyNumberFormat="1" applyFont="1" applyFill="1" applyBorder="1" applyAlignment="1" applyProtection="1">
      <alignment horizontal="center"/>
    </xf>
    <xf numFmtId="168" fontId="15" fillId="10" borderId="4" xfId="543" applyNumberFormat="1" applyFont="1" applyFill="1" applyBorder="1" applyAlignment="1" applyProtection="1">
      <alignment horizontal="center"/>
    </xf>
    <xf numFmtId="168" fontId="15" fillId="10" borderId="5" xfId="543" applyNumberFormat="1" applyFont="1" applyFill="1" applyBorder="1" applyAlignment="1" applyProtection="1">
      <alignment horizontal="center"/>
    </xf>
    <xf numFmtId="3" fontId="43" fillId="10" borderId="6" xfId="543"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24" fillId="0" borderId="3" xfId="0" applyFont="1" applyFill="1" applyBorder="1" applyAlignment="1" applyProtection="1">
      <alignment horizontal="center"/>
    </xf>
    <xf numFmtId="0" fontId="24" fillId="0" borderId="4" xfId="0" applyFont="1" applyFill="1" applyBorder="1" applyAlignment="1" applyProtection="1">
      <alignment horizontal="center"/>
    </xf>
    <xf numFmtId="0" fontId="24" fillId="0" borderId="5" xfId="0" applyFont="1" applyFill="1" applyBorder="1" applyAlignment="1" applyProtection="1">
      <alignment horizontal="center"/>
    </xf>
    <xf numFmtId="171" fontId="15"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8" fillId="0" borderId="0" xfId="0" applyFont="1" applyBorder="1" applyAlignment="1" applyProtection="1">
      <alignment horizontal="center"/>
    </xf>
    <xf numFmtId="0" fontId="15"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1" fillId="0" borderId="1" xfId="0" applyFont="1" applyBorder="1" applyAlignment="1" applyProtection="1">
      <alignment horizontal="center" wrapText="1"/>
    </xf>
    <xf numFmtId="0" fontId="31" fillId="0" borderId="2" xfId="0" applyFont="1" applyBorder="1" applyAlignment="1" applyProtection="1">
      <alignment horizontal="center" wrapText="1"/>
    </xf>
    <xf numFmtId="0" fontId="31" fillId="0" borderId="7" xfId="0" applyFont="1" applyBorder="1" applyAlignment="1" applyProtection="1">
      <alignment horizontal="center" wrapText="1"/>
    </xf>
    <xf numFmtId="0" fontId="31" fillId="0" borderId="8" xfId="0" applyFont="1" applyBorder="1" applyAlignment="1" applyProtection="1">
      <alignment horizontal="center" wrapText="1"/>
    </xf>
    <xf numFmtId="0" fontId="31" fillId="0" borderId="0" xfId="0" applyFont="1" applyBorder="1" applyAlignment="1" applyProtection="1">
      <alignment horizontal="center" wrapText="1"/>
    </xf>
    <xf numFmtId="0" fontId="31" fillId="0" borderId="12" xfId="0" applyFont="1" applyBorder="1" applyAlignment="1" applyProtection="1">
      <alignment horizontal="center" wrapText="1"/>
    </xf>
    <xf numFmtId="0" fontId="31" fillId="0" borderId="9" xfId="0" applyFont="1" applyBorder="1" applyAlignment="1" applyProtection="1">
      <alignment horizontal="center" wrapText="1"/>
    </xf>
    <xf numFmtId="0" fontId="31" fillId="0" borderId="6" xfId="0" applyFont="1" applyBorder="1" applyAlignment="1" applyProtection="1">
      <alignment horizontal="center" wrapText="1"/>
    </xf>
    <xf numFmtId="0" fontId="31"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4" fontId="15" fillId="5" borderId="4" xfId="0" applyNumberFormat="1" applyFont="1" applyFill="1" applyBorder="1" applyAlignment="1" applyProtection="1">
      <alignment horizontal="right"/>
      <protection locked="0"/>
    </xf>
    <xf numFmtId="14" fontId="24" fillId="5" borderId="4" xfId="0" applyNumberFormat="1" applyFont="1" applyFill="1" applyBorder="1" applyAlignment="1" applyProtection="1">
      <alignment horizontal="right"/>
      <protection locked="0"/>
    </xf>
    <xf numFmtId="0" fontId="53" fillId="0" borderId="1" xfId="0" applyFont="1" applyBorder="1" applyAlignment="1" applyProtection="1">
      <alignment horizontal="center" wrapText="1"/>
    </xf>
    <xf numFmtId="0" fontId="53" fillId="0" borderId="2" xfId="0" applyFont="1" applyBorder="1" applyAlignment="1" applyProtection="1">
      <alignment horizontal="center" wrapText="1"/>
    </xf>
    <xf numFmtId="0" fontId="53" fillId="0" borderId="7" xfId="0" applyFont="1" applyBorder="1" applyAlignment="1" applyProtection="1">
      <alignment horizontal="center" wrapText="1"/>
    </xf>
    <xf numFmtId="0" fontId="53" fillId="0" borderId="8" xfId="0" applyFont="1" applyBorder="1" applyAlignment="1" applyProtection="1">
      <alignment horizontal="center" wrapText="1"/>
    </xf>
    <xf numFmtId="0" fontId="53" fillId="0" borderId="0" xfId="0" applyFont="1" applyBorder="1" applyAlignment="1" applyProtection="1">
      <alignment horizontal="center" wrapText="1"/>
    </xf>
    <xf numFmtId="0" fontId="53" fillId="0" borderId="12" xfId="0" applyFont="1" applyBorder="1" applyAlignment="1" applyProtection="1">
      <alignment horizontal="center" wrapText="1"/>
    </xf>
    <xf numFmtId="0" fontId="53" fillId="0" borderId="9" xfId="0" applyFont="1" applyBorder="1" applyAlignment="1" applyProtection="1">
      <alignment horizontal="center" wrapText="1"/>
    </xf>
    <xf numFmtId="0" fontId="53" fillId="0" borderId="6" xfId="0" applyFont="1" applyBorder="1" applyAlignment="1" applyProtection="1">
      <alignment horizontal="center" wrapText="1"/>
    </xf>
    <xf numFmtId="0" fontId="53" fillId="0" borderId="10" xfId="0" applyFont="1" applyBorder="1" applyAlignment="1" applyProtection="1">
      <alignment horizontal="center" wrapText="1"/>
    </xf>
    <xf numFmtId="0" fontId="24" fillId="0" borderId="3" xfId="0" applyFont="1" applyBorder="1" applyAlignment="1" applyProtection="1">
      <alignment horizontal="left"/>
    </xf>
    <xf numFmtId="168" fontId="0" fillId="0" borderId="11" xfId="0" applyNumberFormat="1" applyFill="1" applyBorder="1" applyAlignment="1" applyProtection="1"/>
    <xf numFmtId="0" fontId="22"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3" borderId="0" xfId="0" applyFont="1" applyFill="1" applyBorder="1" applyAlignment="1" applyProtection="1">
      <alignment horizontal="center" vertical="center"/>
    </xf>
    <xf numFmtId="0" fontId="22" fillId="0" borderId="3" xfId="0" applyFont="1" applyFill="1" applyBorder="1" applyAlignment="1" applyProtection="1">
      <alignment horizontal="right"/>
    </xf>
    <xf numFmtId="0" fontId="22" fillId="0" borderId="4" xfId="0" applyFont="1" applyFill="1" applyBorder="1" applyAlignment="1" applyProtection="1">
      <alignment horizontal="right"/>
    </xf>
    <xf numFmtId="0" fontId="22" fillId="0" borderId="5" xfId="0" applyFont="1" applyFill="1" applyBorder="1" applyAlignment="1" applyProtection="1">
      <alignment horizontal="right"/>
    </xf>
    <xf numFmtId="0" fontId="24" fillId="5" borderId="6" xfId="271" applyFont="1" applyFill="1" applyBorder="1" applyAlignment="1" applyProtection="1">
      <protection locked="0"/>
    </xf>
    <xf numFmtId="0" fontId="35" fillId="0" borderId="4" xfId="543" applyNumberFormat="1" applyFont="1" applyBorder="1" applyAlignment="1" applyProtection="1">
      <alignment horizontal="right" vertical="top" wrapText="1"/>
    </xf>
    <xf numFmtId="0" fontId="35" fillId="0" borderId="5" xfId="543" applyNumberFormat="1" applyFont="1" applyBorder="1" applyAlignment="1" applyProtection="1">
      <alignment horizontal="right" vertical="top" wrapText="1"/>
    </xf>
    <xf numFmtId="0" fontId="22" fillId="0" borderId="8" xfId="543" applyFont="1" applyBorder="1" applyAlignment="1" applyProtection="1">
      <alignment horizontal="left" vertical="center" wrapText="1"/>
    </xf>
    <xf numFmtId="0" fontId="22" fillId="0" borderId="0" xfId="543" applyFont="1" applyBorder="1" applyAlignment="1" applyProtection="1">
      <alignment horizontal="left" vertical="center" wrapText="1"/>
    </xf>
    <xf numFmtId="0" fontId="22" fillId="0" borderId="12" xfId="543" applyFont="1" applyBorder="1" applyAlignment="1" applyProtection="1">
      <alignment horizontal="left" vertical="center"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23" fillId="0" borderId="3" xfId="543" applyFont="1" applyFill="1" applyBorder="1" applyAlignment="1" applyProtection="1">
      <alignment horizontal="center"/>
    </xf>
    <xf numFmtId="0" fontId="23" fillId="0" borderId="5" xfId="543" applyFont="1" applyFill="1" applyBorder="1" applyAlignment="1" applyProtection="1">
      <alignment horizontal="center"/>
    </xf>
    <xf numFmtId="1" fontId="23" fillId="0" borderId="3" xfId="543" applyNumberFormat="1" applyFont="1" applyFill="1" applyBorder="1" applyAlignment="1" applyProtection="1">
      <alignment horizontal="center"/>
    </xf>
    <xf numFmtId="1" fontId="23" fillId="0" borderId="5"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5" xfId="543" applyFont="1" applyFill="1" applyBorder="1" applyAlignment="1" applyProtection="1">
      <alignment horizontal="center"/>
    </xf>
    <xf numFmtId="0" fontId="34" fillId="5" borderId="3" xfId="543" applyFont="1" applyFill="1" applyBorder="1" applyAlignment="1" applyProtection="1">
      <alignment horizontal="center"/>
      <protection locked="0"/>
    </xf>
    <xf numFmtId="0" fontId="34" fillId="5" borderId="5" xfId="543" applyFont="1" applyFill="1" applyBorder="1" applyAlignment="1" applyProtection="1">
      <alignment horizontal="center"/>
      <protection locked="0"/>
    </xf>
    <xf numFmtId="0" fontId="34" fillId="5" borderId="9" xfId="543" applyFont="1" applyFill="1" applyBorder="1" applyAlignment="1" applyProtection="1">
      <alignment horizontal="center"/>
      <protection locked="0"/>
    </xf>
    <xf numFmtId="0" fontId="34" fillId="5" borderId="10" xfId="543" applyFont="1" applyFill="1" applyBorder="1" applyAlignment="1" applyProtection="1">
      <alignment horizontal="center"/>
      <protection locked="0"/>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168" fontId="15" fillId="0" borderId="1" xfId="543" applyNumberFormat="1" applyFont="1" applyBorder="1" applyAlignment="1" applyProtection="1">
      <alignment horizontal="center" vertical="center"/>
    </xf>
    <xf numFmtId="168" fontId="15" fillId="0" borderId="2" xfId="543" applyNumberFormat="1" applyFont="1" applyBorder="1" applyAlignment="1" applyProtection="1">
      <alignment horizontal="center" vertical="center"/>
    </xf>
    <xf numFmtId="168" fontId="15" fillId="0" borderId="7" xfId="543" applyNumberFormat="1" applyFont="1" applyBorder="1" applyAlignment="1" applyProtection="1">
      <alignment horizontal="center" vertical="center"/>
    </xf>
    <xf numFmtId="168" fontId="15" fillId="0" borderId="8" xfId="543" applyNumberFormat="1" applyFont="1" applyBorder="1" applyAlignment="1" applyProtection="1">
      <alignment horizontal="center" vertical="center"/>
    </xf>
    <xf numFmtId="168" fontId="15" fillId="0" borderId="0" xfId="543" applyNumberFormat="1" applyFont="1" applyBorder="1" applyAlignment="1" applyProtection="1">
      <alignment horizontal="center" vertical="center"/>
    </xf>
    <xf numFmtId="168" fontId="15" fillId="0" borderId="12" xfId="543" applyNumberFormat="1" applyFont="1" applyBorder="1" applyAlignment="1" applyProtection="1">
      <alignment horizontal="center" vertical="center"/>
    </xf>
    <xf numFmtId="168" fontId="15" fillId="0" borderId="9" xfId="543" applyNumberFormat="1" applyFont="1" applyBorder="1" applyAlignment="1" applyProtection="1">
      <alignment horizontal="center" vertical="center"/>
    </xf>
    <xf numFmtId="168" fontId="15" fillId="0" borderId="6" xfId="543" applyNumberFormat="1" applyFont="1" applyBorder="1" applyAlignment="1" applyProtection="1">
      <alignment horizontal="center" vertical="center"/>
    </xf>
    <xf numFmtId="168" fontId="15" fillId="0" borderId="10" xfId="543" applyNumberFormat="1" applyFont="1" applyBorder="1" applyAlignment="1" applyProtection="1">
      <alignment horizontal="center" vertical="center"/>
    </xf>
    <xf numFmtId="168" fontId="22" fillId="0" borderId="3" xfId="543" applyNumberFormat="1" applyFont="1" applyFill="1" applyBorder="1" applyAlignment="1" applyProtection="1">
      <alignment horizontal="center" vertical="center"/>
    </xf>
    <xf numFmtId="168" fontId="22" fillId="0" borderId="4" xfId="543" applyNumberFormat="1" applyFont="1" applyFill="1" applyBorder="1" applyAlignment="1" applyProtection="1">
      <alignment horizontal="center" vertical="center"/>
    </xf>
    <xf numFmtId="168" fontId="22" fillId="0" borderId="5" xfId="543" applyNumberFormat="1" applyFont="1" applyFill="1" applyBorder="1" applyAlignment="1" applyProtection="1">
      <alignment horizontal="center" vertical="center"/>
    </xf>
    <xf numFmtId="0" fontId="15" fillId="0" borderId="8" xfId="0" applyFont="1" applyBorder="1" applyAlignment="1">
      <alignment horizontal="left" wrapText="1"/>
    </xf>
    <xf numFmtId="0" fontId="15" fillId="0" borderId="0"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168" fontId="15" fillId="0" borderId="7" xfId="543" applyNumberFormat="1" applyFont="1" applyFill="1" applyBorder="1" applyAlignment="1" applyProtection="1">
      <alignment horizontal="center" vertical="center"/>
    </xf>
    <xf numFmtId="168" fontId="15" fillId="0" borderId="8" xfId="543" applyNumberFormat="1" applyFont="1" applyFill="1" applyBorder="1" applyAlignment="1" applyProtection="1">
      <alignment horizontal="center" vertical="center"/>
    </xf>
    <xf numFmtId="168" fontId="15" fillId="0" borderId="0" xfId="543" applyNumberFormat="1" applyFont="1" applyFill="1" applyBorder="1" applyAlignment="1" applyProtection="1">
      <alignment horizontal="center" vertical="center"/>
    </xf>
    <xf numFmtId="168" fontId="15" fillId="0" borderId="12" xfId="543" applyNumberFormat="1" applyFont="1" applyFill="1" applyBorder="1" applyAlignment="1" applyProtection="1">
      <alignment horizontal="center" vertical="center"/>
    </xf>
    <xf numFmtId="168" fontId="15" fillId="0" borderId="9" xfId="543" applyNumberFormat="1" applyFont="1" applyFill="1" applyBorder="1" applyAlignment="1" applyProtection="1">
      <alignment horizontal="center" vertical="center"/>
    </xf>
    <xf numFmtId="168" fontId="15" fillId="0" borderId="6" xfId="543" applyNumberFormat="1" applyFont="1" applyFill="1" applyBorder="1" applyAlignment="1" applyProtection="1">
      <alignment horizontal="center" vertical="center"/>
    </xf>
    <xf numFmtId="168" fontId="15" fillId="0" borderId="10" xfId="543" applyNumberFormat="1" applyFont="1" applyFill="1" applyBorder="1" applyAlignment="1" applyProtection="1">
      <alignment horizontal="center" vertical="center"/>
    </xf>
    <xf numFmtId="0" fontId="15" fillId="2" borderId="3" xfId="543" applyFont="1" applyFill="1" applyBorder="1" applyAlignment="1" applyProtection="1">
      <alignment horizontal="center"/>
    </xf>
    <xf numFmtId="0" fontId="15" fillId="2" borderId="4" xfId="543" applyFont="1" applyFill="1" applyBorder="1" applyAlignment="1" applyProtection="1">
      <alignment horizontal="center"/>
    </xf>
    <xf numFmtId="0" fontId="15" fillId="2" borderId="5" xfId="543" applyFont="1" applyFill="1" applyBorder="1" applyAlignment="1" applyProtection="1">
      <alignment horizontal="center"/>
    </xf>
    <xf numFmtId="0" fontId="22" fillId="0" borderId="1" xfId="543" applyFont="1" applyBorder="1" applyAlignment="1" applyProtection="1">
      <alignment horizontal="left" vertical="center" wrapText="1"/>
    </xf>
    <xf numFmtId="0" fontId="22" fillId="0" borderId="2" xfId="543" applyFont="1" applyBorder="1" applyAlignment="1" applyProtection="1">
      <alignment horizontal="left" vertical="center" wrapText="1"/>
    </xf>
    <xf numFmtId="0" fontId="22" fillId="0" borderId="7" xfId="543" applyFont="1" applyBorder="1" applyAlignment="1" applyProtection="1">
      <alignment horizontal="left" vertical="center" wrapText="1"/>
    </xf>
    <xf numFmtId="9" fontId="15" fillId="5" borderId="3" xfId="0" applyNumberFormat="1" applyFont="1" applyFill="1" applyBorder="1" applyAlignment="1" applyProtection="1">
      <alignment horizontal="right"/>
      <protection locked="0"/>
    </xf>
    <xf numFmtId="0" fontId="36" fillId="0" borderId="3" xfId="543" applyFont="1" applyFill="1" applyBorder="1" applyAlignment="1" applyProtection="1">
      <alignment horizontal="center"/>
    </xf>
    <xf numFmtId="0" fontId="36" fillId="0" borderId="4" xfId="543" applyFont="1" applyFill="1" applyBorder="1" applyAlignment="1" applyProtection="1">
      <alignment horizontal="center"/>
    </xf>
    <xf numFmtId="0" fontId="36" fillId="0" borderId="5" xfId="543" applyFont="1" applyFill="1" applyBorder="1" applyAlignment="1" applyProtection="1">
      <alignment horizontal="center"/>
    </xf>
    <xf numFmtId="1" fontId="15" fillId="0" borderId="3" xfId="543" applyNumberFormat="1" applyFont="1" applyFill="1" applyBorder="1" applyAlignment="1" applyProtection="1">
      <alignment horizontal="center"/>
    </xf>
    <xf numFmtId="1" fontId="15" fillId="0" borderId="4"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5" fillId="5" borderId="1" xfId="543" applyNumberFormat="1" applyFont="1" applyFill="1" applyBorder="1" applyAlignment="1" applyProtection="1">
      <alignment horizontal="center" vertical="center"/>
      <protection locked="0"/>
    </xf>
    <xf numFmtId="168" fontId="15" fillId="5" borderId="2" xfId="543" applyNumberFormat="1" applyFont="1" applyFill="1" applyBorder="1" applyAlignment="1" applyProtection="1">
      <alignment horizontal="center" vertical="center"/>
      <protection locked="0"/>
    </xf>
    <xf numFmtId="168" fontId="15" fillId="5" borderId="7" xfId="543" applyNumberFormat="1" applyFont="1" applyFill="1" applyBorder="1" applyAlignment="1" applyProtection="1">
      <alignment horizontal="center" vertical="center"/>
      <protection locked="0"/>
    </xf>
    <xf numFmtId="168" fontId="15" fillId="5" borderId="8" xfId="543" applyNumberFormat="1" applyFont="1" applyFill="1" applyBorder="1" applyAlignment="1" applyProtection="1">
      <alignment horizontal="center" vertical="center"/>
      <protection locked="0"/>
    </xf>
    <xf numFmtId="168" fontId="15" fillId="5" borderId="0" xfId="543" applyNumberFormat="1" applyFont="1" applyFill="1" applyBorder="1" applyAlignment="1" applyProtection="1">
      <alignment horizontal="center" vertical="center"/>
      <protection locked="0"/>
    </xf>
    <xf numFmtId="168" fontId="15" fillId="5" borderId="12" xfId="543" applyNumberFormat="1" applyFont="1" applyFill="1" applyBorder="1" applyAlignment="1" applyProtection="1">
      <alignment horizontal="center" vertical="center"/>
      <protection locked="0"/>
    </xf>
    <xf numFmtId="168" fontId="15" fillId="5" borderId="9" xfId="543" applyNumberFormat="1" applyFont="1" applyFill="1" applyBorder="1" applyAlignment="1" applyProtection="1">
      <alignment horizontal="center" vertical="center"/>
      <protection locked="0"/>
    </xf>
    <xf numFmtId="168" fontId="15" fillId="5" borderId="6" xfId="543" applyNumberFormat="1" applyFont="1" applyFill="1" applyBorder="1" applyAlignment="1" applyProtection="1">
      <alignment horizontal="center" vertical="center"/>
      <protection locked="0"/>
    </xf>
    <xf numFmtId="168" fontId="15" fillId="5" borderId="10" xfId="543" applyNumberFormat="1" applyFont="1" applyFill="1" applyBorder="1" applyAlignment="1" applyProtection="1">
      <alignment horizontal="center" vertical="center"/>
      <protection locked="0"/>
    </xf>
    <xf numFmtId="0" fontId="22" fillId="0" borderId="3" xfId="543" applyFont="1" applyFill="1" applyBorder="1" applyAlignment="1" applyProtection="1">
      <alignment horizontal="right"/>
    </xf>
    <xf numFmtId="0" fontId="22" fillId="0" borderId="4" xfId="543" applyFont="1" applyFill="1" applyBorder="1" applyAlignment="1" applyProtection="1">
      <alignment horizontal="right"/>
    </xf>
    <xf numFmtId="0" fontId="22" fillId="0" borderId="5" xfId="543" applyFont="1" applyFill="1" applyBorder="1" applyAlignment="1" applyProtection="1">
      <alignment horizontal="right"/>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22" fillId="0" borderId="1" xfId="543" applyFont="1" applyBorder="1" applyAlignment="1" applyProtection="1">
      <alignment horizontal="left" vertical="top" wrapText="1"/>
    </xf>
    <xf numFmtId="0" fontId="22" fillId="0" borderId="2" xfId="543" applyFont="1" applyBorder="1" applyAlignment="1" applyProtection="1">
      <alignment horizontal="left" vertical="top" wrapText="1"/>
    </xf>
    <xf numFmtId="0" fontId="22" fillId="0" borderId="7"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left" vertical="top" wrapText="1"/>
    </xf>
    <xf numFmtId="0" fontId="22" fillId="0" borderId="12" xfId="543" applyFont="1" applyBorder="1" applyAlignment="1" applyProtection="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5" fillId="0" borderId="1" xfId="543" applyFont="1" applyFill="1" applyBorder="1" applyAlignment="1" applyProtection="1">
      <alignment horizontal="right"/>
    </xf>
    <xf numFmtId="0" fontId="35" fillId="0" borderId="2" xfId="543" applyFont="1" applyFill="1" applyBorder="1" applyAlignment="1" applyProtection="1">
      <alignment horizontal="right"/>
    </xf>
    <xf numFmtId="0" fontId="35" fillId="0" borderId="7" xfId="543" applyFont="1" applyFill="1" applyBorder="1" applyAlignment="1" applyProtection="1">
      <alignment horizontal="right"/>
    </xf>
    <xf numFmtId="0" fontId="22" fillId="10" borderId="3" xfId="543" applyFont="1" applyFill="1" applyBorder="1" applyAlignment="1" applyProtection="1">
      <alignment horizontal="center"/>
    </xf>
    <xf numFmtId="0" fontId="22" fillId="10" borderId="4" xfId="543" applyFont="1" applyFill="1" applyBorder="1" applyAlignment="1" applyProtection="1">
      <alignment horizontal="center"/>
    </xf>
    <xf numFmtId="0" fontId="22" fillId="10" borderId="5" xfId="543" applyFont="1" applyFill="1" applyBorder="1" applyAlignment="1" applyProtection="1">
      <alignment horizontal="center"/>
    </xf>
    <xf numFmtId="0" fontId="34" fillId="5" borderId="3" xfId="543" applyFont="1" applyFill="1" applyBorder="1" applyAlignment="1" applyProtection="1">
      <alignment horizontal="center" vertical="top"/>
      <protection locked="0"/>
    </xf>
    <xf numFmtId="0" fontId="34"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2" fillId="0" borderId="2" xfId="0" applyNumberFormat="1" applyFont="1" applyBorder="1" applyAlignment="1" applyProtection="1">
      <alignment horizontal="center" wrapText="1"/>
    </xf>
    <xf numFmtId="172" fontId="22" fillId="0" borderId="7" xfId="0" applyNumberFormat="1" applyFont="1" applyBorder="1" applyAlignment="1" applyProtection="1">
      <alignment horizontal="center" wrapText="1"/>
    </xf>
    <xf numFmtId="172" fontId="22" fillId="0" borderId="0" xfId="0" applyNumberFormat="1" applyFont="1" applyBorder="1" applyAlignment="1" applyProtection="1">
      <alignment horizontal="center" wrapText="1"/>
    </xf>
    <xf numFmtId="172" fontId="22" fillId="0" borderId="12" xfId="0" applyNumberFormat="1" applyFont="1" applyBorder="1" applyAlignment="1" applyProtection="1">
      <alignment horizontal="center" wrapText="1"/>
    </xf>
    <xf numFmtId="172" fontId="22" fillId="0" borderId="6" xfId="0" applyNumberFormat="1" applyFont="1" applyBorder="1" applyAlignment="1" applyProtection="1">
      <alignment horizontal="center" wrapText="1"/>
    </xf>
    <xf numFmtId="172" fontId="22" fillId="0" borderId="10" xfId="0" applyNumberFormat="1" applyFont="1" applyBorder="1" applyAlignment="1" applyProtection="1">
      <alignment horizontal="center" wrapText="1"/>
    </xf>
    <xf numFmtId="0" fontId="24" fillId="0" borderId="11" xfId="0" applyFont="1" applyBorder="1" applyAlignment="1" applyProtection="1">
      <alignment horizontal="center"/>
    </xf>
    <xf numFmtId="0" fontId="24" fillId="0" borderId="2" xfId="0" applyFont="1" applyBorder="1" applyAlignment="1" applyProtection="1">
      <alignment horizontal="left" vertical="top" wrapText="1"/>
    </xf>
    <xf numFmtId="0" fontId="24" fillId="0" borderId="2" xfId="0" applyFont="1" applyBorder="1" applyAlignment="1">
      <alignment horizontal="left" vertical="top" wrapText="1"/>
    </xf>
    <xf numFmtId="177" fontId="24" fillId="5" borderId="6" xfId="0" applyNumberFormat="1" applyFont="1" applyFill="1" applyBorder="1" applyAlignment="1" applyProtection="1">
      <alignment horizontal="left" vertical="top" wrapText="1"/>
      <protection locked="0"/>
    </xf>
    <xf numFmtId="0" fontId="53" fillId="0" borderId="0" xfId="0" applyFont="1" applyBorder="1" applyAlignment="1" applyProtection="1">
      <alignment vertical="top" wrapText="1"/>
    </xf>
    <xf numFmtId="0" fontId="0" fillId="0" borderId="0" xfId="0" applyAlignment="1">
      <alignment vertical="top" wrapText="1"/>
    </xf>
    <xf numFmtId="0" fontId="24" fillId="0" borderId="0" xfId="0" applyFont="1" applyBorder="1" applyAlignment="1" applyProtection="1">
      <alignment vertical="top" wrapText="1"/>
    </xf>
    <xf numFmtId="0" fontId="24" fillId="0" borderId="6" xfId="0" applyFont="1" applyFill="1" applyBorder="1" applyAlignment="1" applyProtection="1">
      <alignment horizontal="right" vertical="top" wrapText="1"/>
    </xf>
    <xf numFmtId="0" fontId="24" fillId="0" borderId="6" xfId="0" applyFont="1" applyFill="1" applyBorder="1" applyAlignment="1">
      <alignment vertical="top" wrapText="1"/>
    </xf>
    <xf numFmtId="0" fontId="57" fillId="2" borderId="3" xfId="0" applyFont="1" applyFill="1" applyBorder="1" applyAlignment="1" applyProtection="1">
      <alignment horizontal="center" vertical="top"/>
    </xf>
    <xf numFmtId="0" fontId="57" fillId="2" borderId="4" xfId="0" applyFont="1" applyFill="1" applyBorder="1" applyAlignment="1" applyProtection="1">
      <alignment horizontal="center" vertical="top"/>
    </xf>
    <xf numFmtId="0" fontId="57" fillId="2" borderId="5" xfId="0" applyFont="1" applyFill="1" applyBorder="1" applyAlignment="1" applyProtection="1">
      <alignment horizontal="center" vertical="top"/>
    </xf>
    <xf numFmtId="0" fontId="24" fillId="0" borderId="6" xfId="0" applyFont="1" applyBorder="1" applyAlignment="1" applyProtection="1">
      <alignment vertical="top" wrapText="1"/>
    </xf>
    <xf numFmtId="0" fontId="24" fillId="0" borderId="2" xfId="0" applyFont="1" applyBorder="1" applyAlignment="1" applyProtection="1">
      <alignment vertical="top" wrapText="1"/>
    </xf>
    <xf numFmtId="0" fontId="52" fillId="0" borderId="0" xfId="0" applyFont="1" applyBorder="1" applyAlignment="1" applyProtection="1">
      <alignment vertical="top" wrapText="1"/>
    </xf>
    <xf numFmtId="0" fontId="22" fillId="0" borderId="3" xfId="21368" applyFont="1" applyBorder="1" applyAlignment="1">
      <alignment horizontal="left"/>
    </xf>
    <xf numFmtId="0" fontId="22" fillId="0" borderId="4" xfId="21368" applyFont="1" applyBorder="1" applyAlignment="1">
      <alignment horizontal="left"/>
    </xf>
    <xf numFmtId="0" fontId="22" fillId="0" borderId="5" xfId="21368" applyFont="1" applyBorder="1" applyAlignment="1">
      <alignment horizontal="left"/>
    </xf>
    <xf numFmtId="0" fontId="15" fillId="5" borderId="11" xfId="21368" applyFill="1" applyBorder="1" applyAlignment="1" applyProtection="1">
      <alignment horizontal="center"/>
      <protection locked="0"/>
    </xf>
    <xf numFmtId="0" fontId="15" fillId="0" borderId="11" xfId="21368" applyBorder="1" applyAlignment="1">
      <alignment horizontal="center"/>
    </xf>
    <xf numFmtId="0" fontId="22" fillId="0" borderId="3" xfId="21368" applyFont="1" applyBorder="1" applyAlignment="1">
      <alignment horizontal="center"/>
    </xf>
    <xf numFmtId="0" fontId="22" fillId="0" borderId="4" xfId="21368" applyFont="1" applyBorder="1" applyAlignment="1">
      <alignment horizontal="center"/>
    </xf>
    <xf numFmtId="0" fontId="22" fillId="0" borderId="5" xfId="21368" applyFont="1" applyBorder="1" applyAlignment="1">
      <alignment horizontal="center"/>
    </xf>
    <xf numFmtId="164" fontId="63" fillId="0" borderId="1" xfId="21368" applyNumberFormat="1" applyFont="1" applyBorder="1" applyAlignment="1">
      <alignment horizontal="right" vertical="center"/>
    </xf>
    <xf numFmtId="164" fontId="63" fillId="0" borderId="2" xfId="21368" applyNumberFormat="1" applyFont="1" applyBorder="1" applyAlignment="1">
      <alignment horizontal="right" vertical="center"/>
    </xf>
    <xf numFmtId="164" fontId="63" fillId="0" borderId="7" xfId="21368" applyNumberFormat="1" applyFont="1" applyBorder="1" applyAlignment="1">
      <alignment horizontal="right" vertical="center"/>
    </xf>
    <xf numFmtId="164" fontId="63" fillId="0" borderId="9" xfId="21368" applyNumberFormat="1" applyFont="1" applyBorder="1" applyAlignment="1">
      <alignment horizontal="right" vertical="center"/>
    </xf>
    <xf numFmtId="164" fontId="63" fillId="0" borderId="6" xfId="21368" applyNumberFormat="1" applyFont="1" applyBorder="1" applyAlignment="1">
      <alignment horizontal="right" vertical="center"/>
    </xf>
    <xf numFmtId="164" fontId="63" fillId="0" borderId="10" xfId="21368" applyNumberFormat="1" applyFont="1" applyBorder="1" applyAlignment="1">
      <alignment horizontal="right" vertical="center"/>
    </xf>
    <xf numFmtId="180" fontId="63" fillId="0" borderId="1" xfId="21368" applyNumberFormat="1" applyFont="1" applyBorder="1" applyAlignment="1">
      <alignment horizontal="center" vertical="center"/>
    </xf>
    <xf numFmtId="180" fontId="63" fillId="0" borderId="2" xfId="21368" applyNumberFormat="1" applyFont="1" applyBorder="1" applyAlignment="1">
      <alignment horizontal="center" vertical="center"/>
    </xf>
    <xf numFmtId="180" fontId="63" fillId="0" borderId="7" xfId="21368" applyNumberFormat="1" applyFont="1" applyBorder="1" applyAlignment="1">
      <alignment horizontal="center" vertical="center"/>
    </xf>
    <xf numFmtId="180" fontId="63" fillId="0" borderId="9" xfId="21368" applyNumberFormat="1" applyFont="1" applyBorder="1" applyAlignment="1">
      <alignment horizontal="center" vertical="center"/>
    </xf>
    <xf numFmtId="180" fontId="63" fillId="0" borderId="6" xfId="21368" applyNumberFormat="1" applyFont="1" applyBorder="1" applyAlignment="1">
      <alignment horizontal="center" vertical="center"/>
    </xf>
    <xf numFmtId="180" fontId="63" fillId="0" borderId="10" xfId="21368" applyNumberFormat="1" applyFont="1" applyBorder="1" applyAlignment="1">
      <alignment horizontal="center" vertical="center"/>
    </xf>
    <xf numFmtId="1" fontId="22" fillId="0" borderId="11" xfId="21368" applyNumberFormat="1" applyFont="1" applyBorder="1" applyAlignment="1">
      <alignment horizontal="center"/>
    </xf>
    <xf numFmtId="0" fontId="22" fillId="0" borderId="11" xfId="21368" applyFont="1" applyBorder="1" applyAlignment="1">
      <alignment horizontal="center"/>
    </xf>
    <xf numFmtId="1" fontId="15" fillId="0" borderId="11" xfId="21368" applyNumberFormat="1" applyBorder="1" applyAlignment="1">
      <alignment horizontal="center"/>
    </xf>
    <xf numFmtId="0" fontId="15" fillId="0" borderId="3" xfId="21368" applyBorder="1" applyAlignment="1">
      <alignment horizontal="center"/>
    </xf>
    <xf numFmtId="0" fontId="15" fillId="0" borderId="4" xfId="21368" applyBorder="1" applyAlignment="1">
      <alignment horizontal="center"/>
    </xf>
    <xf numFmtId="0" fontId="15" fillId="0" borderId="5" xfId="21368" applyBorder="1" applyAlignment="1">
      <alignment horizontal="center"/>
    </xf>
    <xf numFmtId="1" fontId="15" fillId="46" borderId="11" xfId="21368" applyNumberFormat="1" applyFill="1" applyBorder="1" applyAlignment="1">
      <alignment horizontal="center"/>
    </xf>
    <xf numFmtId="0" fontId="22" fillId="0" borderId="3" xfId="21368" applyFont="1" applyBorder="1" applyAlignment="1">
      <alignment horizontal="center" wrapText="1"/>
    </xf>
    <xf numFmtId="0" fontId="22" fillId="0" borderId="4" xfId="21368" applyFont="1" applyBorder="1" applyAlignment="1">
      <alignment horizontal="center" wrapText="1"/>
    </xf>
    <xf numFmtId="0" fontId="22" fillId="0" borderId="5" xfId="21368" applyFont="1" applyBorder="1" applyAlignment="1">
      <alignment horizontal="center" wrapText="1"/>
    </xf>
    <xf numFmtId="0" fontId="15" fillId="0" borderId="4" xfId="21368" applyBorder="1" applyAlignment="1">
      <alignment horizontal="left"/>
    </xf>
    <xf numFmtId="0" fontId="15" fillId="0" borderId="5" xfId="21368" applyBorder="1" applyAlignment="1">
      <alignment horizontal="left"/>
    </xf>
    <xf numFmtId="1" fontId="22" fillId="0" borderId="4" xfId="21368" applyNumberFormat="1" applyFont="1" applyBorder="1" applyAlignment="1">
      <alignment horizontal="center" wrapText="1"/>
    </xf>
    <xf numFmtId="49" fontId="21" fillId="3" borderId="2" xfId="21368" applyNumberFormat="1" applyFont="1" applyFill="1" applyBorder="1" applyAlignment="1">
      <alignment horizontal="center" vertical="center" wrapText="1"/>
    </xf>
    <xf numFmtId="49" fontId="21" fillId="3" borderId="2" xfId="21368" applyNumberFormat="1" applyFont="1" applyFill="1" applyBorder="1" applyAlignment="1">
      <alignment horizontal="center" vertical="center"/>
    </xf>
    <xf numFmtId="49" fontId="21" fillId="3" borderId="0" xfId="21368" applyNumberFormat="1" applyFont="1" applyFill="1" applyAlignment="1">
      <alignment horizontal="center" vertical="center"/>
    </xf>
    <xf numFmtId="0" fontId="22" fillId="0" borderId="0" xfId="21368" applyFont="1" applyAlignment="1">
      <alignment horizontal="center"/>
    </xf>
    <xf numFmtId="0" fontId="22" fillId="0" borderId="1" xfId="21368" applyFont="1" applyBorder="1" applyAlignment="1">
      <alignment horizontal="center" wrapText="1"/>
    </xf>
    <xf numFmtId="0" fontId="22" fillId="0" borderId="2" xfId="21368" applyFont="1" applyBorder="1" applyAlignment="1">
      <alignment horizontal="center" wrapText="1"/>
    </xf>
    <xf numFmtId="0" fontId="22" fillId="0" borderId="7" xfId="21368" applyFont="1" applyBorder="1" applyAlignment="1">
      <alignment horizontal="center" wrapText="1"/>
    </xf>
    <xf numFmtId="0" fontId="22" fillId="0" borderId="9" xfId="21368" applyFont="1" applyBorder="1" applyAlignment="1">
      <alignment horizontal="center" wrapText="1"/>
    </xf>
    <xf numFmtId="0" fontId="22" fillId="0" borderId="6" xfId="21368" applyFont="1" applyBorder="1" applyAlignment="1">
      <alignment horizontal="center" wrapText="1"/>
    </xf>
    <xf numFmtId="0" fontId="22" fillId="0" borderId="10" xfId="21368" applyFont="1" applyBorder="1" applyAlignment="1">
      <alignment horizontal="center" wrapText="1"/>
    </xf>
    <xf numFmtId="0" fontId="15" fillId="0" borderId="0" xfId="21368" applyAlignment="1">
      <alignment horizontal="left" vertical="top" wrapText="1"/>
    </xf>
    <xf numFmtId="0" fontId="22" fillId="0" borderId="0" xfId="21368" applyFont="1" applyAlignment="1">
      <alignment horizontal="center" vertical="top"/>
    </xf>
    <xf numFmtId="0" fontId="15" fillId="5" borderId="6" xfId="21368" applyFill="1" applyBorder="1" applyAlignment="1" applyProtection="1">
      <alignment horizontal="center" vertical="center" wrapText="1" shrinkToFit="1"/>
      <protection locked="0"/>
    </xf>
    <xf numFmtId="0" fontId="22" fillId="0" borderId="0" xfId="21368" applyFont="1" applyAlignment="1">
      <alignment horizontal="left" vertical="top" wrapText="1"/>
    </xf>
    <xf numFmtId="0" fontId="15" fillId="0" borderId="0" xfId="21368" applyAlignment="1">
      <alignment horizontal="left" vertical="top" wrapText="1" shrinkToFit="1"/>
    </xf>
    <xf numFmtId="44" fontId="15" fillId="0" borderId="0" xfId="707" applyFont="1" applyFill="1" applyBorder="1" applyAlignment="1" applyProtection="1">
      <alignment horizontal="left" vertical="top" wrapText="1"/>
    </xf>
    <xf numFmtId="0" fontId="23" fillId="0" borderId="0" xfId="21368" applyFont="1" applyAlignment="1">
      <alignment horizontal="center"/>
    </xf>
    <xf numFmtId="0" fontId="15" fillId="5" borderId="6" xfId="21368" applyFill="1" applyBorder="1" applyAlignment="1" applyProtection="1">
      <alignment horizontal="center"/>
      <protection locked="0"/>
    </xf>
    <xf numFmtId="0" fontId="15" fillId="0" borderId="0" xfId="21368" applyAlignment="1">
      <alignment horizontal="left" vertical="center" wrapText="1" shrinkToFit="1"/>
    </xf>
    <xf numFmtId="0" fontId="15" fillId="43" borderId="6" xfId="1192" applyFill="1" applyBorder="1" applyAlignment="1" applyProtection="1">
      <alignment horizontal="left" vertical="top"/>
      <protection locked="0"/>
    </xf>
    <xf numFmtId="0" fontId="15" fillId="5" borderId="6" xfId="21368" applyFill="1" applyBorder="1" applyAlignment="1" applyProtection="1">
      <alignment horizontal="left" wrapText="1" shrinkToFit="1"/>
      <protection locked="0"/>
    </xf>
    <xf numFmtId="1" fontId="15" fillId="0" borderId="4" xfId="25589" applyNumberFormat="1" applyFont="1" applyBorder="1" applyAlignment="1">
      <alignment horizontal="center"/>
    </xf>
    <xf numFmtId="1" fontId="15" fillId="0" borderId="5" xfId="25589" applyNumberFormat="1" applyFont="1" applyBorder="1" applyAlignment="1">
      <alignment horizontal="center"/>
    </xf>
    <xf numFmtId="4" fontId="23" fillId="0" borderId="3" xfId="21368" applyNumberFormat="1" applyFont="1" applyBorder="1" applyAlignment="1">
      <alignment horizontal="center"/>
    </xf>
    <xf numFmtId="4" fontId="23" fillId="0" borderId="4" xfId="21368" applyNumberFormat="1" applyFont="1" applyBorder="1" applyAlignment="1">
      <alignment horizontal="center"/>
    </xf>
    <xf numFmtId="4" fontId="23" fillId="0" borderId="5" xfId="21368" applyNumberFormat="1" applyFont="1" applyBorder="1" applyAlignment="1">
      <alignment horizontal="center"/>
    </xf>
    <xf numFmtId="0" fontId="22" fillId="0" borderId="0" xfId="21368" applyFont="1" applyAlignment="1">
      <alignment horizontal="right"/>
    </xf>
    <xf numFmtId="9" fontId="15" fillId="0" borderId="4" xfId="25589" applyNumberFormat="1" applyFont="1" applyBorder="1" applyAlignment="1">
      <alignment horizontal="center"/>
    </xf>
    <xf numFmtId="4" fontId="23" fillId="0" borderId="6" xfId="21368" applyNumberFormat="1" applyFont="1" applyBorder="1" applyAlignment="1">
      <alignment horizontal="center"/>
    </xf>
    <xf numFmtId="10" fontId="23" fillId="0" borderId="2" xfId="21368" applyNumberFormat="1" applyFont="1" applyBorder="1" applyAlignment="1">
      <alignment horizontal="center"/>
    </xf>
    <xf numFmtId="0" fontId="15" fillId="0" borderId="50" xfId="25589" applyFont="1" applyBorder="1" applyAlignment="1">
      <alignment horizontal="left" wrapText="1"/>
    </xf>
    <xf numFmtId="0" fontId="15" fillId="0" borderId="51" xfId="25589" applyFont="1" applyBorder="1" applyAlignment="1">
      <alignment horizontal="left" wrapText="1"/>
    </xf>
    <xf numFmtId="0" fontId="15" fillId="0" borderId="52" xfId="25589" applyFont="1" applyBorder="1" applyAlignment="1">
      <alignment horizontal="left" wrapText="1"/>
    </xf>
    <xf numFmtId="0" fontId="15" fillId="0" borderId="53" xfId="25589" applyFont="1" applyBorder="1" applyAlignment="1">
      <alignment horizontal="left" wrapText="1"/>
    </xf>
    <xf numFmtId="0" fontId="15" fillId="0" borderId="0" xfId="25589" applyFont="1" applyAlignment="1">
      <alignment horizontal="left" wrapText="1"/>
    </xf>
    <xf numFmtId="0" fontId="15" fillId="0" borderId="54" xfId="25589" applyFont="1" applyBorder="1" applyAlignment="1">
      <alignment horizontal="left" wrapText="1"/>
    </xf>
    <xf numFmtId="0" fontId="15" fillId="0" borderId="57" xfId="25589" applyFont="1" applyBorder="1" applyAlignment="1">
      <alignment horizontal="left" wrapText="1"/>
    </xf>
    <xf numFmtId="0" fontId="15" fillId="0" borderId="58" xfId="25589" applyFont="1" applyBorder="1" applyAlignment="1">
      <alignment horizontal="left" wrapText="1"/>
    </xf>
    <xf numFmtId="0" fontId="15" fillId="0" borderId="59" xfId="25589" applyFont="1" applyBorder="1" applyAlignment="1">
      <alignment horizontal="left" wrapText="1"/>
    </xf>
    <xf numFmtId="4" fontId="23" fillId="0" borderId="0" xfId="21368" applyNumberFormat="1" applyFont="1" applyAlignment="1">
      <alignment horizontal="center"/>
    </xf>
    <xf numFmtId="0" fontId="15" fillId="0" borderId="53" xfId="21368" applyBorder="1" applyAlignment="1">
      <alignment horizontal="left" vertical="top" wrapText="1"/>
    </xf>
    <xf numFmtId="0" fontId="15" fillId="0" borderId="54" xfId="21368" applyBorder="1" applyAlignment="1">
      <alignment horizontal="left" vertical="top" wrapText="1"/>
    </xf>
    <xf numFmtId="0" fontId="15" fillId="0" borderId="57" xfId="21368" applyBorder="1" applyAlignment="1">
      <alignment horizontal="left" vertical="top" wrapText="1"/>
    </xf>
    <xf numFmtId="0" fontId="15" fillId="0" borderId="58" xfId="21368" applyBorder="1" applyAlignment="1">
      <alignment horizontal="left" vertical="top" wrapText="1"/>
    </xf>
    <xf numFmtId="168" fontId="15" fillId="0" borderId="6" xfId="25589" applyNumberFormat="1" applyFont="1" applyBorder="1" applyAlignment="1">
      <alignment horizontal="center"/>
    </xf>
    <xf numFmtId="168" fontId="15" fillId="0" borderId="4" xfId="25589" applyNumberFormat="1" applyFont="1" applyBorder="1" applyAlignment="1">
      <alignment horizontal="center"/>
    </xf>
    <xf numFmtId="0" fontId="15" fillId="5" borderId="55" xfId="21368" applyFill="1" applyBorder="1" applyAlignment="1">
      <alignment horizontal="center"/>
    </xf>
    <xf numFmtId="0" fontId="15" fillId="5" borderId="6" xfId="21368" applyFill="1" applyBorder="1" applyAlignment="1">
      <alignment horizontal="center"/>
    </xf>
    <xf numFmtId="0" fontId="23" fillId="5" borderId="0" xfId="21368" applyFont="1" applyFill="1" applyAlignment="1">
      <alignment horizontal="left" vertical="top" wrapText="1"/>
    </xf>
    <xf numFmtId="0" fontId="23" fillId="5" borderId="58" xfId="21368" applyFont="1" applyFill="1" applyBorder="1" applyAlignment="1">
      <alignment horizontal="left" vertical="top" wrapText="1"/>
    </xf>
    <xf numFmtId="0" fontId="121" fillId="0" borderId="50" xfId="25589" applyFont="1" applyBorder="1" applyAlignment="1">
      <alignment horizontal="left" wrapText="1"/>
    </xf>
    <xf numFmtId="0" fontId="121" fillId="0" borderId="51" xfId="25589" applyFont="1" applyBorder="1" applyAlignment="1">
      <alignment horizontal="left" wrapText="1"/>
    </xf>
    <xf numFmtId="0" fontId="121" fillId="0" borderId="52" xfId="25589" applyFont="1" applyBorder="1" applyAlignment="1">
      <alignment horizontal="left" wrapText="1"/>
    </xf>
    <xf numFmtId="0" fontId="121" fillId="0" borderId="57" xfId="25589" applyFont="1" applyBorder="1" applyAlignment="1">
      <alignment horizontal="left" wrapText="1"/>
    </xf>
    <xf numFmtId="0" fontId="121" fillId="0" borderId="58" xfId="25589" applyFont="1" applyBorder="1" applyAlignment="1">
      <alignment horizontal="left" wrapText="1"/>
    </xf>
    <xf numFmtId="0" fontId="121" fillId="0" borderId="59" xfId="25589" applyFont="1" applyBorder="1" applyAlignment="1">
      <alignment horizontal="left" wrapText="1"/>
    </xf>
    <xf numFmtId="0" fontId="15" fillId="5" borderId="50" xfId="21368" applyFill="1" applyBorder="1" applyAlignment="1">
      <alignment horizontal="center"/>
    </xf>
    <xf numFmtId="0" fontId="15" fillId="5" borderId="51" xfId="21368" applyFill="1" applyBorder="1" applyAlignment="1">
      <alignment horizontal="center"/>
    </xf>
    <xf numFmtId="0" fontId="15" fillId="0" borderId="53" xfId="21368" applyBorder="1" applyAlignment="1">
      <alignment horizontal="center"/>
    </xf>
    <xf numFmtId="0" fontId="15" fillId="0" borderId="0" xfId="21368" applyAlignment="1">
      <alignment horizontal="center"/>
    </xf>
    <xf numFmtId="0" fontId="23" fillId="5" borderId="0" xfId="21368" applyFont="1" applyFill="1" applyAlignment="1">
      <alignment horizontal="left" vertical="top"/>
    </xf>
    <xf numFmtId="0" fontId="15" fillId="5" borderId="53" xfId="21368" applyFill="1" applyBorder="1" applyAlignment="1">
      <alignment horizontal="center"/>
    </xf>
    <xf numFmtId="0" fontId="15" fillId="5" borderId="0" xfId="21368" applyFill="1" applyAlignment="1">
      <alignment horizontal="center"/>
    </xf>
    <xf numFmtId="0" fontId="23" fillId="0" borderId="0" xfId="21368" applyFont="1" applyAlignment="1">
      <alignment horizontal="left" vertical="top" wrapText="1"/>
    </xf>
    <xf numFmtId="0" fontId="23" fillId="0" borderId="58" xfId="21368" applyFont="1" applyBorder="1" applyAlignment="1">
      <alignment horizontal="left" vertical="top" wrapText="1"/>
    </xf>
    <xf numFmtId="0" fontId="52" fillId="0" borderId="51" xfId="21368" applyFont="1" applyBorder="1" applyAlignment="1">
      <alignment horizontal="left" wrapText="1"/>
    </xf>
    <xf numFmtId="0" fontId="52" fillId="0" borderId="0" xfId="21368" applyFont="1" applyAlignment="1">
      <alignment horizontal="left" wrapText="1"/>
    </xf>
    <xf numFmtId="0" fontId="23" fillId="5" borderId="58" xfId="21368" applyFont="1" applyFill="1" applyBorder="1" applyAlignment="1">
      <alignment horizontal="left"/>
    </xf>
    <xf numFmtId="0" fontId="52" fillId="0" borderId="51" xfId="21368" applyFont="1" applyBorder="1" applyAlignment="1">
      <alignment horizontal="left" vertical="top" wrapText="1"/>
    </xf>
    <xf numFmtId="0" fontId="52" fillId="0" borderId="0" xfId="21368" applyFont="1" applyAlignment="1">
      <alignment horizontal="left" vertical="top" wrapText="1"/>
    </xf>
    <xf numFmtId="9" fontId="23" fillId="5" borderId="58" xfId="21368" applyNumberFormat="1" applyFont="1" applyFill="1" applyBorder="1" applyAlignment="1">
      <alignment horizontal="left"/>
    </xf>
    <xf numFmtId="9" fontId="23" fillId="5" borderId="6" xfId="21368" applyNumberFormat="1" applyFont="1" applyFill="1" applyBorder="1" applyAlignment="1">
      <alignment horizontal="left"/>
    </xf>
    <xf numFmtId="0" fontId="23" fillId="5" borderId="6" xfId="21368" applyFont="1" applyFill="1" applyBorder="1" applyAlignment="1">
      <alignment horizontal="left"/>
    </xf>
    <xf numFmtId="0" fontId="15" fillId="5" borderId="63" xfId="21368" applyFill="1" applyBorder="1" applyAlignment="1">
      <alignment horizontal="center"/>
    </xf>
    <xf numFmtId="0" fontId="15" fillId="5" borderId="64" xfId="21368" applyFill="1" applyBorder="1" applyAlignment="1">
      <alignment horizontal="center"/>
    </xf>
    <xf numFmtId="0" fontId="15" fillId="5" borderId="55" xfId="21368" applyFill="1" applyBorder="1" applyAlignment="1" applyProtection="1">
      <alignment horizontal="center"/>
      <protection locked="0"/>
    </xf>
    <xf numFmtId="0" fontId="23" fillId="0" borderId="51" xfId="21368" applyFont="1" applyBorder="1" applyAlignment="1">
      <alignment horizontal="left" vertical="top" wrapText="1"/>
    </xf>
    <xf numFmtId="0" fontId="22" fillId="0" borderId="51" xfId="21368" applyFont="1" applyBorder="1" applyAlignment="1">
      <alignment horizontal="center" vertical="top"/>
    </xf>
    <xf numFmtId="0" fontId="22" fillId="0" borderId="52" xfId="21368" applyFont="1" applyBorder="1" applyAlignment="1">
      <alignment horizontal="center" vertical="top"/>
    </xf>
    <xf numFmtId="0" fontId="22" fillId="0" borderId="54" xfId="21368" applyFont="1" applyBorder="1" applyAlignment="1">
      <alignment horizontal="center"/>
    </xf>
    <xf numFmtId="0" fontId="22" fillId="0" borderId="54" xfId="21368" applyFont="1" applyBorder="1" applyAlignment="1">
      <alignment horizontal="center" vertical="top"/>
    </xf>
    <xf numFmtId="0" fontId="15" fillId="5" borderId="63" xfId="21368" applyFill="1" applyBorder="1" applyAlignment="1" applyProtection="1">
      <alignment horizontal="center"/>
      <protection locked="0"/>
    </xf>
    <xf numFmtId="0" fontId="15" fillId="5" borderId="64" xfId="21368" applyFill="1" applyBorder="1" applyAlignment="1" applyProtection="1">
      <alignment horizontal="center"/>
      <protection locked="0"/>
    </xf>
    <xf numFmtId="0" fontId="31" fillId="42" borderId="2" xfId="21368" applyFont="1" applyFill="1" applyBorder="1" applyAlignment="1">
      <alignment horizontal="center"/>
    </xf>
    <xf numFmtId="0" fontId="31" fillId="42" borderId="6" xfId="21368" applyFont="1" applyFill="1" applyBorder="1" applyAlignment="1">
      <alignment horizontal="center"/>
    </xf>
    <xf numFmtId="0" fontId="15" fillId="45" borderId="11" xfId="21368" applyFill="1" applyBorder="1" applyAlignment="1">
      <alignment horizontal="center"/>
    </xf>
    <xf numFmtId="0" fontId="129" fillId="0" borderId="0" xfId="21368" applyFont="1" applyAlignment="1">
      <alignment horizontal="left" vertical="center" wrapText="1"/>
    </xf>
    <xf numFmtId="0" fontId="129" fillId="0" borderId="0" xfId="21368" applyFont="1" applyAlignment="1">
      <alignment horizontal="left" vertical="top" wrapText="1"/>
    </xf>
    <xf numFmtId="0" fontId="15" fillId="43" borderId="53" xfId="21368" applyFill="1" applyBorder="1" applyAlignment="1" applyProtection="1">
      <alignment vertical="top" wrapText="1"/>
      <protection locked="0"/>
    </xf>
    <xf numFmtId="0" fontId="15" fillId="43" borderId="0" xfId="21368" applyFill="1" applyAlignment="1" applyProtection="1">
      <alignment vertical="top" wrapText="1"/>
      <protection locked="0"/>
    </xf>
    <xf numFmtId="0" fontId="15" fillId="43" borderId="54" xfId="21368" applyFill="1" applyBorder="1" applyAlignment="1" applyProtection="1">
      <alignment vertical="top" wrapText="1"/>
      <protection locked="0"/>
    </xf>
    <xf numFmtId="0" fontId="15" fillId="43" borderId="55" xfId="21368" applyFill="1" applyBorder="1" applyAlignment="1" applyProtection="1">
      <alignment vertical="top" wrapText="1"/>
      <protection locked="0"/>
    </xf>
    <xf numFmtId="0" fontId="15" fillId="43" borderId="6" xfId="21368" applyFill="1" applyBorder="1" applyAlignment="1" applyProtection="1">
      <alignment vertical="top" wrapText="1"/>
      <protection locked="0"/>
    </xf>
    <xf numFmtId="0" fontId="15" fillId="43" borderId="56" xfId="21368" applyFill="1" applyBorder="1" applyAlignment="1" applyProtection="1">
      <alignment vertical="top" wrapText="1"/>
      <protection locked="0"/>
    </xf>
    <xf numFmtId="0" fontId="15" fillId="43" borderId="0" xfId="21368" applyFill="1" applyAlignment="1" applyProtection="1">
      <alignment horizontal="left" vertical="center" wrapText="1"/>
      <protection locked="0"/>
    </xf>
    <xf numFmtId="0" fontId="15" fillId="43" borderId="54" xfId="21368" applyFill="1" applyBorder="1" applyAlignment="1" applyProtection="1">
      <alignment horizontal="left" vertical="center" wrapText="1"/>
      <protection locked="0"/>
    </xf>
    <xf numFmtId="0" fontId="15" fillId="43" borderId="6" xfId="21368" applyFill="1" applyBorder="1" applyAlignment="1" applyProtection="1">
      <alignment horizontal="left" vertical="center" wrapText="1"/>
      <protection locked="0"/>
    </xf>
    <xf numFmtId="0" fontId="15" fillId="43" borderId="56" xfId="21368" applyFill="1" applyBorder="1" applyAlignment="1" applyProtection="1">
      <alignment horizontal="left" vertical="center" wrapText="1"/>
      <protection locked="0"/>
    </xf>
    <xf numFmtId="0" fontId="15" fillId="0" borderId="0" xfId="543" applyAlignment="1">
      <alignment horizontal="center"/>
    </xf>
    <xf numFmtId="0" fontId="15" fillId="0" borderId="50" xfId="21368" applyBorder="1" applyAlignment="1">
      <alignment horizontal="left" vertical="center" wrapText="1"/>
    </xf>
    <xf numFmtId="0" fontId="15" fillId="0" borderId="51" xfId="21368" applyBorder="1" applyAlignment="1">
      <alignment horizontal="left" vertical="center" wrapText="1"/>
    </xf>
    <xf numFmtId="0" fontId="15" fillId="0" borderId="52" xfId="21368" applyBorder="1" applyAlignment="1">
      <alignment horizontal="left" vertical="center" wrapText="1"/>
    </xf>
    <xf numFmtId="0" fontId="15" fillId="0" borderId="53" xfId="21368" applyBorder="1" applyAlignment="1">
      <alignment horizontal="left" vertical="center" wrapText="1"/>
    </xf>
    <xf numFmtId="0" fontId="15" fillId="0" borderId="0" xfId="21368" applyAlignment="1">
      <alignment horizontal="left" vertical="center" wrapText="1"/>
    </xf>
    <xf numFmtId="0" fontId="15" fillId="0" borderId="54" xfId="21368" applyBorder="1" applyAlignment="1">
      <alignment horizontal="left" vertical="center" wrapText="1"/>
    </xf>
    <xf numFmtId="0" fontId="15" fillId="0" borderId="59" xfId="21368" applyBorder="1" applyAlignment="1">
      <alignment horizontal="left" vertical="top" wrapText="1"/>
    </xf>
    <xf numFmtId="0" fontId="15" fillId="0" borderId="57" xfId="21368" applyBorder="1" applyAlignment="1">
      <alignment horizontal="left" vertical="center" wrapText="1"/>
    </xf>
    <xf numFmtId="0" fontId="15" fillId="0" borderId="58" xfId="21368" applyBorder="1" applyAlignment="1">
      <alignment horizontal="left" vertical="center" wrapText="1"/>
    </xf>
    <xf numFmtId="0" fontId="15" fillId="0" borderId="59" xfId="21368" applyBorder="1" applyAlignment="1">
      <alignment horizontal="left" vertical="center" wrapText="1"/>
    </xf>
    <xf numFmtId="0" fontId="15" fillId="0" borderId="4" xfId="25589" applyFont="1" applyBorder="1" applyAlignment="1">
      <alignment horizontal="center"/>
    </xf>
    <xf numFmtId="0" fontId="15" fillId="0" borderId="5" xfId="25589" applyFont="1" applyBorder="1" applyAlignment="1">
      <alignment horizontal="center"/>
    </xf>
    <xf numFmtId="0" fontId="15" fillId="0" borderId="50" xfId="21368" applyBorder="1" applyAlignment="1">
      <alignment horizontal="left" vertical="top" wrapText="1"/>
    </xf>
    <xf numFmtId="0" fontId="15" fillId="0" borderId="51" xfId="21368" applyBorder="1" applyAlignment="1">
      <alignment horizontal="left" vertical="top" wrapText="1"/>
    </xf>
    <xf numFmtId="0" fontId="15" fillId="0" borderId="52" xfId="21368" applyBorder="1" applyAlignment="1">
      <alignment horizontal="left" vertical="top" wrapText="1"/>
    </xf>
    <xf numFmtId="0" fontId="22" fillId="0" borderId="0" xfId="21368" applyFont="1"/>
    <xf numFmtId="164" fontId="15" fillId="0" borderId="50" xfId="21368" applyNumberFormat="1" applyBorder="1" applyAlignment="1">
      <alignment horizontal="left" vertical="top" wrapText="1"/>
    </xf>
    <xf numFmtId="164" fontId="15" fillId="0" borderId="51" xfId="21368" applyNumberFormat="1" applyBorder="1" applyAlignment="1">
      <alignment horizontal="left" vertical="top" wrapText="1"/>
    </xf>
    <xf numFmtId="164" fontId="15" fillId="0" borderId="52" xfId="21368" applyNumberFormat="1" applyBorder="1" applyAlignment="1">
      <alignment horizontal="left" vertical="top" wrapText="1"/>
    </xf>
    <xf numFmtId="164" fontId="15" fillId="0" borderId="53" xfId="21368" applyNumberFormat="1" applyBorder="1" applyAlignment="1">
      <alignment horizontal="left" vertical="top" wrapText="1"/>
    </xf>
    <xf numFmtId="164" fontId="15" fillId="0" borderId="0" xfId="21368" applyNumberFormat="1" applyAlignment="1">
      <alignment horizontal="left" vertical="top" wrapText="1"/>
    </xf>
    <xf numFmtId="164" fontId="15" fillId="0" borderId="54" xfId="21368" applyNumberFormat="1" applyBorder="1" applyAlignment="1">
      <alignment horizontal="left" vertical="top" wrapText="1"/>
    </xf>
    <xf numFmtId="164" fontId="15" fillId="0" borderId="57" xfId="21368" applyNumberFormat="1" applyBorder="1" applyAlignment="1">
      <alignment horizontal="left" vertical="top" wrapText="1"/>
    </xf>
    <xf numFmtId="164" fontId="15" fillId="0" borderId="58" xfId="21368" applyNumberFormat="1" applyBorder="1" applyAlignment="1">
      <alignment horizontal="left" vertical="top" wrapText="1"/>
    </xf>
    <xf numFmtId="164" fontId="15" fillId="0" borderId="59" xfId="21368" applyNumberFormat="1" applyBorder="1" applyAlignment="1">
      <alignment horizontal="left" vertical="top" wrapText="1"/>
    </xf>
    <xf numFmtId="0" fontId="22" fillId="0" borderId="0" xfId="21368" applyFont="1" applyAlignment="1">
      <alignment horizontal="left" vertical="top"/>
    </xf>
    <xf numFmtId="0" fontId="15" fillId="0" borderId="0" xfId="21368" applyAlignment="1" applyProtection="1">
      <alignment horizontal="center"/>
      <protection locked="0"/>
    </xf>
    <xf numFmtId="2" fontId="15" fillId="0" borderId="0" xfId="1192" applyNumberFormat="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5" fontId="15" fillId="43" borderId="3" xfId="21368" applyNumberFormat="1" applyFill="1" applyBorder="1" applyAlignment="1" applyProtection="1">
      <alignment horizontal="center"/>
      <protection locked="0"/>
    </xf>
    <xf numFmtId="165" fontId="15" fillId="43" borderId="4" xfId="21368" applyNumberFormat="1" applyFill="1" applyBorder="1" applyAlignment="1" applyProtection="1">
      <alignment horizontal="center"/>
      <protection locked="0"/>
    </xf>
    <xf numFmtId="165" fontId="15" fillId="43" borderId="5" xfId="21368" applyNumberFormat="1" applyFill="1" applyBorder="1" applyAlignment="1" applyProtection="1">
      <alignment horizontal="center"/>
      <protection locked="0"/>
    </xf>
    <xf numFmtId="9" fontId="15" fillId="0" borderId="4" xfId="543" applyNumberFormat="1" applyBorder="1" applyAlignment="1">
      <alignment horizontal="center"/>
    </xf>
    <xf numFmtId="168" fontId="15" fillId="0" borderId="0" xfId="1192" applyNumberFormat="1" applyAlignment="1">
      <alignment horizontal="right"/>
    </xf>
    <xf numFmtId="165" fontId="15" fillId="0" borderId="6" xfId="1192" applyNumberFormat="1" applyBorder="1" applyAlignment="1">
      <alignment horizontal="right"/>
    </xf>
    <xf numFmtId="168" fontId="15" fillId="0" borderId="2" xfId="1192" applyNumberFormat="1" applyBorder="1" applyAlignment="1">
      <alignment horizontal="right"/>
    </xf>
    <xf numFmtId="0" fontId="15" fillId="0" borderId="0" xfId="1192" applyAlignment="1">
      <alignment horizontal="right"/>
    </xf>
    <xf numFmtId="165" fontId="15" fillId="0" borderId="0" xfId="1192" applyNumberFormat="1" applyAlignment="1">
      <alignment horizontal="right"/>
    </xf>
    <xf numFmtId="168" fontId="15" fillId="43" borderId="6" xfId="1192" applyNumberFormat="1" applyFill="1" applyBorder="1" applyAlignment="1" applyProtection="1">
      <alignment horizontal="right"/>
      <protection locked="0"/>
    </xf>
    <xf numFmtId="3" fontId="15" fillId="43" borderId="6" xfId="1192" applyNumberFormat="1" applyFill="1" applyBorder="1" applyAlignment="1" applyProtection="1">
      <alignment horizontal="right"/>
      <protection locked="0"/>
    </xf>
    <xf numFmtId="168" fontId="15" fillId="0" borderId="4" xfId="1192" applyNumberFormat="1" applyBorder="1" applyAlignment="1">
      <alignment horizontal="right"/>
    </xf>
    <xf numFmtId="168" fontId="15" fillId="0" borderId="6" xfId="1192" applyNumberFormat="1" applyBorder="1" applyAlignment="1">
      <alignment horizontal="right"/>
    </xf>
    <xf numFmtId="9" fontId="15" fillId="5" borderId="4" xfId="1192" applyNumberFormat="1" applyFill="1" applyBorder="1" applyAlignment="1" applyProtection="1">
      <alignment horizontal="left"/>
      <protection locked="0"/>
    </xf>
    <xf numFmtId="1" fontId="15" fillId="5" borderId="2" xfId="1192" applyNumberFormat="1" applyFill="1" applyBorder="1" applyAlignment="1" applyProtection="1">
      <alignment horizontal="center"/>
      <protection locked="0"/>
    </xf>
    <xf numFmtId="168" fontId="15" fillId="5" borderId="4" xfId="1192" applyNumberFormat="1" applyFill="1" applyBorder="1" applyAlignment="1" applyProtection="1">
      <alignment horizontal="center"/>
      <protection locked="0"/>
    </xf>
    <xf numFmtId="168" fontId="15" fillId="43" borderId="6" xfId="543" applyNumberFormat="1" applyFill="1" applyBorder="1" applyAlignment="1" applyProtection="1">
      <alignment horizontal="center"/>
      <protection locked="0"/>
    </xf>
    <xf numFmtId="1" fontId="15" fillId="5" borderId="4" xfId="1192" applyNumberFormat="1" applyFill="1" applyBorder="1" applyAlignment="1" applyProtection="1">
      <alignment horizontal="center"/>
      <protection locked="0"/>
    </xf>
    <xf numFmtId="168" fontId="15" fillId="0" borderId="4" xfId="21368" applyNumberFormat="1" applyBorder="1" applyAlignment="1">
      <alignment horizontal="right"/>
    </xf>
    <xf numFmtId="9" fontId="15" fillId="0" borderId="0" xfId="1192" quotePrefix="1" applyNumberFormat="1" applyAlignment="1">
      <alignment horizontal="center"/>
    </xf>
    <xf numFmtId="0" fontId="141" fillId="0" borderId="0" xfId="1192" applyFont="1" applyAlignment="1">
      <alignment horizontal="center"/>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0" fontId="141" fillId="0" borderId="6" xfId="1192" applyFont="1" applyBorder="1" applyAlignment="1">
      <alignment horizontal="center"/>
    </xf>
    <xf numFmtId="0" fontId="15" fillId="0" borderId="6" xfId="1192" applyBorder="1" applyAlignment="1">
      <alignment horizontal="right"/>
    </xf>
    <xf numFmtId="0" fontId="15" fillId="5" borderId="6" xfId="1192" applyFill="1" applyBorder="1" applyAlignment="1" applyProtection="1">
      <alignment horizontal="left"/>
      <protection locked="0"/>
    </xf>
    <xf numFmtId="168" fontId="15" fillId="43" borderId="6" xfId="21368" applyNumberFormat="1" applyFill="1" applyBorder="1" applyAlignment="1" applyProtection="1">
      <alignment horizontal="right"/>
      <protection locked="0"/>
    </xf>
    <xf numFmtId="0" fontId="15" fillId="0" borderId="6" xfId="1192" applyBorder="1" applyAlignment="1">
      <alignment horizontal="left"/>
    </xf>
    <xf numFmtId="168" fontId="15" fillId="0" borderId="6" xfId="21368" applyNumberFormat="1" applyBorder="1" applyAlignment="1">
      <alignment horizontal="right"/>
    </xf>
    <xf numFmtId="0" fontId="117" fillId="0" borderId="4" xfId="1192" applyFont="1" applyBorder="1" applyAlignment="1">
      <alignment horizontal="left"/>
    </xf>
    <xf numFmtId="168" fontId="117" fillId="0" borderId="6" xfId="21368" applyNumberFormat="1" applyFont="1" applyBorder="1" applyAlignment="1">
      <alignment horizontal="right"/>
    </xf>
    <xf numFmtId="0" fontId="23" fillId="5" borderId="6" xfId="21368" applyFont="1" applyFill="1" applyBorder="1" applyAlignment="1" applyProtection="1">
      <alignment horizontal="left"/>
      <protection locked="0"/>
    </xf>
    <xf numFmtId="0" fontId="15" fillId="0" borderId="0" xfId="21368" applyAlignment="1">
      <alignment horizontal="left"/>
    </xf>
    <xf numFmtId="0" fontId="15" fillId="5" borderId="6" xfId="21368" applyFill="1" applyBorder="1" applyAlignment="1" applyProtection="1">
      <alignment horizontal="left"/>
      <protection locked="0"/>
    </xf>
    <xf numFmtId="0" fontId="52" fillId="5" borderId="6" xfId="21368" applyFont="1" applyFill="1" applyBorder="1" applyAlignment="1" applyProtection="1">
      <alignment horizontal="left"/>
      <protection locked="0"/>
    </xf>
    <xf numFmtId="1" fontId="15" fillId="0" borderId="3" xfId="21368" applyNumberFormat="1" applyBorder="1" applyAlignment="1">
      <alignment horizontal="center"/>
    </xf>
    <xf numFmtId="1" fontId="15" fillId="0" borderId="4" xfId="21368" applyNumberFormat="1" applyBorder="1" applyAlignment="1">
      <alignment horizontal="center"/>
    </xf>
    <xf numFmtId="1" fontId="15" fillId="0" borderId="5" xfId="21368" applyNumberFormat="1" applyBorder="1" applyAlignment="1">
      <alignment horizontal="center"/>
    </xf>
    <xf numFmtId="165" fontId="121" fillId="0" borderId="3" xfId="25589" applyNumberFormat="1" applyFont="1" applyBorder="1" applyAlignment="1">
      <alignment horizontal="center" vertical="top" wrapText="1"/>
    </xf>
    <xf numFmtId="165" fontId="121" fillId="0" borderId="4" xfId="25589" applyNumberFormat="1" applyFont="1" applyBorder="1" applyAlignment="1">
      <alignment horizontal="center" vertical="top" wrapText="1"/>
    </xf>
    <xf numFmtId="165" fontId="121" fillId="0" borderId="5" xfId="25589" applyNumberFormat="1" applyFont="1" applyBorder="1" applyAlignment="1">
      <alignment horizontal="center" vertical="top" wrapText="1"/>
    </xf>
    <xf numFmtId="0" fontId="15" fillId="5" borderId="6" xfId="21368" applyFont="1" applyFill="1" applyBorder="1" applyAlignment="1" applyProtection="1">
      <alignment horizontal="left"/>
      <protection locked="0"/>
    </xf>
    <xf numFmtId="10" fontId="121" fillId="0" borderId="3" xfId="25589" applyNumberFormat="1" applyFont="1" applyBorder="1" applyAlignment="1">
      <alignment horizontal="center" vertical="top" wrapText="1"/>
    </xf>
    <xf numFmtId="10" fontId="121" fillId="0" borderId="4" xfId="25589" applyNumberFormat="1" applyFont="1" applyBorder="1" applyAlignment="1">
      <alignment horizontal="center" vertical="top" wrapText="1"/>
    </xf>
    <xf numFmtId="10" fontId="121" fillId="0" borderId="5" xfId="25589" applyNumberFormat="1" applyFont="1" applyBorder="1" applyAlignment="1">
      <alignment horizontal="center" vertical="top" wrapText="1"/>
    </xf>
    <xf numFmtId="168" fontId="121" fillId="0" borderId="55" xfId="25589" applyNumberFormat="1" applyFont="1" applyBorder="1" applyAlignment="1">
      <alignment horizontal="center" vertical="top"/>
    </xf>
    <xf numFmtId="168" fontId="121" fillId="0" borderId="6" xfId="25589" applyNumberFormat="1" applyFont="1" applyBorder="1" applyAlignment="1">
      <alignment horizontal="center" vertical="top"/>
    </xf>
    <xf numFmtId="168" fontId="121" fillId="43" borderId="55" xfId="25589" applyNumberFormat="1" applyFont="1" applyFill="1" applyBorder="1" applyAlignment="1" applyProtection="1">
      <alignment horizontal="center" vertical="top" wrapText="1"/>
      <protection locked="0"/>
    </xf>
    <xf numFmtId="168" fontId="121" fillId="43" borderId="6" xfId="25589" applyNumberFormat="1" applyFont="1" applyFill="1" applyBorder="1" applyAlignment="1" applyProtection="1">
      <alignment horizontal="center" vertical="top" wrapText="1"/>
      <protection locked="0"/>
    </xf>
    <xf numFmtId="165" fontId="121" fillId="0" borderId="55" xfId="25589" applyNumberFormat="1" applyFont="1" applyBorder="1" applyAlignment="1">
      <alignment horizontal="center" vertical="top" wrapText="1"/>
    </xf>
    <xf numFmtId="165" fontId="121" fillId="0" borderId="6" xfId="25589" applyNumberFormat="1" applyFont="1" applyBorder="1" applyAlignment="1">
      <alignment horizontal="center" vertical="top" wrapText="1"/>
    </xf>
    <xf numFmtId="1" fontId="121" fillId="0" borderId="55" xfId="25589" applyNumberFormat="1" applyFont="1" applyBorder="1" applyAlignment="1">
      <alignment horizontal="center" vertical="top" wrapText="1"/>
    </xf>
    <xf numFmtId="1" fontId="121" fillId="0" borderId="6" xfId="25589" applyNumberFormat="1" applyFont="1" applyBorder="1" applyAlignment="1">
      <alignment horizontal="center" vertical="top" wrapText="1"/>
    </xf>
    <xf numFmtId="0" fontId="121" fillId="5" borderId="6" xfId="25589" applyFont="1" applyFill="1" applyBorder="1" applyAlignment="1" applyProtection="1">
      <alignment horizontal="center"/>
      <protection locked="0"/>
    </xf>
    <xf numFmtId="0" fontId="121" fillId="0" borderId="50" xfId="25589" applyFont="1" applyBorder="1" applyAlignment="1">
      <alignment horizontal="left" vertical="top" wrapText="1"/>
    </xf>
    <xf numFmtId="0" fontId="121" fillId="0" borderId="51" xfId="25589" applyFont="1" applyBorder="1" applyAlignment="1">
      <alignment horizontal="left" vertical="top" wrapText="1"/>
    </xf>
    <xf numFmtId="0" fontId="121" fillId="0" borderId="52" xfId="25589" applyFont="1" applyBorder="1" applyAlignment="1">
      <alignment horizontal="left" vertical="top" wrapText="1"/>
    </xf>
    <xf numFmtId="0" fontId="121" fillId="0" borderId="53" xfId="25589" applyFont="1" applyBorder="1" applyAlignment="1">
      <alignment horizontal="left" vertical="top" wrapText="1"/>
    </xf>
    <xf numFmtId="0" fontId="121" fillId="0" borderId="0" xfId="25589" applyFont="1" applyAlignment="1">
      <alignment horizontal="left" vertical="top" wrapText="1"/>
    </xf>
    <xf numFmtId="0" fontId="121" fillId="0" borderId="54" xfId="25589" applyFont="1" applyBorder="1" applyAlignment="1">
      <alignment horizontal="left" vertical="top" wrapText="1"/>
    </xf>
    <xf numFmtId="165" fontId="121" fillId="0" borderId="60" xfId="25589" applyNumberFormat="1" applyFont="1" applyBorder="1" applyAlignment="1">
      <alignment horizontal="center" vertical="top" wrapText="1"/>
    </xf>
    <xf numFmtId="0" fontId="121" fillId="0" borderId="55" xfId="25589" applyFont="1" applyBorder="1" applyAlignment="1">
      <alignment horizontal="center" vertical="top" wrapText="1"/>
    </xf>
    <xf numFmtId="0" fontId="121" fillId="0" borderId="6" xfId="25589" applyFont="1" applyBorder="1" applyAlignment="1">
      <alignment horizontal="center" vertical="top" wrapText="1"/>
    </xf>
    <xf numFmtId="0" fontId="121" fillId="5" borderId="55" xfId="25589" applyFont="1" applyFill="1" applyBorder="1" applyAlignment="1" applyProtection="1">
      <alignment horizontal="center"/>
      <protection locked="0"/>
    </xf>
    <xf numFmtId="0" fontId="121" fillId="0" borderId="57" xfId="25589" applyFont="1" applyBorder="1" applyAlignment="1">
      <alignment horizontal="left" vertical="top" wrapText="1"/>
    </xf>
    <xf numFmtId="0" fontId="121" fillId="0" borderId="58" xfId="25589" applyFont="1" applyBorder="1" applyAlignment="1">
      <alignment horizontal="left" vertical="top" wrapText="1"/>
    </xf>
    <xf numFmtId="0" fontId="121" fillId="0" borderId="59" xfId="25589" applyFont="1" applyBorder="1" applyAlignment="1">
      <alignment horizontal="left" vertical="top" wrapText="1"/>
    </xf>
    <xf numFmtId="0" fontId="121" fillId="5" borderId="60" xfId="25589" applyFont="1" applyFill="1" applyBorder="1" applyAlignment="1" applyProtection="1">
      <alignment horizontal="center"/>
      <protection locked="0"/>
    </xf>
    <xf numFmtId="0" fontId="121" fillId="5" borderId="4" xfId="25589" applyFont="1" applyFill="1" applyBorder="1" applyAlignment="1" applyProtection="1">
      <alignment horizontal="center"/>
      <protection locked="0"/>
    </xf>
    <xf numFmtId="0" fontId="121" fillId="0" borderId="47" xfId="25589" applyFont="1" applyBorder="1"/>
    <xf numFmtId="0" fontId="121" fillId="0" borderId="48" xfId="25589" applyFont="1" applyBorder="1"/>
    <xf numFmtId="0" fontId="121" fillId="0" borderId="49" xfId="25589" applyFont="1" applyBorder="1"/>
    <xf numFmtId="0" fontId="121" fillId="43" borderId="55" xfId="25589" applyFont="1" applyFill="1" applyBorder="1" applyAlignment="1" applyProtection="1">
      <alignment horizontal="left" vertical="top" wrapText="1"/>
      <protection locked="0"/>
    </xf>
    <xf numFmtId="0" fontId="121" fillId="43" borderId="6" xfId="25589" applyFont="1" applyFill="1" applyBorder="1" applyAlignment="1" applyProtection="1">
      <alignment horizontal="left" vertical="top" wrapText="1"/>
      <protection locked="0"/>
    </xf>
    <xf numFmtId="0" fontId="121" fillId="43" borderId="56" xfId="25589" applyFont="1" applyFill="1" applyBorder="1" applyAlignment="1" applyProtection="1">
      <alignment horizontal="left" vertical="top" wrapText="1"/>
      <protection locked="0"/>
    </xf>
    <xf numFmtId="0" fontId="15" fillId="0" borderId="50" xfId="21368" applyBorder="1" applyAlignment="1">
      <alignment vertical="center" wrapText="1"/>
    </xf>
    <xf numFmtId="0" fontId="15" fillId="0" borderId="51" xfId="21368" applyBorder="1" applyAlignment="1">
      <alignment vertical="center" wrapText="1"/>
    </xf>
    <xf numFmtId="0" fontId="15" fillId="0" borderId="52" xfId="21368" applyBorder="1" applyAlignment="1">
      <alignment vertical="center" wrapText="1"/>
    </xf>
    <xf numFmtId="0" fontId="15" fillId="0" borderId="57" xfId="21368" applyBorder="1" applyAlignment="1">
      <alignment vertical="center" wrapText="1"/>
    </xf>
    <xf numFmtId="0" fontId="15" fillId="0" borderId="58" xfId="21368" applyBorder="1" applyAlignment="1">
      <alignment vertical="center" wrapText="1"/>
    </xf>
    <xf numFmtId="0" fontId="15" fillId="0" borderId="59" xfId="21368" applyBorder="1" applyAlignment="1">
      <alignment vertical="center" wrapText="1"/>
    </xf>
    <xf numFmtId="0" fontId="21" fillId="3" borderId="2" xfId="21368" applyFont="1" applyFill="1" applyBorder="1" applyAlignment="1">
      <alignment horizontal="center" vertical="center"/>
    </xf>
    <xf numFmtId="0" fontId="21" fillId="3" borderId="16" xfId="21368" applyFont="1" applyFill="1" applyBorder="1" applyAlignment="1">
      <alignment horizontal="center" vertical="center"/>
    </xf>
    <xf numFmtId="0" fontId="22" fillId="0" borderId="48" xfId="21368" applyFont="1" applyBorder="1" applyAlignment="1">
      <alignment horizontal="left" vertical="top"/>
    </xf>
    <xf numFmtId="0" fontId="22" fillId="0" borderId="49" xfId="21368" applyFont="1" applyBorder="1" applyAlignment="1">
      <alignment horizontal="left" vertical="top"/>
    </xf>
    <xf numFmtId="0" fontId="53" fillId="0" borderId="0" xfId="569" applyFont="1" applyFill="1" applyBorder="1" applyAlignment="1" applyProtection="1">
      <alignment vertical="top" wrapText="1"/>
    </xf>
    <xf numFmtId="0" fontId="15" fillId="0" borderId="0" xfId="569" applyFill="1" applyBorder="1" applyAlignment="1">
      <alignment vertical="top" wrapText="1"/>
    </xf>
    <xf numFmtId="0" fontId="15" fillId="0" borderId="0" xfId="569" applyFont="1" applyFill="1" applyBorder="1" applyAlignment="1" applyProtection="1">
      <alignment horizontal="right" vertical="top" wrapText="1"/>
    </xf>
    <xf numFmtId="0" fontId="15" fillId="0" borderId="0" xfId="569" applyFont="1" applyFill="1" applyBorder="1" applyAlignment="1">
      <alignment vertical="top" wrapText="1"/>
    </xf>
    <xf numFmtId="0" fontId="15" fillId="0" borderId="0" xfId="569" applyFont="1" applyFill="1" applyBorder="1" applyAlignment="1" applyProtection="1">
      <alignment horizontal="left" vertical="top" wrapText="1"/>
    </xf>
    <xf numFmtId="0" fontId="15" fillId="0" borderId="0" xfId="569" applyFont="1" applyFill="1" applyBorder="1" applyAlignment="1">
      <alignment horizontal="left" vertical="top" wrapText="1"/>
    </xf>
    <xf numFmtId="0" fontId="21" fillId="3" borderId="3" xfId="0" applyFont="1" applyFill="1" applyBorder="1" applyAlignment="1" applyProtection="1">
      <alignment horizontal="left" vertical="top"/>
    </xf>
    <xf numFmtId="0" fontId="21" fillId="3" borderId="4" xfId="0" applyFont="1" applyFill="1" applyBorder="1" applyAlignment="1" applyProtection="1">
      <alignment horizontal="left" vertical="top"/>
    </xf>
    <xf numFmtId="0" fontId="21" fillId="3" borderId="5" xfId="0" applyFont="1" applyFill="1" applyBorder="1" applyAlignment="1" applyProtection="1">
      <alignment horizontal="left" vertical="top"/>
    </xf>
    <xf numFmtId="0" fontId="144" fillId="47" borderId="66" xfId="8719" applyFont="1" applyFill="1" applyBorder="1" applyAlignment="1">
      <alignment horizontal="center"/>
    </xf>
    <xf numFmtId="0" fontId="144" fillId="47" borderId="29" xfId="8719" applyFont="1" applyFill="1" applyBorder="1" applyAlignment="1">
      <alignment horizontal="center"/>
    </xf>
    <xf numFmtId="0" fontId="144" fillId="47" borderId="31" xfId="8719" applyFont="1" applyFill="1" applyBorder="1" applyAlignment="1">
      <alignment horizontal="center"/>
    </xf>
    <xf numFmtId="0" fontId="145" fillId="48" borderId="67" xfId="8719" applyFont="1" applyFill="1" applyBorder="1" applyAlignment="1">
      <alignment horizontal="center"/>
    </xf>
    <xf numFmtId="0" fontId="145" fillId="48" borderId="0" xfId="8719" applyFont="1" applyFill="1" applyAlignment="1">
      <alignment horizontal="center"/>
    </xf>
    <xf numFmtId="0" fontId="145" fillId="48" borderId="41" xfId="8719" applyFont="1" applyFill="1" applyBorder="1" applyAlignment="1">
      <alignment horizontal="center"/>
    </xf>
    <xf numFmtId="0" fontId="150" fillId="44" borderId="68" xfId="8719" applyFont="1" applyFill="1" applyBorder="1" applyAlignment="1">
      <alignment horizontal="center"/>
    </xf>
    <xf numFmtId="0" fontId="150" fillId="44" borderId="69" xfId="8719" applyFont="1" applyFill="1" applyBorder="1" applyAlignment="1">
      <alignment horizontal="center"/>
    </xf>
    <xf numFmtId="0" fontId="150" fillId="44" borderId="70" xfId="8719" applyFont="1" applyFill="1" applyBorder="1" applyAlignment="1">
      <alignment horizontal="center"/>
    </xf>
    <xf numFmtId="0" fontId="146" fillId="45" borderId="71" xfId="8719" applyFont="1" applyFill="1" applyBorder="1" applyAlignment="1">
      <alignment horizontal="center"/>
    </xf>
    <xf numFmtId="0" fontId="146" fillId="45" borderId="72" xfId="8719" applyFont="1" applyFill="1" applyBorder="1" applyAlignment="1">
      <alignment horizontal="center"/>
    </xf>
    <xf numFmtId="14" fontId="150" fillId="43" borderId="73" xfId="8719" applyNumberFormat="1" applyFont="1" applyFill="1" applyBorder="1" applyAlignment="1" applyProtection="1">
      <alignment horizontal="center"/>
      <protection locked="0"/>
    </xf>
    <xf numFmtId="0" fontId="150" fillId="43" borderId="69" xfId="8719" applyFont="1" applyFill="1" applyBorder="1" applyAlignment="1" applyProtection="1">
      <alignment horizontal="center"/>
      <protection locked="0"/>
    </xf>
    <xf numFmtId="0" fontId="150" fillId="43" borderId="70" xfId="8719" applyFont="1" applyFill="1" applyBorder="1" applyAlignment="1" applyProtection="1">
      <alignment horizontal="center"/>
      <protection locked="0"/>
    </xf>
    <xf numFmtId="0" fontId="146" fillId="45" borderId="74" xfId="8719" applyFont="1" applyFill="1" applyBorder="1" applyAlignment="1">
      <alignment horizontal="center"/>
    </xf>
    <xf numFmtId="0" fontId="146" fillId="45" borderId="75" xfId="8719" applyFont="1" applyFill="1" applyBorder="1" applyAlignment="1">
      <alignment horizontal="center"/>
    </xf>
    <xf numFmtId="0" fontId="101" fillId="45" borderId="68" xfId="8719" applyFont="1" applyFill="1" applyBorder="1" applyAlignment="1">
      <alignment horizontal="center"/>
    </xf>
    <xf numFmtId="0" fontId="101" fillId="45" borderId="69" xfId="8719" applyFont="1" applyFill="1" applyBorder="1" applyAlignment="1">
      <alignment horizontal="center"/>
    </xf>
    <xf numFmtId="0" fontId="101" fillId="45" borderId="70" xfId="8719" applyFont="1" applyFill="1" applyBorder="1" applyAlignment="1">
      <alignment horizontal="center"/>
    </xf>
    <xf numFmtId="14" fontId="150" fillId="43" borderId="68" xfId="8719" applyNumberFormat="1" applyFont="1" applyFill="1" applyBorder="1" applyAlignment="1" applyProtection="1">
      <alignment horizontal="center" vertical="center"/>
      <protection locked="0"/>
    </xf>
    <xf numFmtId="0" fontId="150" fillId="43" borderId="69" xfId="8719" applyFont="1" applyFill="1" applyBorder="1" applyAlignment="1" applyProtection="1">
      <alignment horizontal="center" vertical="center"/>
      <protection locked="0"/>
    </xf>
    <xf numFmtId="0" fontId="150" fillId="43" borderId="70" xfId="8719" applyFont="1" applyFill="1" applyBorder="1" applyAlignment="1" applyProtection="1">
      <alignment horizontal="center" vertical="center"/>
      <protection locked="0"/>
    </xf>
    <xf numFmtId="1" fontId="5" fillId="44" borderId="68" xfId="8719" applyNumberFormat="1" applyFill="1" applyBorder="1" applyAlignment="1">
      <alignment horizontal="center"/>
    </xf>
    <xf numFmtId="0" fontId="5" fillId="44" borderId="69" xfId="8719" applyFill="1" applyBorder="1" applyAlignment="1">
      <alignment horizontal="center"/>
    </xf>
    <xf numFmtId="0" fontId="5" fillId="44" borderId="70" xfId="8719" applyFill="1" applyBorder="1" applyAlignment="1">
      <alignment horizontal="center"/>
    </xf>
    <xf numFmtId="0" fontId="150" fillId="43" borderId="68" xfId="8719" applyFont="1" applyFill="1" applyBorder="1" applyAlignment="1" applyProtection="1">
      <alignment horizontal="center"/>
      <protection locked="0"/>
    </xf>
    <xf numFmtId="0" fontId="101" fillId="45" borderId="0" xfId="8719" applyFont="1" applyFill="1" applyAlignment="1">
      <alignment horizontal="center"/>
    </xf>
    <xf numFmtId="0" fontId="101" fillId="45" borderId="41" xfId="8719" applyFont="1" applyFill="1" applyBorder="1" applyAlignment="1">
      <alignment horizontal="center"/>
    </xf>
    <xf numFmtId="0" fontId="5" fillId="44" borderId="72" xfId="8719" applyFill="1" applyBorder="1" applyAlignment="1">
      <alignment horizontal="center"/>
    </xf>
    <xf numFmtId="0" fontId="5" fillId="44" borderId="76" xfId="8719" applyFill="1" applyBorder="1" applyAlignment="1">
      <alignment horizontal="center"/>
    </xf>
    <xf numFmtId="0" fontId="150" fillId="44" borderId="68" xfId="8719" applyFont="1" applyFill="1" applyBorder="1" applyAlignment="1">
      <alignment horizontal="left"/>
    </xf>
    <xf numFmtId="0" fontId="150" fillId="44" borderId="69" xfId="8719" applyFont="1" applyFill="1" applyBorder="1" applyAlignment="1">
      <alignment horizontal="left"/>
    </xf>
    <xf numFmtId="0" fontId="150" fillId="44" borderId="70" xfId="8719" applyFont="1" applyFill="1" applyBorder="1" applyAlignment="1">
      <alignment horizontal="left"/>
    </xf>
    <xf numFmtId="0" fontId="5"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7" fillId="45" borderId="68" xfId="8719" applyFont="1" applyFill="1" applyBorder="1" applyAlignment="1">
      <alignment horizontal="center" wrapText="1"/>
    </xf>
    <xf numFmtId="0" fontId="147" fillId="45" borderId="69" xfId="8719" applyFont="1" applyFill="1" applyBorder="1" applyAlignment="1">
      <alignment horizontal="center" wrapText="1"/>
    </xf>
    <xf numFmtId="0" fontId="147" fillId="45" borderId="70" xfId="8719" applyFont="1" applyFill="1" applyBorder="1" applyAlignment="1">
      <alignment horizontal="center" wrapText="1"/>
    </xf>
    <xf numFmtId="0" fontId="145" fillId="45" borderId="77" xfId="8719" applyFont="1" applyFill="1" applyBorder="1" applyAlignment="1">
      <alignment horizontal="center"/>
    </xf>
    <xf numFmtId="0" fontId="145" fillId="45" borderId="78" xfId="8719" applyFont="1" applyFill="1" applyBorder="1" applyAlignment="1">
      <alignment horizontal="center"/>
    </xf>
    <xf numFmtId="0" fontId="145" fillId="45" borderId="79" xfId="8719" applyFont="1" applyFill="1" applyBorder="1" applyAlignment="1">
      <alignment horizontal="center"/>
    </xf>
    <xf numFmtId="0" fontId="151" fillId="45" borderId="80" xfId="8719" applyFont="1" applyFill="1" applyBorder="1" applyAlignment="1">
      <alignment horizontal="center"/>
    </xf>
    <xf numFmtId="0" fontId="151" fillId="45" borderId="2" xfId="8719" applyFont="1" applyFill="1" applyBorder="1" applyAlignment="1">
      <alignment horizontal="center"/>
    </xf>
    <xf numFmtId="0" fontId="151" fillId="45" borderId="7"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151" fillId="45" borderId="81" xfId="8719" applyFont="1" applyFill="1" applyBorder="1" applyAlignment="1">
      <alignment horizontal="center"/>
    </xf>
    <xf numFmtId="0" fontId="151" fillId="44" borderId="3" xfId="8719" applyFont="1" applyFill="1" applyBorder="1" applyAlignment="1">
      <alignment horizontal="center"/>
    </xf>
    <xf numFmtId="0" fontId="151" fillId="44" borderId="4" xfId="8719" applyFont="1" applyFill="1" applyBorder="1" applyAlignment="1">
      <alignment horizontal="center"/>
    </xf>
    <xf numFmtId="0" fontId="151" fillId="44" borderId="5" xfId="8719" applyFont="1" applyFill="1" applyBorder="1" applyAlignment="1">
      <alignment horizontal="center"/>
    </xf>
    <xf numFmtId="9" fontId="151" fillId="44" borderId="3" xfId="8719" applyNumberFormat="1" applyFont="1" applyFill="1" applyBorder="1" applyAlignment="1">
      <alignment horizontal="center"/>
    </xf>
    <xf numFmtId="9" fontId="151" fillId="44" borderId="4" xfId="8719" applyNumberFormat="1" applyFont="1" applyFill="1" applyBorder="1" applyAlignment="1">
      <alignment horizontal="center"/>
    </xf>
    <xf numFmtId="9" fontId="151" fillId="44" borderId="81" xfId="8719" applyNumberFormat="1" applyFont="1" applyFill="1" applyBorder="1" applyAlignment="1">
      <alignment horizontal="center"/>
    </xf>
    <xf numFmtId="9" fontId="151" fillId="43" borderId="82" xfId="8719" applyNumberFormat="1" applyFont="1" applyFill="1" applyBorder="1" applyAlignment="1">
      <alignment horizontal="center"/>
    </xf>
    <xf numFmtId="0" fontId="151" fillId="43" borderId="11" xfId="8719" applyFont="1" applyFill="1" applyBorder="1" applyAlignment="1">
      <alignment horizontal="center"/>
    </xf>
    <xf numFmtId="0" fontId="151" fillId="44" borderId="83" xfId="8719" applyFont="1" applyFill="1" applyBorder="1" applyAlignment="1">
      <alignment horizontal="center"/>
    </xf>
    <xf numFmtId="0" fontId="151" fillId="44" borderId="84" xfId="8719" applyFont="1" applyFill="1" applyBorder="1" applyAlignment="1">
      <alignment horizontal="center"/>
    </xf>
    <xf numFmtId="0" fontId="151" fillId="44" borderId="85" xfId="8719" applyFont="1" applyFill="1" applyBorder="1" applyAlignment="1">
      <alignment horizontal="center"/>
    </xf>
    <xf numFmtId="9" fontId="5" fillId="43" borderId="68" xfId="8719" applyNumberFormat="1" applyFill="1" applyBorder="1" applyAlignment="1" applyProtection="1">
      <alignment horizontal="center"/>
      <protection locked="0"/>
    </xf>
    <xf numFmtId="9" fontId="5" fillId="43" borderId="69" xfId="8719" applyNumberFormat="1" applyFill="1" applyBorder="1" applyAlignment="1" applyProtection="1">
      <alignment horizontal="center"/>
      <protection locked="0"/>
    </xf>
    <xf numFmtId="9" fontId="5" fillId="43" borderId="70" xfId="8719" applyNumberFormat="1" applyFill="1" applyBorder="1" applyAlignment="1" applyProtection="1">
      <alignment horizontal="center"/>
      <protection locked="0"/>
    </xf>
    <xf numFmtId="0" fontId="151" fillId="44" borderId="90" xfId="8719" applyFont="1" applyFill="1" applyBorder="1" applyAlignment="1">
      <alignment horizontal="center"/>
    </xf>
    <xf numFmtId="0" fontId="151" fillId="44" borderId="42" xfId="8719" applyFont="1" applyFill="1" applyBorder="1" applyAlignment="1">
      <alignment horizontal="center"/>
    </xf>
    <xf numFmtId="0" fontId="151" fillId="44" borderId="89" xfId="8719" applyFont="1" applyFill="1" applyBorder="1" applyAlignment="1">
      <alignment horizontal="center"/>
    </xf>
    <xf numFmtId="9" fontId="151" fillId="44" borderId="90" xfId="1022" applyFont="1" applyFill="1" applyBorder="1" applyAlignment="1">
      <alignment horizontal="center"/>
    </xf>
    <xf numFmtId="9" fontId="151" fillId="44" borderId="42" xfId="1022" applyFont="1" applyFill="1" applyBorder="1" applyAlignment="1">
      <alignment horizontal="center"/>
    </xf>
    <xf numFmtId="9" fontId="151" fillId="44" borderId="44" xfId="1022" applyFont="1" applyFill="1" applyBorder="1" applyAlignment="1">
      <alignment horizontal="center"/>
    </xf>
    <xf numFmtId="0" fontId="64" fillId="45" borderId="68" xfId="8719" applyFont="1" applyFill="1" applyBorder="1" applyAlignment="1">
      <alignment horizontal="center"/>
    </xf>
    <xf numFmtId="0" fontId="64" fillId="45" borderId="69" xfId="8719" applyFont="1" applyFill="1" applyBorder="1" applyAlignment="1">
      <alignment horizontal="center"/>
    </xf>
    <xf numFmtId="0" fontId="64" fillId="45" borderId="70" xfId="8719" applyFont="1" applyFill="1" applyBorder="1" applyAlignment="1">
      <alignment horizontal="center"/>
    </xf>
    <xf numFmtId="0" fontId="152" fillId="45" borderId="67" xfId="8719" applyFont="1" applyFill="1" applyBorder="1" applyAlignment="1">
      <alignment horizontal="center" vertical="center" wrapText="1"/>
    </xf>
    <xf numFmtId="0" fontId="152" fillId="45" borderId="0" xfId="8719" applyFont="1" applyFill="1" applyAlignment="1">
      <alignment horizontal="center" vertical="center"/>
    </xf>
    <xf numFmtId="0" fontId="152" fillId="45" borderId="41" xfId="8719" applyFont="1" applyFill="1" applyBorder="1" applyAlignment="1">
      <alignment horizontal="center" vertical="center"/>
    </xf>
    <xf numFmtId="0" fontId="152" fillId="45" borderId="67" xfId="8719" applyFont="1" applyFill="1" applyBorder="1" applyAlignment="1">
      <alignment horizontal="center" vertical="center"/>
    </xf>
    <xf numFmtId="0" fontId="146" fillId="45" borderId="67" xfId="8719" applyFont="1" applyFill="1" applyBorder="1" applyAlignment="1">
      <alignment horizontal="center" vertical="center" wrapText="1"/>
    </xf>
    <xf numFmtId="0" fontId="146" fillId="45" borderId="0" xfId="8719" applyFont="1" applyFill="1" applyAlignment="1">
      <alignment horizontal="center" vertical="center"/>
    </xf>
    <xf numFmtId="0" fontId="146" fillId="45" borderId="41" xfId="8719" applyFont="1" applyFill="1" applyBorder="1" applyAlignment="1">
      <alignment horizontal="center" vertical="center"/>
    </xf>
    <xf numFmtId="0" fontId="146" fillId="45" borderId="67" xfId="8719" applyFont="1" applyFill="1" applyBorder="1" applyAlignment="1">
      <alignment horizontal="center" vertical="center"/>
    </xf>
    <xf numFmtId="0" fontId="53" fillId="45" borderId="68" xfId="8719" applyFont="1" applyFill="1" applyBorder="1" applyAlignment="1">
      <alignment horizontal="center"/>
    </xf>
    <xf numFmtId="0" fontId="53" fillId="45" borderId="69" xfId="8719" applyFont="1" applyFill="1" applyBorder="1" applyAlignment="1">
      <alignment horizontal="center"/>
    </xf>
    <xf numFmtId="0" fontId="53" fillId="45" borderId="70" xfId="8719" applyFont="1" applyFill="1" applyBorder="1" applyAlignment="1">
      <alignment horizontal="center"/>
    </xf>
    <xf numFmtId="0" fontId="53" fillId="45" borderId="66" xfId="8719" applyFont="1" applyFill="1" applyBorder="1" applyAlignment="1">
      <alignment horizontal="center" vertical="center" wrapText="1"/>
    </xf>
    <xf numFmtId="0" fontId="146" fillId="45" borderId="29" xfId="8719" applyFont="1" applyFill="1" applyBorder="1" applyAlignment="1">
      <alignment horizontal="center" vertical="center" wrapText="1"/>
    </xf>
    <xf numFmtId="0" fontId="146" fillId="45" borderId="31" xfId="8719" applyFont="1" applyFill="1" applyBorder="1" applyAlignment="1">
      <alignment horizontal="center" vertical="center" wrapText="1"/>
    </xf>
    <xf numFmtId="0" fontId="146" fillId="45" borderId="88" xfId="8719" applyFont="1" applyFill="1" applyBorder="1" applyAlignment="1">
      <alignment horizontal="center" vertical="center" wrapText="1"/>
    </xf>
    <xf numFmtId="0" fontId="146" fillId="45" borderId="42" xfId="8719" applyFont="1" applyFill="1" applyBorder="1" applyAlignment="1">
      <alignment horizontal="center" vertical="center" wrapText="1"/>
    </xf>
    <xf numFmtId="0" fontId="146" fillId="45" borderId="44" xfId="8719" applyFont="1" applyFill="1" applyBorder="1" applyAlignment="1">
      <alignment horizontal="center" vertical="center" wrapText="1"/>
    </xf>
    <xf numFmtId="0" fontId="151" fillId="44" borderId="88" xfId="8719" applyFont="1" applyFill="1" applyBorder="1" applyAlignment="1">
      <alignment horizontal="center"/>
    </xf>
    <xf numFmtId="0" fontId="145" fillId="43" borderId="82" xfId="8719" applyFont="1" applyFill="1" applyBorder="1" applyAlignment="1" applyProtection="1">
      <alignment horizontal="right"/>
      <protection locked="0"/>
    </xf>
    <xf numFmtId="0" fontId="145" fillId="43" borderId="11" xfId="8719" applyFont="1" applyFill="1" applyBorder="1" applyAlignment="1" applyProtection="1">
      <alignment horizontal="right"/>
      <protection locked="0"/>
    </xf>
    <xf numFmtId="0" fontId="145" fillId="43" borderId="93" xfId="8719" applyFont="1" applyFill="1" applyBorder="1" applyAlignment="1" applyProtection="1">
      <alignment horizontal="right"/>
      <protection locked="0"/>
    </xf>
    <xf numFmtId="0" fontId="148" fillId="43" borderId="5" xfId="8719" applyFont="1" applyFill="1" applyBorder="1" applyAlignment="1" applyProtection="1">
      <alignment horizontal="center"/>
      <protection locked="0"/>
    </xf>
    <xf numFmtId="0" fontId="148" fillId="43" borderId="11" xfId="8719" applyFont="1" applyFill="1" applyBorder="1" applyAlignment="1" applyProtection="1">
      <alignment horizontal="center"/>
      <protection locked="0"/>
    </xf>
    <xf numFmtId="0" fontId="148" fillId="43" borderId="93" xfId="8719" applyFont="1" applyFill="1" applyBorder="1" applyAlignment="1" applyProtection="1">
      <alignment horizontal="center"/>
      <protection locked="0"/>
    </xf>
    <xf numFmtId="0" fontId="148" fillId="43" borderId="82" xfId="8719" applyFont="1" applyFill="1" applyBorder="1" applyAlignment="1" applyProtection="1">
      <alignment horizontal="center"/>
      <protection locked="0"/>
    </xf>
    <xf numFmtId="0" fontId="148" fillId="43" borderId="3" xfId="8719" applyFont="1" applyFill="1" applyBorder="1" applyAlignment="1" applyProtection="1">
      <alignment horizontal="center"/>
      <protection locked="0"/>
    </xf>
    <xf numFmtId="1" fontId="5" fillId="43" borderId="11" xfId="8719" applyNumberFormat="1" applyFill="1" applyBorder="1" applyAlignment="1" applyProtection="1">
      <alignment horizontal="center"/>
      <protection locked="0"/>
    </xf>
    <xf numFmtId="0" fontId="53" fillId="43" borderId="71" xfId="8719" applyFont="1" applyFill="1" applyBorder="1" applyAlignment="1" applyProtection="1">
      <alignment horizontal="right"/>
      <protection locked="0"/>
    </xf>
    <xf numFmtId="0" fontId="53" fillId="43" borderId="72" xfId="8719" applyFont="1" applyFill="1" applyBorder="1" applyAlignment="1" applyProtection="1">
      <alignment horizontal="right"/>
      <protection locked="0"/>
    </xf>
    <xf numFmtId="0" fontId="53" fillId="43" borderId="76" xfId="8719" applyFont="1" applyFill="1" applyBorder="1" applyAlignment="1" applyProtection="1">
      <alignment horizontal="right"/>
      <protection locked="0"/>
    </xf>
    <xf numFmtId="0" fontId="153" fillId="43" borderId="91" xfId="8719" applyFont="1" applyFill="1" applyBorder="1" applyAlignment="1" applyProtection="1">
      <alignment horizontal="center"/>
      <protection locked="0"/>
    </xf>
    <xf numFmtId="0" fontId="153" fillId="43" borderId="72" xfId="8719" applyFont="1" applyFill="1" applyBorder="1" applyAlignment="1" applyProtection="1">
      <alignment horizontal="center"/>
      <protection locked="0"/>
    </xf>
    <xf numFmtId="0" fontId="153" fillId="43" borderId="76" xfId="8719" applyFont="1" applyFill="1" applyBorder="1" applyAlignment="1" applyProtection="1">
      <alignment horizontal="center"/>
      <protection locked="0"/>
    </xf>
    <xf numFmtId="0" fontId="148" fillId="43" borderId="71" xfId="8719" applyFont="1" applyFill="1" applyBorder="1" applyAlignment="1" applyProtection="1">
      <alignment horizontal="center"/>
      <protection locked="0"/>
    </xf>
    <xf numFmtId="0" fontId="148" fillId="43" borderId="72" xfId="8719" applyFont="1" applyFill="1" applyBorder="1" applyAlignment="1" applyProtection="1">
      <alignment horizontal="center"/>
      <protection locked="0"/>
    </xf>
    <xf numFmtId="0" fontId="148" fillId="43" borderId="92" xfId="8719" applyFont="1" applyFill="1" applyBorder="1" applyAlignment="1" applyProtection="1">
      <alignment horizontal="center"/>
      <protection locked="0"/>
    </xf>
    <xf numFmtId="1" fontId="148" fillId="43" borderId="13" xfId="8719" applyNumberFormat="1" applyFont="1" applyFill="1" applyBorder="1" applyAlignment="1" applyProtection="1">
      <alignment horizontal="center"/>
      <protection locked="0"/>
    </xf>
    <xf numFmtId="1" fontId="150" fillId="44" borderId="13" xfId="8719" applyNumberFormat="1" applyFont="1" applyFill="1" applyBorder="1" applyAlignment="1">
      <alignment horizontal="center"/>
    </xf>
    <xf numFmtId="9" fontId="150" fillId="44" borderId="13" xfId="8721" applyFont="1" applyFill="1" applyBorder="1" applyAlignment="1">
      <alignment horizontal="center"/>
    </xf>
    <xf numFmtId="1" fontId="5" fillId="43" borderId="13" xfId="8719" applyNumberFormat="1" applyFill="1" applyBorder="1" applyAlignment="1" applyProtection="1">
      <alignment horizontal="center"/>
      <protection locked="0"/>
    </xf>
    <xf numFmtId="0" fontId="5" fillId="43" borderId="5" xfId="8719" applyFill="1" applyBorder="1" applyAlignment="1" applyProtection="1">
      <alignment horizontal="center"/>
      <protection locked="0"/>
    </xf>
    <xf numFmtId="0" fontId="5" fillId="43" borderId="11" xfId="8719" applyFill="1" applyBorder="1" applyAlignment="1" applyProtection="1">
      <alignment horizontal="center"/>
      <protection locked="0"/>
    </xf>
    <xf numFmtId="0" fontId="5" fillId="43" borderId="93" xfId="8719" applyFill="1" applyBorder="1" applyAlignment="1" applyProtection="1">
      <alignment horizontal="center"/>
      <protection locked="0"/>
    </xf>
    <xf numFmtId="0" fontId="5" fillId="43" borderId="82" xfId="8719" applyFill="1" applyBorder="1" applyAlignment="1" applyProtection="1">
      <alignment horizontal="center"/>
      <protection locked="0"/>
    </xf>
    <xf numFmtId="0" fontId="5" fillId="43" borderId="3" xfId="8719" applyFill="1" applyBorder="1" applyAlignment="1" applyProtection="1">
      <alignment horizontal="center"/>
      <protection locked="0"/>
    </xf>
    <xf numFmtId="0" fontId="154" fillId="43" borderId="82" xfId="8719" applyFont="1" applyFill="1" applyBorder="1" applyAlignment="1" applyProtection="1">
      <alignment horizontal="right"/>
      <protection locked="0"/>
    </xf>
    <xf numFmtId="0" fontId="154" fillId="43" borderId="11" xfId="8719" applyFont="1" applyFill="1" applyBorder="1" applyAlignment="1" applyProtection="1">
      <alignment horizontal="right"/>
      <protection locked="0"/>
    </xf>
    <xf numFmtId="0" fontId="154" fillId="43" borderId="93" xfId="8719" applyFont="1" applyFill="1" applyBorder="1" applyAlignment="1" applyProtection="1">
      <alignment horizontal="right"/>
      <protection locked="0"/>
    </xf>
    <xf numFmtId="0" fontId="146" fillId="43" borderId="94" xfId="8719" applyFont="1" applyFill="1" applyBorder="1" applyAlignment="1" applyProtection="1">
      <alignment horizontal="right"/>
      <protection locked="0"/>
    </xf>
    <xf numFmtId="0" fontId="146" fillId="43" borderId="4" xfId="8719" applyFont="1" applyFill="1" applyBorder="1" applyAlignment="1" applyProtection="1">
      <alignment horizontal="right"/>
      <protection locked="0"/>
    </xf>
    <xf numFmtId="0" fontId="146" fillId="43" borderId="81" xfId="8719" applyFont="1" applyFill="1" applyBorder="1" applyAlignment="1" applyProtection="1">
      <alignment horizontal="right"/>
      <protection locked="0"/>
    </xf>
    <xf numFmtId="0" fontId="146" fillId="43" borderId="82" xfId="8719" applyFont="1" applyFill="1" applyBorder="1" applyAlignment="1" applyProtection="1">
      <alignment horizontal="right"/>
      <protection locked="0"/>
    </xf>
    <xf numFmtId="0" fontId="146" fillId="43" borderId="11" xfId="8719" applyFont="1" applyFill="1" applyBorder="1" applyAlignment="1" applyProtection="1">
      <alignment horizontal="right"/>
      <protection locked="0"/>
    </xf>
    <xf numFmtId="0" fontId="146" fillId="43" borderId="93" xfId="8719" applyFont="1" applyFill="1" applyBorder="1" applyAlignment="1" applyProtection="1">
      <alignment horizontal="right"/>
      <protection locked="0"/>
    </xf>
    <xf numFmtId="0" fontId="146" fillId="43" borderId="74" xfId="8719" applyFont="1" applyFill="1" applyBorder="1" applyAlignment="1" applyProtection="1">
      <alignment horizontal="right"/>
      <protection locked="0"/>
    </xf>
    <xf numFmtId="0" fontId="146" fillId="43" borderId="75" xfId="8719" applyFont="1" applyFill="1" applyBorder="1" applyAlignment="1" applyProtection="1">
      <alignment horizontal="right"/>
      <protection locked="0"/>
    </xf>
    <xf numFmtId="0" fontId="146" fillId="43" borderId="95" xfId="8719" applyFont="1" applyFill="1" applyBorder="1" applyAlignment="1" applyProtection="1">
      <alignment horizontal="right"/>
      <protection locked="0"/>
    </xf>
    <xf numFmtId="0" fontId="5" fillId="43" borderId="85" xfId="8719" applyFill="1" applyBorder="1" applyAlignment="1" applyProtection="1">
      <alignment horizontal="center"/>
      <protection locked="0"/>
    </xf>
    <xf numFmtId="0" fontId="5" fillId="43" borderId="75" xfId="8719" applyFill="1" applyBorder="1" applyAlignment="1" applyProtection="1">
      <alignment horizontal="center"/>
      <protection locked="0"/>
    </xf>
    <xf numFmtId="0" fontId="5" fillId="43" borderId="95" xfId="8719" applyFill="1" applyBorder="1" applyAlignment="1" applyProtection="1">
      <alignment horizontal="center"/>
      <protection locked="0"/>
    </xf>
    <xf numFmtId="0" fontId="5" fillId="43" borderId="74" xfId="8719" applyFill="1" applyBorder="1" applyAlignment="1" applyProtection="1">
      <alignment horizontal="center"/>
      <protection locked="0"/>
    </xf>
    <xf numFmtId="0" fontId="5" fillId="43" borderId="86" xfId="8719" applyFill="1" applyBorder="1" applyAlignment="1" applyProtection="1">
      <alignment horizontal="center"/>
      <protection locked="0"/>
    </xf>
    <xf numFmtId="0" fontId="145" fillId="45" borderId="68" xfId="8719" applyFont="1" applyFill="1" applyBorder="1" applyAlignment="1">
      <alignment horizontal="center"/>
    </xf>
    <xf numFmtId="0" fontId="145" fillId="45" borderId="69" xfId="8719" applyFont="1" applyFill="1" applyBorder="1" applyAlignment="1">
      <alignment horizontal="center"/>
    </xf>
    <xf numFmtId="0" fontId="145" fillId="45" borderId="70" xfId="8719" applyFont="1" applyFill="1" applyBorder="1" applyAlignment="1">
      <alignment horizontal="center"/>
    </xf>
    <xf numFmtId="0" fontId="146" fillId="45" borderId="66" xfId="8719" applyFont="1" applyFill="1" applyBorder="1" applyAlignment="1">
      <alignment horizontal="center"/>
    </xf>
    <xf numFmtId="0" fontId="146" fillId="45" borderId="29" xfId="8719" applyFont="1" applyFill="1" applyBorder="1" applyAlignment="1">
      <alignment horizontal="center"/>
    </xf>
    <xf numFmtId="0" fontId="146" fillId="45" borderId="31" xfId="8719" applyFont="1" applyFill="1" applyBorder="1" applyAlignment="1">
      <alignment horizontal="center"/>
    </xf>
    <xf numFmtId="0" fontId="53" fillId="45" borderId="29" xfId="8719" applyFont="1" applyFill="1" applyBorder="1" applyAlignment="1">
      <alignment horizontal="center" vertical="center" wrapText="1"/>
    </xf>
    <xf numFmtId="0" fontId="53" fillId="45" borderId="31" xfId="8719" applyFont="1" applyFill="1" applyBorder="1" applyAlignment="1">
      <alignment horizontal="center" vertical="center" wrapText="1"/>
    </xf>
    <xf numFmtId="0" fontId="31" fillId="45" borderId="66" xfId="8719" applyFont="1" applyFill="1" applyBorder="1" applyAlignment="1">
      <alignment horizontal="center" vertical="center" wrapText="1"/>
    </xf>
    <xf numFmtId="0" fontId="31" fillId="45" borderId="29" xfId="8719" applyFont="1" applyFill="1" applyBorder="1" applyAlignment="1">
      <alignment horizontal="center" vertical="center" wrapText="1"/>
    </xf>
    <xf numFmtId="0" fontId="31" fillId="45" borderId="31" xfId="8719" applyFont="1" applyFill="1" applyBorder="1" applyAlignment="1">
      <alignment horizontal="center" vertical="center" wrapText="1"/>
    </xf>
    <xf numFmtId="0" fontId="156" fillId="43" borderId="82" xfId="8719" applyFont="1" applyFill="1" applyBorder="1" applyAlignment="1" applyProtection="1">
      <alignment horizontal="center"/>
      <protection locked="0"/>
    </xf>
    <xf numFmtId="0" fontId="156" fillId="43" borderId="11" xfId="8719" applyFont="1" applyFill="1" applyBorder="1" applyAlignment="1" applyProtection="1">
      <alignment horizontal="center"/>
      <protection locked="0"/>
    </xf>
    <xf numFmtId="182" fontId="156" fillId="43" borderId="11" xfId="8720" applyNumberFormat="1" applyFont="1" applyFill="1" applyBorder="1" applyAlignment="1" applyProtection="1">
      <alignment horizontal="center"/>
      <protection locked="0"/>
    </xf>
    <xf numFmtId="180" fontId="156" fillId="43" borderId="11" xfId="8719" applyNumberFormat="1" applyFont="1" applyFill="1" applyBorder="1" applyAlignment="1" applyProtection="1">
      <alignment horizontal="center"/>
      <protection locked="0"/>
    </xf>
    <xf numFmtId="182" fontId="156" fillId="43" borderId="11" xfId="700" applyNumberFormat="1" applyFont="1" applyFill="1" applyBorder="1" applyAlignment="1" applyProtection="1">
      <alignment horizontal="center"/>
      <protection locked="0"/>
    </xf>
    <xf numFmtId="182" fontId="156" fillId="43" borderId="93" xfId="700" applyNumberFormat="1" applyFont="1" applyFill="1" applyBorder="1" applyAlignment="1" applyProtection="1">
      <alignment horizontal="center"/>
      <protection locked="0"/>
    </xf>
    <xf numFmtId="0" fontId="53" fillId="45" borderId="66" xfId="8719" applyFont="1" applyFill="1" applyBorder="1" applyAlignment="1">
      <alignment horizontal="center"/>
    </xf>
    <xf numFmtId="0" fontId="53" fillId="45" borderId="29" xfId="8719" applyFont="1" applyFill="1" applyBorder="1" applyAlignment="1">
      <alignment horizontal="center"/>
    </xf>
    <xf numFmtId="0" fontId="53" fillId="45" borderId="31" xfId="8719" applyFont="1" applyFill="1" applyBorder="1" applyAlignment="1">
      <alignment horizontal="center"/>
    </xf>
    <xf numFmtId="0" fontId="53" fillId="45" borderId="78" xfId="8719" applyFont="1" applyFill="1" applyBorder="1" applyAlignment="1">
      <alignment horizontal="center"/>
    </xf>
    <xf numFmtId="0" fontId="53" fillId="45" borderId="79" xfId="8719" applyFont="1" applyFill="1" applyBorder="1" applyAlignment="1">
      <alignment horizontal="center"/>
    </xf>
    <xf numFmtId="0" fontId="156" fillId="43" borderId="93" xfId="8719" applyFont="1" applyFill="1" applyBorder="1" applyAlignment="1" applyProtection="1">
      <alignment horizontal="center"/>
      <protection locked="0"/>
    </xf>
    <xf numFmtId="0" fontId="156" fillId="43" borderId="5" xfId="8719" applyFont="1" applyFill="1" applyBorder="1" applyAlignment="1" applyProtection="1">
      <alignment horizontal="center"/>
      <protection locked="0"/>
    </xf>
    <xf numFmtId="0" fontId="156" fillId="43" borderId="74" xfId="8719" applyFont="1" applyFill="1" applyBorder="1" applyAlignment="1" applyProtection="1">
      <alignment horizontal="center"/>
      <protection locked="0"/>
    </xf>
    <xf numFmtId="0" fontId="156" fillId="43" borderId="75" xfId="8719" applyFont="1" applyFill="1" applyBorder="1" applyAlignment="1" applyProtection="1">
      <alignment horizontal="center"/>
      <protection locked="0"/>
    </xf>
    <xf numFmtId="182" fontId="156" fillId="43" borderId="75" xfId="8720" applyNumberFormat="1" applyFont="1" applyFill="1" applyBorder="1" applyAlignment="1" applyProtection="1">
      <alignment horizontal="center"/>
      <protection locked="0"/>
    </xf>
    <xf numFmtId="180" fontId="156" fillId="43" borderId="75" xfId="8719" applyNumberFormat="1" applyFont="1" applyFill="1" applyBorder="1" applyAlignment="1" applyProtection="1">
      <alignment horizontal="center"/>
      <protection locked="0"/>
    </xf>
    <xf numFmtId="182" fontId="156" fillId="43" borderId="75" xfId="700" applyNumberFormat="1" applyFont="1" applyFill="1" applyBorder="1" applyAlignment="1" applyProtection="1">
      <alignment horizontal="center"/>
      <protection locked="0"/>
    </xf>
    <xf numFmtId="182" fontId="156" fillId="43" borderId="95" xfId="700" applyNumberFormat="1" applyFont="1" applyFill="1" applyBorder="1" applyAlignment="1" applyProtection="1">
      <alignment horizontal="center"/>
      <protection locked="0"/>
    </xf>
    <xf numFmtId="0" fontId="146" fillId="45" borderId="96" xfId="8719" applyFont="1" applyFill="1" applyBorder="1" applyAlignment="1">
      <alignment horizontal="center"/>
    </xf>
    <xf numFmtId="0" fontId="146" fillId="45" borderId="43" xfId="8719" applyFont="1" applyFill="1" applyBorder="1" applyAlignment="1">
      <alignment horizontal="center"/>
    </xf>
    <xf numFmtId="182" fontId="146" fillId="45" borderId="43" xfId="8720" applyNumberFormat="1" applyFont="1" applyFill="1" applyBorder="1" applyAlignment="1">
      <alignment horizontal="center"/>
    </xf>
    <xf numFmtId="180" fontId="146" fillId="45" borderId="43" xfId="8720" applyNumberFormat="1" applyFont="1" applyFill="1" applyBorder="1" applyAlignment="1">
      <alignment horizontal="center"/>
    </xf>
    <xf numFmtId="44" fontId="146" fillId="45" borderId="43" xfId="8720" applyFont="1" applyFill="1" applyBorder="1" applyAlignment="1">
      <alignment horizontal="center"/>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5" borderId="82" xfId="8719" applyFont="1" applyFill="1" applyBorder="1" applyAlignment="1">
      <alignment horizontal="center"/>
    </xf>
    <xf numFmtId="0" fontId="145" fillId="45" borderId="11" xfId="8719" applyFont="1" applyFill="1" applyBorder="1" applyAlignment="1">
      <alignment horizontal="center"/>
    </xf>
    <xf numFmtId="0" fontId="145" fillId="45" borderId="3" xfId="8719" applyFont="1" applyFill="1" applyBorder="1" applyAlignment="1">
      <alignment horizontal="center"/>
    </xf>
    <xf numFmtId="0" fontId="145" fillId="45" borderId="4" xfId="8719" applyFont="1" applyFill="1" applyBorder="1" applyAlignment="1">
      <alignment horizontal="center"/>
    </xf>
    <xf numFmtId="0" fontId="145" fillId="45" borderId="81" xfId="8719" applyFont="1" applyFill="1" applyBorder="1" applyAlignment="1">
      <alignment horizontal="center"/>
    </xf>
    <xf numFmtId="0" fontId="101" fillId="45" borderId="74" xfId="8719" applyFont="1" applyFill="1" applyBorder="1" applyAlignment="1">
      <alignment horizontal="center"/>
    </xf>
    <xf numFmtId="0" fontId="101" fillId="45" borderId="75" xfId="8719" applyFont="1" applyFill="1" applyBorder="1" applyAlignment="1">
      <alignment horizontal="center"/>
    </xf>
    <xf numFmtId="14" fontId="150" fillId="43" borderId="75" xfId="8719" applyNumberFormat="1" applyFont="1" applyFill="1" applyBorder="1" applyAlignment="1" applyProtection="1">
      <alignment horizontal="center"/>
      <protection locked="0"/>
    </xf>
    <xf numFmtId="0" fontId="150" fillId="43" borderId="75" xfId="8719" applyFont="1" applyFill="1" applyBorder="1" applyAlignment="1" applyProtection="1">
      <alignment horizontal="center"/>
      <protection locked="0"/>
    </xf>
    <xf numFmtId="0" fontId="150" fillId="43" borderId="95" xfId="8719" applyFont="1" applyFill="1" applyBorder="1" applyAlignment="1" applyProtection="1">
      <alignment horizontal="center"/>
      <protection locked="0"/>
    </xf>
    <xf numFmtId="0" fontId="156" fillId="43" borderId="95" xfId="8719" applyFont="1" applyFill="1" applyBorder="1" applyAlignment="1" applyProtection="1">
      <alignment horizontal="center"/>
      <protection locked="0"/>
    </xf>
    <xf numFmtId="0" fontId="156" fillId="43" borderId="85" xfId="8719" applyFont="1" applyFill="1" applyBorder="1" applyAlignment="1" applyProtection="1">
      <alignment horizontal="center"/>
      <protection locked="0"/>
    </xf>
    <xf numFmtId="0" fontId="102" fillId="43" borderId="82" xfId="8719" applyFont="1" applyFill="1" applyBorder="1" applyAlignment="1" applyProtection="1">
      <alignment horizontal="center"/>
      <protection locked="0"/>
    </xf>
    <xf numFmtId="0" fontId="102" fillId="43" borderId="11" xfId="8719" applyFont="1" applyFill="1" applyBorder="1" applyAlignment="1" applyProtection="1">
      <alignment horizontal="center"/>
      <protection locked="0"/>
    </xf>
    <xf numFmtId="182" fontId="150" fillId="43" borderId="11" xfId="700" applyNumberFormat="1" applyFont="1" applyFill="1" applyBorder="1" applyAlignment="1" applyProtection="1">
      <alignment horizontal="center"/>
      <protection locked="0"/>
    </xf>
    <xf numFmtId="182" fontId="150" fillId="43" borderId="93" xfId="700" applyNumberFormat="1" applyFont="1" applyFill="1" applyBorder="1" applyAlignment="1" applyProtection="1">
      <alignment horizontal="center"/>
      <protection locked="0"/>
    </xf>
    <xf numFmtId="0" fontId="145" fillId="45" borderId="97" xfId="8719" applyFont="1" applyFill="1" applyBorder="1" applyAlignment="1">
      <alignment horizontal="center"/>
    </xf>
    <xf numFmtId="0" fontId="145" fillId="45" borderId="13" xfId="8719" applyFont="1" applyFill="1" applyBorder="1" applyAlignment="1">
      <alignment horizontal="center"/>
    </xf>
    <xf numFmtId="0" fontId="5" fillId="43" borderId="13" xfId="8719" applyFill="1" applyBorder="1" applyAlignment="1" applyProtection="1">
      <alignment horizontal="center"/>
      <protection locked="0"/>
    </xf>
    <xf numFmtId="0" fontId="5" fillId="43" borderId="98" xfId="8719" applyFill="1" applyBorder="1" applyAlignment="1" applyProtection="1">
      <alignment horizontal="center"/>
      <protection locked="0"/>
    </xf>
    <xf numFmtId="0" fontId="145" fillId="45" borderId="74" xfId="8719" applyFont="1" applyFill="1" applyBorder="1" applyAlignment="1">
      <alignment horizontal="center"/>
    </xf>
    <xf numFmtId="0" fontId="145" fillId="45" borderId="75" xfId="8719" applyFont="1" applyFill="1" applyBorder="1" applyAlignment="1">
      <alignment horizontal="center"/>
    </xf>
    <xf numFmtId="0" fontId="101" fillId="45" borderId="71" xfId="8719" applyFont="1" applyFill="1" applyBorder="1" applyAlignment="1">
      <alignment horizontal="center"/>
    </xf>
    <xf numFmtId="0" fontId="101" fillId="45" borderId="72" xfId="8719" applyFont="1" applyFill="1" applyBorder="1" applyAlignment="1">
      <alignment horizontal="center"/>
    </xf>
    <xf numFmtId="0" fontId="145" fillId="45" borderId="71" xfId="8719" applyFont="1" applyFill="1" applyBorder="1" applyAlignment="1">
      <alignment horizontal="center"/>
    </xf>
    <xf numFmtId="0" fontId="145" fillId="45" borderId="72" xfId="8719" applyFont="1" applyFill="1" applyBorder="1" applyAlignment="1">
      <alignment horizontal="center"/>
    </xf>
    <xf numFmtId="0" fontId="145" fillId="45" borderId="76" xfId="8719" applyFont="1" applyFill="1" applyBorder="1" applyAlignment="1">
      <alignment horizontal="center"/>
    </xf>
    <xf numFmtId="0" fontId="168" fillId="43" borderId="82" xfId="8719" applyFont="1" applyFill="1" applyBorder="1" applyAlignment="1" applyProtection="1">
      <alignment horizontal="left" vertical="top"/>
      <protection locked="0"/>
    </xf>
    <xf numFmtId="0" fontId="168" fillId="43" borderId="11" xfId="8719" applyFont="1" applyFill="1" applyBorder="1" applyAlignment="1" applyProtection="1">
      <alignment horizontal="left" vertical="top"/>
      <protection locked="0"/>
    </xf>
    <xf numFmtId="0" fontId="168" fillId="43" borderId="93" xfId="8719" applyFont="1" applyFill="1" applyBorder="1" applyAlignment="1" applyProtection="1">
      <alignment horizontal="left" vertical="top"/>
      <protection locked="0"/>
    </xf>
    <xf numFmtId="0" fontId="168" fillId="43" borderId="74" xfId="8719" applyFont="1" applyFill="1" applyBorder="1" applyAlignment="1" applyProtection="1">
      <alignment horizontal="left" vertical="top"/>
      <protection locked="0"/>
    </xf>
    <xf numFmtId="0" fontId="168" fillId="43" borderId="75" xfId="8719" applyFont="1" applyFill="1" applyBorder="1" applyAlignment="1" applyProtection="1">
      <alignment horizontal="left" vertical="top"/>
      <protection locked="0"/>
    </xf>
    <xf numFmtId="0" fontId="168" fillId="43" borderId="95" xfId="8719" applyFont="1" applyFill="1" applyBorder="1" applyAlignment="1" applyProtection="1">
      <alignment horizontal="left" vertical="top"/>
      <protection locked="0"/>
    </xf>
    <xf numFmtId="182" fontId="150" fillId="43" borderId="99" xfId="700" applyNumberFormat="1" applyFont="1" applyFill="1" applyBorder="1" applyAlignment="1" applyProtection="1">
      <alignment horizontal="center"/>
      <protection locked="0"/>
    </xf>
    <xf numFmtId="182" fontId="150" fillId="43" borderId="100" xfId="700" applyNumberFormat="1" applyFont="1" applyFill="1" applyBorder="1" applyAlignment="1" applyProtection="1">
      <alignment horizontal="center"/>
      <protection locked="0"/>
    </xf>
    <xf numFmtId="0" fontId="145" fillId="45" borderId="96" xfId="8719" applyFont="1" applyFill="1" applyBorder="1" applyAlignment="1">
      <alignment horizontal="right"/>
    </xf>
    <xf numFmtId="0" fontId="145" fillId="45" borderId="43" xfId="8719" applyFont="1" applyFill="1" applyBorder="1" applyAlignment="1">
      <alignment horizontal="right"/>
    </xf>
    <xf numFmtId="44" fontId="145" fillId="45" borderId="43" xfId="8719" applyNumberFormat="1" applyFont="1" applyFill="1" applyBorder="1" applyAlignment="1">
      <alignment horizontal="center"/>
    </xf>
    <xf numFmtId="0" fontId="145" fillId="45" borderId="43" xfId="8719" applyFont="1" applyFill="1" applyBorder="1" applyAlignment="1">
      <alignment horizontal="center"/>
    </xf>
    <xf numFmtId="0" fontId="145" fillId="45" borderId="101" xfId="8719" applyFont="1" applyFill="1" applyBorder="1" applyAlignment="1">
      <alignment horizontal="center"/>
    </xf>
    <xf numFmtId="0" fontId="101" fillId="45" borderId="66" xfId="8719" applyFont="1" applyFill="1" applyBorder="1" applyAlignment="1">
      <alignment horizontal="center" wrapText="1"/>
    </xf>
    <xf numFmtId="0" fontId="101" fillId="45" borderId="29" xfId="8719" applyFont="1" applyFill="1" applyBorder="1" applyAlignment="1">
      <alignment horizontal="center" wrapText="1"/>
    </xf>
    <xf numFmtId="0" fontId="101" fillId="45" borderId="31" xfId="8719" applyFont="1" applyFill="1" applyBorder="1" applyAlignment="1">
      <alignment horizontal="center" wrapText="1"/>
    </xf>
    <xf numFmtId="0" fontId="101" fillId="45" borderId="66" xfId="8719" applyFont="1" applyFill="1" applyBorder="1" applyAlignment="1">
      <alignment horizontal="left" wrapText="1"/>
    </xf>
    <xf numFmtId="0" fontId="101" fillId="45" borderId="29" xfId="8719" applyFont="1" applyFill="1" applyBorder="1" applyAlignment="1">
      <alignment horizontal="left" wrapText="1"/>
    </xf>
    <xf numFmtId="0" fontId="101" fillId="45" borderId="67" xfId="8719" applyFont="1" applyFill="1" applyBorder="1" applyAlignment="1">
      <alignment horizontal="left" wrapText="1"/>
    </xf>
    <xf numFmtId="0" fontId="101" fillId="45" borderId="0" xfId="8719" applyFont="1" applyFill="1" applyAlignment="1">
      <alignment horizontal="left" wrapText="1"/>
    </xf>
    <xf numFmtId="0" fontId="101" fillId="45" borderId="88" xfId="8719" applyFont="1" applyFill="1" applyBorder="1" applyAlignment="1">
      <alignment horizontal="left" wrapText="1"/>
    </xf>
    <xf numFmtId="0" fontId="101" fillId="45" borderId="42" xfId="8719" applyFont="1" applyFill="1" applyBorder="1" applyAlignment="1">
      <alignment horizontal="left" wrapText="1"/>
    </xf>
    <xf numFmtId="0" fontId="150" fillId="43" borderId="29" xfId="8719" applyFont="1" applyFill="1" applyBorder="1" applyAlignment="1" applyProtection="1">
      <alignment horizontal="center"/>
      <protection locked="0"/>
    </xf>
    <xf numFmtId="0" fontId="150" fillId="43" borderId="31" xfId="8719" applyFont="1" applyFill="1" applyBorder="1" applyAlignment="1" applyProtection="1">
      <alignment horizontal="center"/>
      <protection locked="0"/>
    </xf>
    <xf numFmtId="0" fontId="150" fillId="43" borderId="0" xfId="8719" applyFont="1" applyFill="1" applyAlignment="1" applyProtection="1">
      <alignment horizontal="center"/>
      <protection locked="0"/>
    </xf>
    <xf numFmtId="0" fontId="150" fillId="43" borderId="41" xfId="8719" applyFont="1" applyFill="1" applyBorder="1" applyAlignment="1" applyProtection="1">
      <alignment horizontal="center"/>
      <protection locked="0"/>
    </xf>
    <xf numFmtId="0" fontId="150" fillId="43" borderId="42" xfId="8719" applyFont="1" applyFill="1" applyBorder="1" applyAlignment="1" applyProtection="1">
      <alignment horizontal="center"/>
      <protection locked="0"/>
    </xf>
    <xf numFmtId="0" fontId="150" fillId="43" borderId="44" xfId="8719" applyFont="1" applyFill="1" applyBorder="1" applyAlignment="1" applyProtection="1">
      <alignment horizontal="center"/>
      <protection locked="0"/>
    </xf>
    <xf numFmtId="0" fontId="101" fillId="45" borderId="66" xfId="8719" applyFont="1" applyFill="1" applyBorder="1" applyAlignment="1">
      <alignment horizontal="center"/>
    </xf>
    <xf numFmtId="0" fontId="101" fillId="45" borderId="29" xfId="8719" applyFont="1" applyFill="1" applyBorder="1" applyAlignment="1">
      <alignment horizontal="center"/>
    </xf>
    <xf numFmtId="0" fontId="101" fillId="45" borderId="31" xfId="8719" applyFont="1" applyFill="1" applyBorder="1" applyAlignment="1">
      <alignment horizontal="center"/>
    </xf>
    <xf numFmtId="0" fontId="101" fillId="45" borderId="88" xfId="8719" applyFont="1" applyFill="1" applyBorder="1" applyAlignment="1">
      <alignment horizontal="center"/>
    </xf>
    <xf numFmtId="0" fontId="101" fillId="45" borderId="42" xfId="8719" applyFont="1" applyFill="1" applyBorder="1" applyAlignment="1">
      <alignment horizontal="center"/>
    </xf>
    <xf numFmtId="0" fontId="101" fillId="45" borderId="44" xfId="8719" applyFont="1" applyFill="1" applyBorder="1" applyAlignment="1">
      <alignment horizontal="center"/>
    </xf>
    <xf numFmtId="0" fontId="101" fillId="45" borderId="82" xfId="8719" applyFont="1" applyFill="1" applyBorder="1" applyAlignment="1">
      <alignment horizontal="center"/>
    </xf>
    <xf numFmtId="0" fontId="101" fillId="45" borderId="11" xfId="8719" applyFont="1" applyFill="1" applyBorder="1" applyAlignment="1">
      <alignment horizontal="center"/>
    </xf>
    <xf numFmtId="0" fontId="101" fillId="45" borderId="72" xfId="8719" applyFont="1" applyFill="1" applyBorder="1" applyAlignment="1">
      <alignment horizontal="center" wrapText="1"/>
    </xf>
    <xf numFmtId="0" fontId="101" fillId="45" borderId="11" xfId="8719" applyFont="1" applyFill="1" applyBorder="1" applyAlignment="1">
      <alignment horizontal="center" wrapText="1"/>
    </xf>
    <xf numFmtId="0" fontId="145" fillId="45" borderId="93" xfId="8719" applyFont="1" applyFill="1" applyBorder="1" applyAlignment="1">
      <alignment horizontal="center"/>
    </xf>
    <xf numFmtId="0" fontId="101" fillId="43" borderId="97" xfId="8719" applyFont="1" applyFill="1" applyBorder="1" applyAlignment="1" applyProtection="1">
      <alignment horizontal="center"/>
      <protection locked="0"/>
    </xf>
    <xf numFmtId="0" fontId="101" fillId="43" borderId="13" xfId="8719" applyFont="1" applyFill="1" applyBorder="1" applyAlignment="1" applyProtection="1">
      <alignment horizontal="center"/>
      <protection locked="0"/>
    </xf>
    <xf numFmtId="0" fontId="168" fillId="43" borderId="66" xfId="8719" applyFont="1" applyFill="1" applyBorder="1" applyAlignment="1">
      <alignment horizontal="left" vertical="top"/>
    </xf>
    <xf numFmtId="0" fontId="168" fillId="43" borderId="29" xfId="8719" applyFont="1" applyFill="1" applyBorder="1" applyAlignment="1">
      <alignment horizontal="left" vertical="top"/>
    </xf>
    <xf numFmtId="0" fontId="168" fillId="43" borderId="31" xfId="8719" applyFont="1" applyFill="1" applyBorder="1" applyAlignment="1">
      <alignment horizontal="left" vertical="top"/>
    </xf>
    <xf numFmtId="0" fontId="168" fillId="43" borderId="88" xfId="8719" applyFont="1" applyFill="1" applyBorder="1" applyAlignment="1">
      <alignment horizontal="left" vertical="top"/>
    </xf>
    <xf numFmtId="0" fontId="168" fillId="43" borderId="42" xfId="8719" applyFont="1" applyFill="1" applyBorder="1" applyAlignment="1">
      <alignment horizontal="left" vertical="top"/>
    </xf>
    <xf numFmtId="0" fontId="168" fillId="43" borderId="44" xfId="8719" applyFont="1" applyFill="1" applyBorder="1" applyAlignment="1">
      <alignment horizontal="left" vertical="top"/>
    </xf>
    <xf numFmtId="0" fontId="101" fillId="45" borderId="102" xfId="8719" applyFont="1" applyFill="1" applyBorder="1" applyAlignment="1">
      <alignment horizontal="center"/>
    </xf>
    <xf numFmtId="0" fontId="101" fillId="45" borderId="103" xfId="8719" applyFont="1" applyFill="1" applyBorder="1" applyAlignment="1">
      <alignment horizontal="center"/>
    </xf>
    <xf numFmtId="0" fontId="101" fillId="45" borderId="104" xfId="8719" applyFont="1" applyFill="1" applyBorder="1" applyAlignment="1">
      <alignment horizontal="center"/>
    </xf>
    <xf numFmtId="0" fontId="101" fillId="43" borderId="74" xfId="8719" applyFont="1" applyFill="1" applyBorder="1" applyAlignment="1" applyProtection="1">
      <alignment horizontal="center"/>
      <protection locked="0"/>
    </xf>
    <xf numFmtId="0" fontId="101" fillId="43" borderId="75" xfId="8719" applyFont="1" applyFill="1" applyBorder="1" applyAlignment="1" applyProtection="1">
      <alignment horizontal="center"/>
      <protection locked="0"/>
    </xf>
    <xf numFmtId="0" fontId="101" fillId="43" borderId="86" xfId="8719" applyFont="1" applyFill="1" applyBorder="1" applyAlignment="1" applyProtection="1">
      <alignment horizontal="center"/>
      <protection locked="0"/>
    </xf>
    <xf numFmtId="0" fontId="101" fillId="43" borderId="95" xfId="8719" applyFont="1" applyFill="1" applyBorder="1" applyAlignment="1" applyProtection="1">
      <alignment horizontal="center"/>
      <protection locked="0"/>
    </xf>
    <xf numFmtId="0" fontId="101" fillId="43" borderId="9" xfId="8719" applyFont="1" applyFill="1" applyBorder="1" applyAlignment="1" applyProtection="1">
      <alignment horizontal="center"/>
      <protection locked="0"/>
    </xf>
    <xf numFmtId="0" fontId="101" fillId="43" borderId="11" xfId="8719" applyFont="1" applyFill="1" applyBorder="1" applyAlignment="1" applyProtection="1">
      <alignment horizontal="center"/>
      <protection locked="0"/>
    </xf>
    <xf numFmtId="0" fontId="101" fillId="43" borderId="93" xfId="8719" applyFont="1" applyFill="1" applyBorder="1" applyAlignment="1" applyProtection="1">
      <alignment horizontal="center"/>
      <protection locked="0"/>
    </xf>
    <xf numFmtId="0" fontId="101" fillId="45" borderId="73" xfId="8719" applyFont="1" applyFill="1" applyBorder="1" applyAlignment="1">
      <alignment horizontal="center"/>
    </xf>
    <xf numFmtId="0" fontId="101" fillId="43" borderId="85" xfId="8719" applyFont="1" applyFill="1" applyBorder="1" applyAlignment="1" applyProtection="1">
      <alignment horizontal="center"/>
      <protection locked="0"/>
    </xf>
    <xf numFmtId="0" fontId="101" fillId="47" borderId="75" xfId="8719" applyFont="1" applyFill="1" applyBorder="1" applyAlignment="1" applyProtection="1">
      <alignment horizontal="center"/>
      <protection locked="0"/>
    </xf>
    <xf numFmtId="0" fontId="101" fillId="47" borderId="95" xfId="8719" applyFont="1" applyFill="1" applyBorder="1" applyAlignment="1" applyProtection="1">
      <alignment horizontal="center"/>
      <protection locked="0"/>
    </xf>
    <xf numFmtId="0" fontId="145" fillId="45" borderId="91" xfId="8719" applyFont="1" applyFill="1" applyBorder="1" applyAlignment="1">
      <alignment horizontal="center"/>
    </xf>
    <xf numFmtId="0" fontId="101" fillId="45" borderId="80" xfId="8719" applyFont="1" applyFill="1" applyBorder="1" applyAlignment="1">
      <alignment horizontal="center"/>
    </xf>
    <xf numFmtId="0" fontId="101" fillId="45" borderId="2" xfId="8719" applyFont="1" applyFill="1" applyBorder="1" applyAlignment="1">
      <alignment horizontal="center"/>
    </xf>
    <xf numFmtId="0" fontId="101" fillId="45" borderId="7" xfId="8719" applyFont="1" applyFill="1" applyBorder="1" applyAlignment="1">
      <alignment horizontal="center"/>
    </xf>
    <xf numFmtId="0" fontId="101" fillId="45" borderId="89" xfId="8719" applyFont="1" applyFill="1" applyBorder="1" applyAlignment="1">
      <alignment horizontal="center"/>
    </xf>
    <xf numFmtId="0" fontId="145" fillId="45" borderId="1" xfId="8719" applyFont="1" applyFill="1" applyBorder="1" applyAlignment="1">
      <alignment horizontal="center" wrapText="1"/>
    </xf>
    <xf numFmtId="0" fontId="145" fillId="45" borderId="2" xfId="8719" applyFont="1" applyFill="1" applyBorder="1" applyAlignment="1">
      <alignment horizontal="center" wrapText="1"/>
    </xf>
    <xf numFmtId="0" fontId="145" fillId="45" borderId="7" xfId="8719" applyFont="1" applyFill="1" applyBorder="1" applyAlignment="1">
      <alignment horizontal="center" wrapText="1"/>
    </xf>
    <xf numFmtId="0" fontId="145" fillId="45" borderId="9" xfId="8719" applyFont="1" applyFill="1" applyBorder="1" applyAlignment="1">
      <alignment horizontal="center" wrapText="1"/>
    </xf>
    <xf numFmtId="0" fontId="145" fillId="45" borderId="6" xfId="8719" applyFont="1" applyFill="1" applyBorder="1" applyAlignment="1">
      <alignment horizontal="center" wrapText="1"/>
    </xf>
    <xf numFmtId="0" fontId="145" fillId="45" borderId="10" xfId="8719" applyFont="1" applyFill="1" applyBorder="1" applyAlignment="1">
      <alignment horizontal="center" wrapText="1"/>
    </xf>
    <xf numFmtId="0" fontId="154" fillId="45" borderId="1" xfId="8719" applyFont="1" applyFill="1" applyBorder="1" applyAlignment="1">
      <alignment horizontal="center" wrapText="1"/>
    </xf>
    <xf numFmtId="0" fontId="154" fillId="45" borderId="2" xfId="8719" applyFont="1" applyFill="1" applyBorder="1" applyAlignment="1">
      <alignment horizontal="center" wrapText="1"/>
    </xf>
    <xf numFmtId="0" fontId="154" fillId="45" borderId="7" xfId="8719" applyFont="1" applyFill="1" applyBorder="1" applyAlignment="1">
      <alignment horizontal="center" wrapText="1"/>
    </xf>
    <xf numFmtId="0" fontId="154" fillId="45" borderId="9" xfId="8719" applyFont="1" applyFill="1" applyBorder="1" applyAlignment="1">
      <alignment horizontal="center" wrapText="1"/>
    </xf>
    <xf numFmtId="0" fontId="154" fillId="45" borderId="6" xfId="8719" applyFont="1" applyFill="1" applyBorder="1" applyAlignment="1">
      <alignment horizontal="center" wrapText="1"/>
    </xf>
    <xf numFmtId="0" fontId="154" fillId="45" borderId="10" xfId="8719" applyFont="1" applyFill="1" applyBorder="1" applyAlignment="1">
      <alignment horizontal="center" wrapText="1"/>
    </xf>
    <xf numFmtId="0" fontId="101" fillId="45" borderId="71" xfId="8719" applyFont="1" applyFill="1" applyBorder="1" applyAlignment="1">
      <alignment horizontal="left" wrapText="1"/>
    </xf>
    <xf numFmtId="0" fontId="101" fillId="45" borderId="72" xfId="8719" applyFont="1" applyFill="1" applyBorder="1" applyAlignment="1">
      <alignment horizontal="left" wrapText="1"/>
    </xf>
    <xf numFmtId="0" fontId="101" fillId="45" borderId="76" xfId="8719" applyFont="1" applyFill="1" applyBorder="1" applyAlignment="1">
      <alignment horizontal="left" wrapText="1"/>
    </xf>
    <xf numFmtId="0" fontId="101" fillId="45" borderId="82" xfId="8719" applyFont="1" applyFill="1" applyBorder="1" applyAlignment="1">
      <alignment horizontal="left" wrapText="1"/>
    </xf>
    <xf numFmtId="0" fontId="101" fillId="45" borderId="11" xfId="8719" applyFont="1" applyFill="1" applyBorder="1" applyAlignment="1">
      <alignment horizontal="left" wrapText="1"/>
    </xf>
    <xf numFmtId="0" fontId="101" fillId="45" borderId="93" xfId="8719" applyFont="1" applyFill="1" applyBorder="1" applyAlignment="1">
      <alignment horizontal="left" wrapText="1"/>
    </xf>
    <xf numFmtId="0" fontId="165" fillId="45" borderId="68" xfId="8719" applyFont="1" applyFill="1" applyBorder="1" applyAlignment="1">
      <alignment horizontal="left"/>
    </xf>
    <xf numFmtId="0" fontId="165" fillId="45" borderId="69" xfId="8719" applyFont="1" applyFill="1" applyBorder="1" applyAlignment="1">
      <alignment horizontal="left"/>
    </xf>
    <xf numFmtId="0" fontId="165" fillId="45" borderId="70" xfId="8719" applyFont="1" applyFill="1" applyBorder="1" applyAlignment="1">
      <alignment horizontal="left"/>
    </xf>
    <xf numFmtId="0" fontId="166" fillId="45" borderId="102" xfId="8719" applyFont="1" applyFill="1" applyBorder="1" applyAlignment="1">
      <alignment horizontal="left"/>
    </xf>
    <xf numFmtId="0" fontId="166" fillId="45" borderId="103" xfId="8719" applyFont="1" applyFill="1" applyBorder="1" applyAlignment="1">
      <alignment horizontal="left"/>
    </xf>
    <xf numFmtId="0" fontId="166" fillId="45" borderId="104" xfId="8719" applyFont="1" applyFill="1" applyBorder="1" applyAlignment="1">
      <alignment horizontal="left"/>
    </xf>
    <xf numFmtId="0" fontId="101" fillId="43" borderId="10" xfId="8719" applyFont="1" applyFill="1" applyBorder="1" applyAlignment="1" applyProtection="1">
      <alignment horizontal="center"/>
      <protection locked="0"/>
    </xf>
    <xf numFmtId="0" fontId="101" fillId="43" borderId="98" xfId="8719" applyFont="1" applyFill="1" applyBorder="1" applyAlignment="1" applyProtection="1">
      <alignment horizontal="center"/>
      <protection locked="0"/>
    </xf>
    <xf numFmtId="0" fontId="145" fillId="45" borderId="29" xfId="8719" applyFont="1" applyFill="1" applyBorder="1" applyAlignment="1">
      <alignment horizontal="center"/>
    </xf>
    <xf numFmtId="0" fontId="158" fillId="45" borderId="68" xfId="8719" applyFont="1" applyFill="1" applyBorder="1" applyAlignment="1">
      <alignment horizontal="center"/>
    </xf>
    <xf numFmtId="0" fontId="158" fillId="45" borderId="69" xfId="8719" applyFont="1" applyFill="1" applyBorder="1" applyAlignment="1">
      <alignment horizontal="center"/>
    </xf>
    <xf numFmtId="0" fontId="158" fillId="45" borderId="70" xfId="8719" applyFont="1" applyFill="1" applyBorder="1" applyAlignment="1">
      <alignment horizontal="center"/>
    </xf>
    <xf numFmtId="0" fontId="169" fillId="43" borderId="68" xfId="8719" applyFont="1" applyFill="1" applyBorder="1" applyAlignment="1" applyProtection="1">
      <alignment horizontal="left"/>
      <protection locked="0"/>
    </xf>
    <xf numFmtId="0" fontId="169" fillId="43" borderId="69" xfId="8719" applyFont="1" applyFill="1" applyBorder="1" applyAlignment="1" applyProtection="1">
      <alignment horizontal="left"/>
      <protection locked="0"/>
    </xf>
    <xf numFmtId="0" fontId="169" fillId="43" borderId="70" xfId="8719" applyFont="1" applyFill="1" applyBorder="1" applyAlignment="1" applyProtection="1">
      <alignment horizontal="left"/>
      <protection locked="0"/>
    </xf>
    <xf numFmtId="0" fontId="170" fillId="43" borderId="66" xfId="8719" applyFont="1" applyFill="1" applyBorder="1" applyAlignment="1" applyProtection="1">
      <alignment horizontal="left" vertical="top"/>
      <protection locked="0"/>
    </xf>
    <xf numFmtId="0" fontId="170" fillId="43" borderId="29" xfId="8719" applyFont="1" applyFill="1" applyBorder="1" applyAlignment="1" applyProtection="1">
      <alignment horizontal="left" vertical="top"/>
      <protection locked="0"/>
    </xf>
    <xf numFmtId="0" fontId="170" fillId="43" borderId="31" xfId="8719" applyFont="1" applyFill="1" applyBorder="1" applyAlignment="1" applyProtection="1">
      <alignment horizontal="left" vertical="top"/>
      <protection locked="0"/>
    </xf>
    <xf numFmtId="0" fontId="170" fillId="43" borderId="67" xfId="8719" applyFont="1" applyFill="1" applyBorder="1" applyAlignment="1" applyProtection="1">
      <alignment horizontal="left" vertical="top"/>
      <protection locked="0"/>
    </xf>
    <xf numFmtId="0" fontId="170" fillId="43" borderId="0" xfId="8719" applyFont="1" applyFill="1" applyAlignment="1" applyProtection="1">
      <alignment horizontal="left" vertical="top"/>
      <protection locked="0"/>
    </xf>
    <xf numFmtId="0" fontId="170" fillId="43" borderId="41" xfId="8719" applyFont="1" applyFill="1" applyBorder="1" applyAlignment="1" applyProtection="1">
      <alignment horizontal="left" vertical="top"/>
      <protection locked="0"/>
    </xf>
    <xf numFmtId="0" fontId="170" fillId="43" borderId="88" xfId="8719" applyFont="1" applyFill="1" applyBorder="1" applyAlignment="1" applyProtection="1">
      <alignment horizontal="left" vertical="top"/>
      <protection locked="0"/>
    </xf>
    <xf numFmtId="0" fontId="170" fillId="43" borderId="42" xfId="8719" applyFont="1" applyFill="1" applyBorder="1" applyAlignment="1" applyProtection="1">
      <alignment horizontal="left" vertical="top"/>
      <protection locked="0"/>
    </xf>
    <xf numFmtId="0" fontId="170" fillId="43" borderId="44" xfId="8719" applyFont="1" applyFill="1" applyBorder="1" applyAlignment="1" applyProtection="1">
      <alignment horizontal="left" vertical="top"/>
      <protection locked="0"/>
    </xf>
    <xf numFmtId="0" fontId="101" fillId="43" borderId="3" xfId="8719" applyFont="1" applyFill="1" applyBorder="1" applyAlignment="1" applyProtection="1">
      <alignment horizontal="center"/>
      <protection locked="0"/>
    </xf>
    <xf numFmtId="0" fontId="101" fillId="43" borderId="4" xfId="8719" applyFont="1" applyFill="1" applyBorder="1" applyAlignment="1" applyProtection="1">
      <alignment horizontal="center"/>
      <protection locked="0"/>
    </xf>
    <xf numFmtId="0" fontId="101" fillId="43" borderId="5" xfId="8719" applyFont="1" applyFill="1" applyBorder="1" applyAlignment="1" applyProtection="1">
      <alignment horizontal="center"/>
      <protection locked="0"/>
    </xf>
    <xf numFmtId="0" fontId="146" fillId="45" borderId="94" xfId="8719" applyFont="1" applyFill="1" applyBorder="1" applyAlignment="1">
      <alignment horizontal="center"/>
    </xf>
    <xf numFmtId="0" fontId="146" fillId="45" borderId="4" xfId="8719" applyFont="1" applyFill="1" applyBorder="1" applyAlignment="1">
      <alignment horizontal="center"/>
    </xf>
    <xf numFmtId="0" fontId="146" fillId="45" borderId="5" xfId="8719" applyFont="1" applyFill="1" applyBorder="1" applyAlignment="1">
      <alignment horizontal="center"/>
    </xf>
    <xf numFmtId="0" fontId="150" fillId="43" borderId="3" xfId="8719" applyFont="1" applyFill="1" applyBorder="1" applyAlignment="1" applyProtection="1">
      <alignment horizontal="center"/>
      <protection locked="0"/>
    </xf>
    <xf numFmtId="0" fontId="150" fillId="43" borderId="4" xfId="8719" applyFont="1" applyFill="1" applyBorder="1" applyAlignment="1" applyProtection="1">
      <alignment horizontal="center"/>
      <protection locked="0"/>
    </xf>
    <xf numFmtId="0" fontId="150" fillId="43" borderId="5" xfId="8719" applyFont="1" applyFill="1" applyBorder="1" applyAlignment="1" applyProtection="1">
      <alignment horizontal="center"/>
      <protection locked="0"/>
    </xf>
    <xf numFmtId="14" fontId="5" fillId="43" borderId="3" xfId="8719" applyNumberFormat="1" applyFill="1" applyBorder="1" applyAlignment="1" applyProtection="1">
      <alignment horizontal="center"/>
      <protection locked="0"/>
    </xf>
    <xf numFmtId="14" fontId="5" fillId="43" borderId="4" xfId="8719" applyNumberFormat="1" applyFill="1" applyBorder="1" applyAlignment="1" applyProtection="1">
      <alignment horizontal="center"/>
      <protection locked="0"/>
    </xf>
    <xf numFmtId="14" fontId="150" fillId="43" borderId="3" xfId="8719" applyNumberFormat="1" applyFont="1" applyFill="1" applyBorder="1" applyAlignment="1" applyProtection="1">
      <alignment horizontal="center"/>
      <protection locked="0"/>
    </xf>
    <xf numFmtId="14" fontId="150" fillId="43" borderId="4" xfId="8719" applyNumberFormat="1" applyFont="1" applyFill="1" applyBorder="1" applyAlignment="1" applyProtection="1">
      <alignment horizontal="center"/>
      <protection locked="0"/>
    </xf>
    <xf numFmtId="0" fontId="101" fillId="45" borderId="94" xfId="8719" applyFont="1" applyFill="1" applyBorder="1" applyAlignment="1">
      <alignment horizontal="center"/>
    </xf>
    <xf numFmtId="0" fontId="101" fillId="45" borderId="4" xfId="8719" applyFont="1" applyFill="1" applyBorder="1" applyAlignment="1">
      <alignment horizontal="center"/>
    </xf>
    <xf numFmtId="0" fontId="101" fillId="45" borderId="5" xfId="8719" applyFont="1" applyFill="1" applyBorder="1" applyAlignment="1">
      <alignment horizontal="center"/>
    </xf>
    <xf numFmtId="0" fontId="101" fillId="45" borderId="3" xfId="8719" applyFont="1" applyFill="1" applyBorder="1" applyAlignment="1">
      <alignment horizontal="center"/>
    </xf>
    <xf numFmtId="0" fontId="154" fillId="45" borderId="3" xfId="8719" applyFont="1" applyFill="1" applyBorder="1" applyAlignment="1">
      <alignment horizontal="center"/>
    </xf>
    <xf numFmtId="0" fontId="154" fillId="45" borderId="4" xfId="8719" applyFont="1" applyFill="1" applyBorder="1" applyAlignment="1">
      <alignment horizontal="center"/>
    </xf>
    <xf numFmtId="0" fontId="154" fillId="45" borderId="5" xfId="8719" applyFont="1" applyFill="1" applyBorder="1" applyAlignment="1">
      <alignment horizontal="center"/>
    </xf>
    <xf numFmtId="0" fontId="101" fillId="45" borderId="86" xfId="8719" applyFont="1" applyFill="1" applyBorder="1" applyAlignment="1">
      <alignment horizontal="center"/>
    </xf>
    <xf numFmtId="0" fontId="101" fillId="45" borderId="84" xfId="8719" applyFont="1" applyFill="1" applyBorder="1" applyAlignment="1">
      <alignment horizontal="center"/>
    </xf>
    <xf numFmtId="0" fontId="101" fillId="45" borderId="87" xfId="8719" applyFont="1" applyFill="1" applyBorder="1" applyAlignment="1">
      <alignment horizontal="center"/>
    </xf>
    <xf numFmtId="182" fontId="150" fillId="43" borderId="92" xfId="8720" applyNumberFormat="1" applyFont="1" applyFill="1" applyBorder="1" applyAlignment="1" applyProtection="1">
      <alignment horizontal="center"/>
      <protection locked="0"/>
    </xf>
    <xf numFmtId="182" fontId="150" fillId="43" borderId="78" xfId="8720" applyNumberFormat="1" applyFont="1" applyFill="1" applyBorder="1" applyAlignment="1" applyProtection="1">
      <alignment horizontal="center"/>
      <protection locked="0"/>
    </xf>
    <xf numFmtId="182" fontId="150" fillId="43" borderId="79" xfId="8720" applyNumberFormat="1" applyFont="1" applyFill="1" applyBorder="1" applyAlignment="1" applyProtection="1">
      <alignment horizontal="center"/>
      <protection locked="0"/>
    </xf>
    <xf numFmtId="0" fontId="53" fillId="43" borderId="11" xfId="8719" applyFont="1" applyFill="1" applyBorder="1" applyAlignment="1" applyProtection="1">
      <alignment horizontal="center"/>
      <protection locked="0"/>
    </xf>
    <xf numFmtId="0" fontId="150" fillId="43" borderId="11" xfId="8719" applyFont="1" applyFill="1" applyBorder="1" applyAlignment="1" applyProtection="1">
      <alignment horizontal="center"/>
      <protection locked="0"/>
    </xf>
    <xf numFmtId="14" fontId="150" fillId="43" borderId="11" xfId="8719" applyNumberFormat="1" applyFont="1" applyFill="1" applyBorder="1" applyAlignment="1" applyProtection="1">
      <alignment horizontal="center"/>
      <protection locked="0"/>
    </xf>
    <xf numFmtId="182" fontId="150" fillId="43" borderId="3" xfId="8720" applyNumberFormat="1" applyFont="1" applyFill="1" applyBorder="1" applyAlignment="1" applyProtection="1">
      <alignment horizontal="center"/>
      <protection locked="0"/>
    </xf>
    <xf numFmtId="182" fontId="150" fillId="43" borderId="4" xfId="8720" applyNumberFormat="1" applyFont="1" applyFill="1" applyBorder="1" applyAlignment="1" applyProtection="1">
      <alignment horizontal="center"/>
      <protection locked="0"/>
    </xf>
    <xf numFmtId="182" fontId="150" fillId="43" borderId="81" xfId="8720" applyNumberFormat="1" applyFont="1" applyFill="1" applyBorder="1" applyAlignment="1" applyProtection="1">
      <alignment horizontal="center"/>
      <protection locked="0"/>
    </xf>
    <xf numFmtId="14" fontId="5" fillId="43" borderId="5" xfId="8719" applyNumberFormat="1" applyFill="1" applyBorder="1" applyAlignment="1" applyProtection="1">
      <alignment horizontal="center"/>
      <protection locked="0"/>
    </xf>
    <xf numFmtId="0" fontId="53" fillId="43" borderId="75" xfId="8719" applyFont="1" applyFill="1" applyBorder="1" applyAlignment="1" applyProtection="1">
      <alignment horizontal="center"/>
      <protection locked="0"/>
    </xf>
    <xf numFmtId="182" fontId="150" fillId="43" borderId="86" xfId="8720" applyNumberFormat="1" applyFont="1" applyFill="1" applyBorder="1" applyAlignment="1" applyProtection="1">
      <alignment horizontal="center"/>
      <protection locked="0"/>
    </xf>
    <xf numFmtId="182" fontId="150" fillId="43" borderId="84" xfId="8720" applyNumberFormat="1" applyFont="1" applyFill="1" applyBorder="1" applyAlignment="1" applyProtection="1">
      <alignment horizontal="center"/>
      <protection locked="0"/>
    </xf>
    <xf numFmtId="182" fontId="150" fillId="43" borderId="87" xfId="8720" applyNumberFormat="1" applyFont="1" applyFill="1" applyBorder="1" applyAlignment="1" applyProtection="1">
      <alignment horizontal="center"/>
      <protection locked="0"/>
    </xf>
    <xf numFmtId="14" fontId="5" fillId="43" borderId="11" xfId="8719" applyNumberFormat="1" applyFill="1" applyBorder="1" applyAlignment="1" applyProtection="1">
      <alignment horizontal="center"/>
      <protection locked="0"/>
    </xf>
    <xf numFmtId="0" fontId="145" fillId="45" borderId="71" xfId="8719" applyFont="1" applyFill="1" applyBorder="1" applyAlignment="1">
      <alignment horizontal="left"/>
    </xf>
    <xf numFmtId="0" fontId="145" fillId="45" borderId="72" xfId="8719" applyFont="1" applyFill="1" applyBorder="1" applyAlignment="1">
      <alignment horizontal="left"/>
    </xf>
    <xf numFmtId="0" fontId="145" fillId="45" borderId="76" xfId="8719" applyFont="1" applyFill="1" applyBorder="1" applyAlignment="1">
      <alignment horizontal="left"/>
    </xf>
    <xf numFmtId="0" fontId="5" fillId="43" borderId="82" xfId="8719" applyFill="1" applyBorder="1" applyAlignment="1" applyProtection="1">
      <alignment horizontal="left" vertical="top"/>
      <protection locked="0"/>
    </xf>
    <xf numFmtId="0" fontId="5" fillId="43" borderId="11" xfId="8719" applyFill="1" applyBorder="1" applyAlignment="1" applyProtection="1">
      <alignment horizontal="left" vertical="top"/>
      <protection locked="0"/>
    </xf>
    <xf numFmtId="0" fontId="5" fillId="43" borderId="93" xfId="8719" applyFill="1" applyBorder="1" applyAlignment="1" applyProtection="1">
      <alignment horizontal="left" vertical="top"/>
      <protection locked="0"/>
    </xf>
    <xf numFmtId="0" fontId="5" fillId="43" borderId="74" xfId="8719" applyFill="1" applyBorder="1" applyAlignment="1" applyProtection="1">
      <alignment horizontal="left" vertical="top"/>
      <protection locked="0"/>
    </xf>
    <xf numFmtId="0" fontId="5" fillId="43" borderId="75" xfId="8719" applyFill="1" applyBorder="1" applyAlignment="1" applyProtection="1">
      <alignment horizontal="left" vertical="top"/>
      <protection locked="0"/>
    </xf>
    <xf numFmtId="0" fontId="5" fillId="43" borderId="95" xfId="8719" applyFill="1" applyBorder="1" applyAlignment="1" applyProtection="1">
      <alignment horizontal="left" vertical="top"/>
      <protection locked="0"/>
    </xf>
    <xf numFmtId="168" fontId="52" fillId="43" borderId="11" xfId="8720" applyNumberFormat="1" applyFont="1" applyFill="1" applyBorder="1" applyAlignment="1" applyProtection="1">
      <alignment horizontal="center"/>
      <protection locked="0"/>
    </xf>
    <xf numFmtId="0" fontId="101" fillId="45" borderId="81" xfId="8719" applyFont="1" applyFill="1" applyBorder="1" applyAlignment="1">
      <alignment horizontal="center"/>
    </xf>
    <xf numFmtId="182" fontId="52" fillId="44" borderId="4" xfId="700" applyNumberFormat="1" applyFont="1" applyFill="1" applyBorder="1" applyAlignment="1">
      <alignment horizontal="center"/>
    </xf>
    <xf numFmtId="182" fontId="52" fillId="44" borderId="81" xfId="700" applyNumberFormat="1" applyFont="1" applyFill="1" applyBorder="1" applyAlignment="1">
      <alignment horizontal="center"/>
    </xf>
    <xf numFmtId="0" fontId="146" fillId="47" borderId="94" xfId="8719" applyFont="1" applyFill="1" applyBorder="1" applyAlignment="1">
      <alignment horizontal="center"/>
    </xf>
    <xf numFmtId="0" fontId="146" fillId="47" borderId="4" xfId="8719" applyFont="1" applyFill="1" applyBorder="1" applyAlignment="1">
      <alignment horizontal="center"/>
    </xf>
    <xf numFmtId="0" fontId="146" fillId="47" borderId="81" xfId="8719" applyFont="1" applyFill="1" applyBorder="1" applyAlignment="1">
      <alignment horizontal="center"/>
    </xf>
    <xf numFmtId="0" fontId="146" fillId="45" borderId="82" xfId="8719" applyFont="1" applyFill="1" applyBorder="1" applyAlignment="1">
      <alignment horizontal="center"/>
    </xf>
    <xf numFmtId="0" fontId="146" fillId="45" borderId="11" xfId="8719" applyFont="1" applyFill="1" applyBorder="1" applyAlignment="1">
      <alignment horizontal="center"/>
    </xf>
    <xf numFmtId="0" fontId="5" fillId="45" borderId="77" xfId="8719" applyFill="1" applyBorder="1" applyAlignment="1">
      <alignment horizontal="center"/>
    </xf>
    <xf numFmtId="0" fontId="5" fillId="45" borderId="78" xfId="8719" applyFill="1" applyBorder="1" applyAlignment="1">
      <alignment horizontal="center"/>
    </xf>
    <xf numFmtId="0" fontId="5" fillId="45" borderId="79" xfId="8719" applyFill="1" applyBorder="1" applyAlignment="1">
      <alignment horizontal="center"/>
    </xf>
    <xf numFmtId="0" fontId="146" fillId="45" borderId="78" xfId="8719" applyFont="1" applyFill="1" applyBorder="1" applyAlignment="1">
      <alignment horizontal="center"/>
    </xf>
    <xf numFmtId="0" fontId="146" fillId="45" borderId="79" xfId="8719" applyFont="1" applyFill="1" applyBorder="1" applyAlignment="1">
      <alignment horizontal="center"/>
    </xf>
    <xf numFmtId="0" fontId="53" fillId="45" borderId="77" xfId="8719" applyFont="1" applyFill="1" applyBorder="1" applyAlignment="1">
      <alignment horizontal="center"/>
    </xf>
    <xf numFmtId="0" fontId="146" fillId="45" borderId="81" xfId="8719" applyFont="1" applyFill="1" applyBorder="1" applyAlignment="1">
      <alignment horizontal="center"/>
    </xf>
    <xf numFmtId="182" fontId="5" fillId="44" borderId="4" xfId="700" applyNumberFormat="1" applyFont="1" applyFill="1" applyBorder="1" applyAlignment="1">
      <alignment horizontal="center"/>
    </xf>
    <xf numFmtId="182" fontId="5" fillId="44" borderId="81" xfId="700" applyNumberFormat="1" applyFont="1" applyFill="1" applyBorder="1" applyAlignment="1">
      <alignment horizontal="center"/>
    </xf>
    <xf numFmtId="0" fontId="5" fillId="43" borderId="94" xfId="8719" applyFill="1" applyBorder="1" applyAlignment="1" applyProtection="1">
      <alignment horizontal="center"/>
      <protection locked="0"/>
    </xf>
    <xf numFmtId="0" fontId="5" fillId="43" borderId="4" xfId="8719" applyFill="1" applyBorder="1" applyAlignment="1" applyProtection="1">
      <alignment horizontal="center"/>
      <protection locked="0"/>
    </xf>
    <xf numFmtId="0" fontId="5" fillId="43" borderId="81" xfId="8719" applyFill="1" applyBorder="1" applyAlignment="1" applyProtection="1">
      <alignment horizontal="center"/>
      <protection locked="0"/>
    </xf>
    <xf numFmtId="0" fontId="145" fillId="45" borderId="83" xfId="8719" applyFont="1" applyFill="1" applyBorder="1" applyAlignment="1">
      <alignment horizontal="center"/>
    </xf>
    <xf numFmtId="0" fontId="145" fillId="45" borderId="84" xfId="8719" applyFont="1" applyFill="1" applyBorder="1" applyAlignment="1">
      <alignment horizontal="center"/>
    </xf>
    <xf numFmtId="168" fontId="164" fillId="44" borderId="11" xfId="8720" applyNumberFormat="1" applyFont="1" applyFill="1" applyBorder="1" applyAlignment="1">
      <alignment horizontal="center"/>
    </xf>
    <xf numFmtId="0" fontId="145" fillId="45" borderId="94" xfId="8719" applyFont="1" applyFill="1" applyBorder="1" applyAlignment="1">
      <alignment horizontal="center"/>
    </xf>
    <xf numFmtId="182" fontId="52" fillId="43" borderId="4" xfId="700" applyNumberFormat="1" applyFont="1" applyFill="1" applyBorder="1" applyAlignment="1" applyProtection="1">
      <alignment horizontal="center"/>
      <protection locked="0"/>
    </xf>
    <xf numFmtId="182" fontId="52" fillId="43" borderId="81" xfId="700" applyNumberFormat="1" applyFont="1" applyFill="1" applyBorder="1" applyAlignment="1" applyProtection="1">
      <alignment horizontal="center"/>
      <protection locked="0"/>
    </xf>
    <xf numFmtId="0" fontId="146" fillId="43" borderId="94"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81" xfId="8719" applyFont="1" applyFill="1" applyBorder="1" applyAlignment="1" applyProtection="1">
      <alignment horizontal="center"/>
      <protection locked="0"/>
    </xf>
    <xf numFmtId="0" fontId="146" fillId="47" borderId="5" xfId="8719" applyFont="1" applyFill="1" applyBorder="1" applyAlignment="1">
      <alignment horizontal="center"/>
    </xf>
    <xf numFmtId="168" fontId="150" fillId="47" borderId="3" xfId="8720" applyNumberFormat="1" applyFont="1" applyFill="1" applyBorder="1" applyAlignment="1">
      <alignment horizontal="center"/>
    </xf>
    <xf numFmtId="168" fontId="150" fillId="47" borderId="4" xfId="8720" applyNumberFormat="1" applyFont="1" applyFill="1" applyBorder="1" applyAlignment="1">
      <alignment horizontal="center"/>
    </xf>
    <xf numFmtId="168" fontId="150" fillId="47" borderId="5" xfId="8720" applyNumberFormat="1" applyFont="1" applyFill="1" applyBorder="1" applyAlignment="1">
      <alignment horizontal="center"/>
    </xf>
    <xf numFmtId="182" fontId="5" fillId="43" borderId="4" xfId="700" applyNumberFormat="1" applyFont="1" applyFill="1" applyBorder="1" applyAlignment="1" applyProtection="1">
      <alignment horizontal="center"/>
    </xf>
    <xf numFmtId="182" fontId="5" fillId="43" borderId="81" xfId="700" applyNumberFormat="1" applyFont="1" applyFill="1" applyBorder="1" applyAlignment="1" applyProtection="1">
      <alignment horizontal="center"/>
    </xf>
    <xf numFmtId="0" fontId="146" fillId="43" borderId="82" xfId="8719" applyFont="1" applyFill="1" applyBorder="1" applyAlignment="1">
      <alignment horizontal="left"/>
    </xf>
    <xf numFmtId="0" fontId="146" fillId="43" borderId="11" xfId="8719" applyFont="1" applyFill="1" applyBorder="1" applyAlignment="1">
      <alignment horizontal="left"/>
    </xf>
    <xf numFmtId="182" fontId="52" fillId="43" borderId="11" xfId="700" applyNumberFormat="1" applyFont="1" applyFill="1" applyBorder="1" applyAlignment="1" applyProtection="1">
      <alignment horizontal="center"/>
      <protection locked="0"/>
    </xf>
    <xf numFmtId="182" fontId="52" fillId="43" borderId="93" xfId="700" applyNumberFormat="1" applyFont="1" applyFill="1" applyBorder="1" applyAlignment="1" applyProtection="1">
      <alignment horizontal="center"/>
      <protection locked="0"/>
    </xf>
    <xf numFmtId="164" fontId="52" fillId="45" borderId="72" xfId="8720" applyNumberFormat="1" applyFont="1" applyFill="1" applyBorder="1" applyAlignment="1" applyProtection="1">
      <alignment horizontal="center"/>
      <protection locked="0"/>
    </xf>
    <xf numFmtId="164" fontId="52" fillId="45" borderId="76" xfId="8720" applyNumberFormat="1" applyFont="1" applyFill="1" applyBorder="1" applyAlignment="1" applyProtection="1">
      <alignment horizontal="center"/>
      <protection locked="0"/>
    </xf>
    <xf numFmtId="0" fontId="53" fillId="43" borderId="93" xfId="8719" applyFont="1" applyFill="1" applyBorder="1" applyAlignment="1" applyProtection="1">
      <alignment horizontal="center"/>
      <protection locked="0"/>
    </xf>
    <xf numFmtId="0" fontId="53" fillId="43" borderId="94" xfId="8719" applyFont="1" applyFill="1" applyBorder="1" applyAlignment="1" applyProtection="1">
      <alignment horizontal="center"/>
      <protection locked="0"/>
    </xf>
    <xf numFmtId="0" fontId="53" fillId="43" borderId="4" xfId="8719" applyFont="1" applyFill="1" applyBorder="1" applyAlignment="1" applyProtection="1">
      <alignment horizontal="center"/>
      <protection locked="0"/>
    </xf>
    <xf numFmtId="0" fontId="159" fillId="45" borderId="67" xfId="8719" applyFont="1" applyFill="1" applyBorder="1" applyAlignment="1">
      <alignment horizontal="center"/>
    </xf>
    <xf numFmtId="0" fontId="159" fillId="45" borderId="0" xfId="8719" applyFont="1" applyFill="1" applyAlignment="1">
      <alignment horizontal="center"/>
    </xf>
    <xf numFmtId="0" fontId="159" fillId="45" borderId="12" xfId="8719" applyFont="1" applyFill="1" applyBorder="1" applyAlignment="1">
      <alignment horizontal="center"/>
    </xf>
    <xf numFmtId="182" fontId="150" fillId="44" borderId="105" xfId="700" applyNumberFormat="1" applyFont="1" applyFill="1" applyBorder="1" applyAlignment="1">
      <alignment horizontal="center"/>
    </xf>
    <xf numFmtId="182" fontId="150" fillId="44" borderId="29" xfId="700" applyNumberFormat="1" applyFont="1" applyFill="1" applyBorder="1" applyAlignment="1">
      <alignment horizontal="center"/>
    </xf>
    <xf numFmtId="182" fontId="150" fillId="44" borderId="31" xfId="700" applyNumberFormat="1" applyFont="1" applyFill="1" applyBorder="1" applyAlignment="1">
      <alignment horizontal="center"/>
    </xf>
    <xf numFmtId="0" fontId="146" fillId="43" borderId="83" xfId="8719" applyFont="1" applyFill="1" applyBorder="1" applyAlignment="1" applyProtection="1">
      <alignment horizontal="center"/>
      <protection locked="0"/>
    </xf>
    <xf numFmtId="0" fontId="146" fillId="43" borderId="84" xfId="8719" applyFont="1" applyFill="1" applyBorder="1" applyAlignment="1" applyProtection="1">
      <alignment horizontal="center"/>
      <protection locked="0"/>
    </xf>
    <xf numFmtId="0" fontId="53" fillId="43" borderId="95" xfId="8719" applyFont="1" applyFill="1" applyBorder="1" applyAlignment="1" applyProtection="1">
      <alignment horizontal="center"/>
      <protection locked="0"/>
    </xf>
    <xf numFmtId="182" fontId="5" fillId="43" borderId="84" xfId="700" applyNumberFormat="1" applyFont="1" applyFill="1" applyBorder="1" applyAlignment="1" applyProtection="1">
      <alignment horizontal="center"/>
      <protection locked="0"/>
    </xf>
    <xf numFmtId="182" fontId="5" fillId="43" borderId="87" xfId="700" applyNumberFormat="1" applyFont="1" applyFill="1" applyBorder="1" applyAlignment="1" applyProtection="1">
      <alignment horizontal="center"/>
      <protection locked="0"/>
    </xf>
    <xf numFmtId="0" fontId="5" fillId="43" borderId="83" xfId="8719" applyFill="1" applyBorder="1" applyAlignment="1" applyProtection="1">
      <alignment horizontal="center"/>
      <protection locked="0"/>
    </xf>
    <xf numFmtId="0" fontId="5" fillId="43" borderId="84" xfId="8719" applyFill="1" applyBorder="1" applyAlignment="1" applyProtection="1">
      <alignment horizontal="center"/>
      <protection locked="0"/>
    </xf>
    <xf numFmtId="0" fontId="5" fillId="43" borderId="87" xfId="8719" applyFill="1" applyBorder="1" applyAlignment="1" applyProtection="1">
      <alignment horizontal="center"/>
      <protection locked="0"/>
    </xf>
    <xf numFmtId="0" fontId="63" fillId="48" borderId="66" xfId="8719" applyFont="1" applyFill="1" applyBorder="1" applyAlignment="1">
      <alignment horizontal="center"/>
    </xf>
    <xf numFmtId="0" fontId="63" fillId="48" borderId="29" xfId="8719" applyFont="1" applyFill="1" applyBorder="1" applyAlignment="1">
      <alignment horizontal="center"/>
    </xf>
    <xf numFmtId="0" fontId="63" fillId="48" borderId="31" xfId="8719" applyFont="1" applyFill="1" applyBorder="1" applyAlignment="1">
      <alignment horizontal="center"/>
    </xf>
    <xf numFmtId="0" fontId="5" fillId="48" borderId="67" xfId="8719" applyFill="1" applyBorder="1" applyAlignment="1">
      <alignment horizontal="center"/>
    </xf>
    <xf numFmtId="0" fontId="5" fillId="48" borderId="0" xfId="8719" applyFill="1" applyAlignment="1">
      <alignment horizontal="center"/>
    </xf>
    <xf numFmtId="0" fontId="5" fillId="48" borderId="41" xfId="8719" applyFill="1" applyBorder="1" applyAlignment="1">
      <alignment horizontal="center"/>
    </xf>
    <xf numFmtId="0" fontId="22" fillId="48" borderId="67" xfId="8719" applyFont="1" applyFill="1" applyBorder="1" applyAlignment="1">
      <alignment horizontal="center"/>
    </xf>
    <xf numFmtId="0" fontId="22" fillId="48" borderId="0" xfId="8719" applyFont="1" applyFill="1" applyAlignment="1">
      <alignment horizontal="center"/>
    </xf>
    <xf numFmtId="0" fontId="22" fillId="48" borderId="41" xfId="8719" applyFont="1" applyFill="1" applyBorder="1" applyAlignment="1">
      <alignment horizontal="center"/>
    </xf>
    <xf numFmtId="0" fontId="101" fillId="48" borderId="67" xfId="8719" applyFont="1" applyFill="1" applyBorder="1" applyAlignment="1">
      <alignment horizontal="center"/>
    </xf>
    <xf numFmtId="0" fontId="101" fillId="48" borderId="0" xfId="8719" applyFont="1" applyFill="1" applyAlignment="1">
      <alignment horizontal="center"/>
    </xf>
    <xf numFmtId="0" fontId="101" fillId="48" borderId="41" xfId="8719" applyFont="1" applyFill="1" applyBorder="1" applyAlignment="1">
      <alignment horizontal="center"/>
    </xf>
    <xf numFmtId="0" fontId="101" fillId="48" borderId="0" xfId="8719" applyFont="1" applyFill="1" applyAlignment="1">
      <alignment horizontal="left"/>
    </xf>
    <xf numFmtId="182" fontId="150" fillId="44" borderId="75" xfId="700" applyNumberFormat="1" applyFont="1" applyFill="1" applyBorder="1" applyAlignment="1">
      <alignment horizontal="center"/>
    </xf>
    <xf numFmtId="182" fontId="150" fillId="44" borderId="95" xfId="700" applyNumberFormat="1" applyFont="1" applyFill="1" applyBorder="1" applyAlignment="1">
      <alignment horizontal="center"/>
    </xf>
    <xf numFmtId="182" fontId="53" fillId="44" borderId="75" xfId="700" applyNumberFormat="1" applyFont="1" applyFill="1" applyBorder="1" applyAlignment="1" applyProtection="1">
      <alignment horizontal="center"/>
      <protection locked="0"/>
    </xf>
    <xf numFmtId="182" fontId="53" fillId="44" borderId="95" xfId="700" applyNumberFormat="1" applyFont="1" applyFill="1" applyBorder="1" applyAlignment="1" applyProtection="1">
      <alignment horizontal="center"/>
      <protection locked="0"/>
    </xf>
    <xf numFmtId="0" fontId="101" fillId="44" borderId="0" xfId="8719" applyFont="1" applyFill="1" applyAlignment="1">
      <alignment horizontal="left"/>
    </xf>
    <xf numFmtId="0" fontId="5" fillId="43" borderId="68" xfId="8719" applyFill="1" applyBorder="1" applyAlignment="1" applyProtection="1">
      <alignment horizontal="center"/>
      <protection locked="0"/>
    </xf>
    <xf numFmtId="0" fontId="5" fillId="43" borderId="69" xfId="8719" applyFill="1" applyBorder="1" applyAlignment="1" applyProtection="1">
      <alignment horizontal="center"/>
      <protection locked="0"/>
    </xf>
    <xf numFmtId="0" fontId="5" fillId="43" borderId="70" xfId="8719" applyFill="1" applyBorder="1" applyAlignment="1" applyProtection="1">
      <alignment horizontal="center"/>
      <protection locked="0"/>
    </xf>
    <xf numFmtId="0" fontId="22" fillId="44" borderId="0" xfId="8719" applyFont="1" applyFill="1" applyAlignment="1">
      <alignment horizontal="left" vertical="top"/>
    </xf>
    <xf numFmtId="0" fontId="101" fillId="44" borderId="0" xfId="4503" applyFont="1" applyFill="1" applyBorder="1" applyAlignment="1">
      <alignment horizontal="left" vertical="top"/>
    </xf>
    <xf numFmtId="0" fontId="101" fillId="48" borderId="0" xfId="8719" applyFont="1" applyFill="1" applyAlignment="1">
      <alignment horizontal="left" vertical="top" wrapText="1"/>
    </xf>
    <xf numFmtId="0" fontId="101" fillId="48" borderId="42" xfId="8719" applyFont="1" applyFill="1" applyBorder="1" applyAlignment="1">
      <alignment horizontal="center"/>
    </xf>
    <xf numFmtId="0" fontId="97" fillId="0" borderId="74" xfId="25589" applyFont="1" applyBorder="1" applyAlignment="1">
      <alignment horizontal="right"/>
    </xf>
    <xf numFmtId="0" fontId="97" fillId="0" borderId="75" xfId="25589" applyFont="1" applyBorder="1" applyAlignment="1">
      <alignment horizontal="right"/>
    </xf>
    <xf numFmtId="0" fontId="136" fillId="0" borderId="92" xfId="25589" applyFont="1" applyBorder="1" applyAlignment="1">
      <alignment horizontal="center" vertical="top" wrapText="1"/>
    </xf>
    <xf numFmtId="0" fontId="136" fillId="0" borderId="91" xfId="25589" applyFont="1" applyBorder="1" applyAlignment="1">
      <alignment horizontal="center" vertical="top" wrapText="1"/>
    </xf>
    <xf numFmtId="0" fontId="97" fillId="0" borderId="72" xfId="25589" applyFont="1" applyBorder="1"/>
    <xf numFmtId="0" fontId="97" fillId="0" borderId="76" xfId="25589" applyFont="1" applyBorder="1"/>
    <xf numFmtId="0" fontId="97" fillId="0" borderId="11" xfId="25589" applyFont="1" applyBorder="1"/>
    <xf numFmtId="0" fontId="97" fillId="0" borderId="93" xfId="25589" applyFont="1" applyBorder="1"/>
    <xf numFmtId="0" fontId="97" fillId="0" borderId="75" xfId="25589" applyFont="1" applyBorder="1"/>
    <xf numFmtId="0" fontId="97" fillId="0" borderId="95" xfId="25589" applyFont="1" applyBorder="1"/>
    <xf numFmtId="0" fontId="97" fillId="0" borderId="71" xfId="25589" applyFont="1" applyBorder="1" applyAlignment="1">
      <alignment horizontal="right"/>
    </xf>
    <xf numFmtId="0" fontId="97" fillId="0" borderId="72" xfId="25589" applyFont="1" applyBorder="1" applyAlignment="1">
      <alignment horizontal="right"/>
    </xf>
    <xf numFmtId="0" fontId="97" fillId="0" borderId="82" xfId="25589" applyFont="1" applyBorder="1" applyAlignment="1">
      <alignment horizontal="right"/>
    </xf>
    <xf numFmtId="0" fontId="97" fillId="0" borderId="11" xfId="25589" applyFont="1" applyBorder="1" applyAlignment="1">
      <alignment horizontal="right"/>
    </xf>
    <xf numFmtId="0" fontId="97" fillId="0" borderId="15" xfId="25589" applyFont="1" applyBorder="1" applyAlignment="1">
      <alignment horizontal="left" indent="1"/>
    </xf>
    <xf numFmtId="168" fontId="97" fillId="0" borderId="86" xfId="25591" applyNumberFormat="1" applyFont="1" applyFill="1" applyBorder="1" applyAlignment="1" applyProtection="1">
      <alignment horizontal="left" vertical="center" indent="1"/>
    </xf>
    <xf numFmtId="168" fontId="97" fillId="0" borderId="85" xfId="25591" applyNumberFormat="1" applyFont="1" applyFill="1" applyBorder="1" applyAlignment="1" applyProtection="1">
      <alignment horizontal="left" vertical="center" indent="1"/>
    </xf>
    <xf numFmtId="0" fontId="136" fillId="0" borderId="72" xfId="25589" applyFont="1" applyBorder="1" applyAlignment="1">
      <alignment horizontal="left" indent="1"/>
    </xf>
    <xf numFmtId="49" fontId="97" fillId="45" borderId="15" xfId="25589" applyNumberFormat="1" applyFont="1" applyFill="1" applyBorder="1" applyAlignment="1">
      <alignment horizontal="center" vertical="center" wrapText="1"/>
    </xf>
    <xf numFmtId="49" fontId="97" fillId="45" borderId="13" xfId="25589" applyNumberFormat="1" applyFont="1" applyFill="1" applyBorder="1" applyAlignment="1">
      <alignment horizontal="center" vertical="center" wrapText="1"/>
    </xf>
    <xf numFmtId="0" fontId="97" fillId="0" borderId="11" xfId="25589" applyFont="1" applyBorder="1" applyAlignment="1">
      <alignment horizontal="left" indent="1"/>
    </xf>
    <xf numFmtId="49" fontId="135" fillId="3" borderId="0" xfId="1192" applyNumberFormat="1" applyFont="1" applyFill="1" applyAlignment="1">
      <alignment horizontal="center" vertical="center"/>
    </xf>
    <xf numFmtId="0" fontId="136" fillId="45" borderId="3" xfId="25589" applyFont="1" applyFill="1" applyBorder="1" applyAlignment="1">
      <alignment horizontal="center" vertical="center"/>
    </xf>
    <xf numFmtId="0" fontId="136" fillId="45" borderId="4" xfId="25589" applyFont="1" applyFill="1" applyBorder="1" applyAlignment="1">
      <alignment horizontal="center" vertical="center"/>
    </xf>
    <xf numFmtId="0" fontId="136" fillId="45" borderId="5" xfId="25589" applyFont="1" applyFill="1" applyBorder="1" applyAlignment="1">
      <alignment horizontal="center" vertical="center"/>
    </xf>
    <xf numFmtId="9" fontId="136" fillId="45" borderId="3" xfId="25591" applyFont="1" applyFill="1" applyBorder="1" applyAlignment="1" applyProtection="1">
      <alignment horizontal="center" vertical="center"/>
    </xf>
    <xf numFmtId="9" fontId="136" fillId="45" borderId="4" xfId="25591" applyFont="1" applyFill="1" applyBorder="1" applyAlignment="1" applyProtection="1">
      <alignment horizontal="center" vertical="center"/>
    </xf>
    <xf numFmtId="9" fontId="136" fillId="45" borderId="5" xfId="25591" applyFont="1" applyFill="1" applyBorder="1" applyAlignment="1" applyProtection="1">
      <alignment horizontal="center" vertical="center"/>
    </xf>
    <xf numFmtId="168" fontId="97" fillId="0" borderId="11" xfId="25591" applyNumberFormat="1" applyFont="1" applyFill="1" applyBorder="1" applyAlignment="1" applyProtection="1">
      <alignment horizontal="left" vertical="center" indent="1"/>
    </xf>
    <xf numFmtId="168" fontId="97" fillId="0" borderId="13" xfId="25591" applyNumberFormat="1" applyFont="1" applyFill="1" applyBorder="1" applyAlignment="1" applyProtection="1">
      <alignment horizontal="left" vertical="center" indent="1"/>
    </xf>
    <xf numFmtId="168" fontId="15" fillId="2" borderId="3" xfId="569" applyNumberFormat="1" applyFill="1" applyBorder="1" applyAlignment="1" applyProtection="1">
      <alignment horizontal="center"/>
    </xf>
    <xf numFmtId="168" fontId="15" fillId="2" borderId="4" xfId="569" applyNumberFormat="1" applyFill="1" applyBorder="1" applyAlignment="1" applyProtection="1">
      <alignment horizontal="center"/>
    </xf>
    <xf numFmtId="168" fontId="15" fillId="2" borderId="5" xfId="569" applyNumberFormat="1" applyFill="1" applyBorder="1" applyAlignment="1" applyProtection="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168" fontId="15" fillId="0" borderId="5" xfId="569" applyNumberFormat="1" applyFill="1" applyBorder="1" applyAlignment="1">
      <alignment horizontal="center"/>
    </xf>
    <xf numFmtId="168" fontId="15" fillId="0" borderId="11" xfId="569" applyNumberFormat="1" applyFill="1" applyBorder="1" applyAlignment="1">
      <alignment horizontal="center"/>
    </xf>
    <xf numFmtId="168" fontId="15" fillId="0" borderId="3" xfId="569" applyNumberFormat="1" applyFill="1" applyBorder="1" applyAlignment="1">
      <alignment horizontal="center"/>
    </xf>
    <xf numFmtId="168" fontId="15" fillId="0" borderId="4" xfId="569" applyNumberFormat="1" applyFill="1" applyBorder="1" applyAlignment="1">
      <alignment horizontal="center"/>
    </xf>
    <xf numFmtId="179" fontId="22" fillId="0" borderId="0" xfId="569" applyNumberFormat="1" applyFont="1" applyFill="1" applyBorder="1" applyAlignment="1" applyProtection="1">
      <alignment horizontal="center" wrapText="1"/>
    </xf>
    <xf numFmtId="0" fontId="22" fillId="0" borderId="16" xfId="271" applyFont="1" applyFill="1" applyBorder="1" applyAlignment="1" applyProtection="1">
      <alignment horizontal="center"/>
    </xf>
    <xf numFmtId="164" fontId="22" fillId="0" borderId="0" xfId="569" applyNumberFormat="1" applyFont="1" applyFill="1" applyBorder="1" applyAlignment="1" applyProtection="1">
      <alignment horizontal="center"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3" xfId="569" applyFont="1" applyFill="1" applyBorder="1" applyAlignment="1">
      <alignment horizontal="right"/>
    </xf>
    <xf numFmtId="0" fontId="22" fillId="0" borderId="4" xfId="569" applyFont="1" applyFill="1" applyBorder="1" applyAlignment="1">
      <alignment horizontal="right"/>
    </xf>
    <xf numFmtId="0" fontId="22" fillId="0" borderId="5" xfId="569" applyFont="1" applyFill="1" applyBorder="1" applyAlignment="1">
      <alignment horizontal="right"/>
    </xf>
    <xf numFmtId="0" fontId="52" fillId="0" borderId="0" xfId="569" applyFont="1" applyBorder="1" applyAlignment="1">
      <alignment horizontal="left"/>
    </xf>
    <xf numFmtId="0" fontId="15" fillId="0" borderId="3" xfId="569" applyFont="1" applyBorder="1" applyAlignment="1">
      <alignment horizontal="right"/>
    </xf>
    <xf numFmtId="0" fontId="15" fillId="0" borderId="4" xfId="569" applyFont="1" applyBorder="1" applyAlignment="1">
      <alignment horizontal="right"/>
    </xf>
    <xf numFmtId="0" fontId="15" fillId="0" borderId="5" xfId="569" applyFont="1"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168" fontId="15" fillId="0" borderId="5" xfId="569" applyNumberFormat="1" applyFont="1" applyFill="1" applyBorder="1" applyAlignment="1" applyProtection="1">
      <alignment horizontal="center"/>
    </xf>
    <xf numFmtId="168" fontId="15" fillId="0" borderId="11" xfId="569" applyNumberFormat="1" applyFont="1" applyFill="1" applyBorder="1" applyAlignment="1" applyProtection="1">
      <alignment horizontal="center"/>
    </xf>
    <xf numFmtId="168" fontId="15" fillId="0" borderId="3" xfId="569" applyNumberForma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168" fontId="15" fillId="0" borderId="3" xfId="569" applyNumberFormat="1" applyFill="1" applyBorder="1" applyAlignment="1">
      <alignment horizontal="right"/>
    </xf>
    <xf numFmtId="168" fontId="15" fillId="0" borderId="4" xfId="569" applyNumberFormat="1" applyFill="1" applyBorder="1" applyAlignment="1">
      <alignment horizontal="right"/>
    </xf>
    <xf numFmtId="168" fontId="15" fillId="0" borderId="5" xfId="569" applyNumberFormat="1" applyFill="1" applyBorder="1" applyAlignment="1">
      <alignment horizontal="right"/>
    </xf>
    <xf numFmtId="9" fontId="15" fillId="0" borderId="5" xfId="569" applyNumberFormat="1" applyFill="1" applyBorder="1" applyAlignment="1" applyProtection="1">
      <alignment horizontal="center"/>
    </xf>
    <xf numFmtId="9" fontId="15" fillId="0" borderId="11" xfId="569" applyNumberFormat="1" applyFill="1" applyBorder="1" applyAlignment="1" applyProtection="1">
      <alignment horizontal="center"/>
    </xf>
    <xf numFmtId="0" fontId="23" fillId="5" borderId="4" xfId="569" applyFont="1" applyFill="1" applyBorder="1" applyAlignment="1" applyProtection="1">
      <alignment horizontal="left"/>
      <protection locked="0"/>
    </xf>
    <xf numFmtId="0" fontId="23" fillId="5" borderId="5" xfId="569" applyFont="1" applyFill="1" applyBorder="1" applyAlignment="1" applyProtection="1">
      <alignment horizontal="left"/>
      <protection locked="0"/>
    </xf>
    <xf numFmtId="0" fontId="22" fillId="0" borderId="3" xfId="569" applyFont="1" applyFill="1" applyBorder="1" applyAlignment="1">
      <alignment horizontal="left"/>
    </xf>
    <xf numFmtId="0" fontId="22" fillId="0" borderId="4" xfId="569" applyFont="1" applyFill="1" applyBorder="1" applyAlignment="1">
      <alignment horizontal="left"/>
    </xf>
    <xf numFmtId="0" fontId="22" fillId="0" borderId="5" xfId="569" applyFont="1" applyFill="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0" fontId="22" fillId="0" borderId="11" xfId="569" applyFont="1" applyBorder="1" applyAlignment="1">
      <alignment horizontal="center" wrapText="1"/>
    </xf>
    <xf numFmtId="168" fontId="15" fillId="0" borderId="7" xfId="569" applyNumberFormat="1" applyFill="1" applyBorder="1" applyAlignment="1">
      <alignment horizontal="center"/>
    </xf>
    <xf numFmtId="168" fontId="15" fillId="0" borderId="1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5" fontId="15" fillId="0" borderId="5" xfId="569" applyNumberFormat="1" applyFill="1" applyBorder="1" applyAlignment="1">
      <alignment horizontal="center"/>
    </xf>
    <xf numFmtId="5" fontId="15" fillId="0" borderId="11" xfId="569" applyNumberFormat="1" applyFill="1" applyBorder="1" applyAlignment="1">
      <alignment horizontal="center"/>
    </xf>
    <xf numFmtId="5" fontId="15" fillId="0" borderId="3" xfId="569" applyNumberFormat="1" applyFill="1" applyBorder="1" applyAlignment="1">
      <alignment horizontal="center"/>
    </xf>
    <xf numFmtId="5" fontId="15" fillId="0" borderId="4" xfId="569" applyNumberFormat="1" applyFill="1" applyBorder="1" applyAlignment="1">
      <alignment horizontal="center"/>
    </xf>
    <xf numFmtId="9" fontId="15" fillId="0" borderId="9" xfId="569" applyNumberFormat="1" applyFill="1" applyBorder="1" applyAlignment="1">
      <alignment horizontal="center" vertical="center"/>
    </xf>
    <xf numFmtId="9" fontId="15" fillId="0" borderId="6" xfId="569" applyNumberFormat="1" applyFill="1" applyBorder="1" applyAlignment="1">
      <alignment horizontal="center" vertical="center"/>
    </xf>
    <xf numFmtId="9" fontId="15" fillId="0" borderId="10" xfId="569" applyNumberFormat="1" applyFill="1" applyBorder="1" applyAlignment="1">
      <alignment horizontal="center" vertical="center"/>
    </xf>
    <xf numFmtId="168" fontId="15" fillId="0" borderId="5" xfId="569" applyNumberFormat="1" applyFont="1" applyFill="1" applyBorder="1" applyAlignment="1">
      <alignment horizontal="center"/>
    </xf>
    <xf numFmtId="168" fontId="15" fillId="0" borderId="11" xfId="569" applyNumberFormat="1" applyFont="1" applyFill="1" applyBorder="1" applyAlignment="1">
      <alignment horizontal="center"/>
    </xf>
    <xf numFmtId="168" fontId="15" fillId="0" borderId="11" xfId="569" applyNumberFormat="1" applyFill="1" applyBorder="1" applyAlignment="1">
      <alignment horizontal="right"/>
    </xf>
    <xf numFmtId="0" fontId="22" fillId="0" borderId="6" xfId="569" applyFont="1" applyBorder="1" applyAlignment="1">
      <alignment horizontal="center"/>
    </xf>
    <xf numFmtId="168" fontId="15" fillId="0" borderId="3" xfId="569" applyNumberFormat="1" applyFill="1" applyBorder="1" applyAlignment="1" applyProtection="1">
      <alignment horizontal="center"/>
    </xf>
    <xf numFmtId="0" fontId="15" fillId="0" borderId="4" xfId="569" applyBorder="1" applyAlignment="1">
      <alignment horizontal="center"/>
    </xf>
    <xf numFmtId="0" fontId="15" fillId="0" borderId="5"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106" fillId="0" borderId="0" xfId="569" applyFont="1" applyBorder="1" applyAlignment="1">
      <alignment horizontal="left" wrapText="1"/>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1" xfId="569" applyFont="1" applyBorder="1" applyAlignment="1">
      <alignment horizontal="center"/>
    </xf>
    <xf numFmtId="165" fontId="15" fillId="0" borderId="11" xfId="569" applyNumberFormat="1" applyFill="1" applyBorder="1" applyAlignment="1" applyProtection="1">
      <alignment horizontal="center"/>
      <protection locked="0"/>
    </xf>
    <xf numFmtId="168" fontId="15" fillId="0" borderId="11" xfId="569" applyNumberFormat="1" applyFill="1" applyBorder="1" applyAlignment="1"/>
    <xf numFmtId="168" fontId="15" fillId="0" borderId="3" xfId="569" applyNumberFormat="1" applyFill="1" applyBorder="1" applyAlignment="1"/>
    <xf numFmtId="168" fontId="15" fillId="0" borderId="4" xfId="569" applyNumberFormat="1" applyFill="1" applyBorder="1" applyAlignment="1"/>
    <xf numFmtId="168" fontId="15" fillId="0" borderId="5" xfId="569" applyNumberFormat="1" applyFill="1" applyBorder="1" applyAlignment="1"/>
    <xf numFmtId="168" fontId="15" fillId="0" borderId="11" xfId="569" applyNumberFormat="1" applyFill="1" applyBorder="1" applyAlignment="1">
      <alignment wrapText="1"/>
    </xf>
    <xf numFmtId="9" fontId="15" fillId="0" borderId="15" xfId="569" applyNumberFormat="1" applyFill="1" applyBorder="1" applyAlignment="1" applyProtection="1">
      <alignment horizontal="center"/>
    </xf>
    <xf numFmtId="168" fontId="15" fillId="0" borderId="11" xfId="569" applyNumberFormat="1" applyFill="1" applyBorder="1" applyAlignment="1" applyProtection="1">
      <alignment horizontal="center"/>
    </xf>
    <xf numFmtId="0" fontId="15" fillId="0" borderId="11" xfId="569" applyBorder="1" applyAlignment="1">
      <alignment horizontal="center"/>
    </xf>
    <xf numFmtId="0" fontId="10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3" fontId="24" fillId="0" borderId="0" xfId="0" applyNumberFormat="1" applyFont="1" applyAlignment="1">
      <alignment horizontal="left" vertical="top" wrapText="1"/>
    </xf>
    <xf numFmtId="0" fontId="15" fillId="43" borderId="0" xfId="0" applyFont="1" applyFill="1" applyAlignment="1">
      <alignment horizontal="left"/>
    </xf>
    <xf numFmtId="0" fontId="20" fillId="0" borderId="6" xfId="271" applyFont="1" applyBorder="1" applyAlignment="1" applyProtection="1">
      <alignment horizontal="center"/>
    </xf>
  </cellXfs>
  <cellStyles count="42454">
    <cellStyle name="20% - Accent1" xfId="1" builtinId="30" customBuiltin="1"/>
    <cellStyle name="20% - Accent1 10" xfId="4505" xr:uid="{00000000-0005-0000-0000-000001000000}"/>
    <cellStyle name="20% - Accent1 10 2" xfId="21375" xr:uid="{00000000-0005-0000-0000-000002000000}"/>
    <cellStyle name="20% - Accent1 10 2 2" xfId="38243" xr:uid="{6B658896-8887-4B25-B33E-BE3EB8059306}"/>
    <cellStyle name="20% - Accent1 10 3" xfId="12940" xr:uid="{00000000-0005-0000-0000-000003000000}"/>
    <cellStyle name="20% - Accent1 10 4" xfId="29809" xr:uid="{36AC18D4-AD83-4C5A-8E50-2099299B7263}"/>
    <cellStyle name="20% - Accent1 11" xfId="17157" xr:uid="{00000000-0005-0000-0000-000004000000}"/>
    <cellStyle name="20% - Accent1 11 2" xfId="34026" xr:uid="{1D3F09AC-2662-48FB-88EF-F2D280AF286A}"/>
    <cellStyle name="20% - Accent1 12" xfId="8722" xr:uid="{00000000-0005-0000-0000-000005000000}"/>
    <cellStyle name="20% - Accent1 13" xfId="25592" xr:uid="{27CAEE3F-8736-4662-BF6F-20C3850F5819}"/>
    <cellStyle name="20% - Accent1 2" xfId="2" xr:uid="{00000000-0005-0000-0000-000006000000}"/>
    <cellStyle name="20% - Accent1 2 10" xfId="17158" xr:uid="{00000000-0005-0000-0000-000007000000}"/>
    <cellStyle name="20% - Accent1 2 10 2" xfId="34027" xr:uid="{1B0B335B-8A07-49AE-A930-CDD87F120A9B}"/>
    <cellStyle name="20% - Accent1 2 11" xfId="8723" xr:uid="{00000000-0005-0000-0000-000008000000}"/>
    <cellStyle name="20% - Accent1 2 12" xfId="25593" xr:uid="{9C5C7C25-F94F-4779-93CD-9AE97967D376}"/>
    <cellStyle name="20% - Accent1 2 2" xfId="3" xr:uid="{00000000-0005-0000-0000-000009000000}"/>
    <cellStyle name="20% - Accent1 2 2 10" xfId="8724" xr:uid="{00000000-0005-0000-0000-00000A000000}"/>
    <cellStyle name="20% - Accent1 2 2 11" xfId="25594" xr:uid="{703BC4EC-4B89-4E30-AB44-982E4E64F7DA}"/>
    <cellStyle name="20% - Accent1 2 2 2" xfId="4" xr:uid="{00000000-0005-0000-0000-00000B000000}"/>
    <cellStyle name="20% - Accent1 2 2 2 10" xfId="25595" xr:uid="{80A14D19-99A0-42DB-9D4C-8CE48F4F27A2}"/>
    <cellStyle name="20% - Accent1 2 2 2 2" xfId="573" xr:uid="{00000000-0005-0000-0000-00000C000000}"/>
    <cellStyle name="20% - Accent1 2 2 2 2 2" xfId="2844" xr:uid="{00000000-0005-0000-0000-00000D000000}"/>
    <cellStyle name="20% - Accent1 2 2 2 2 2 2" xfId="7067" xr:uid="{00000000-0005-0000-0000-00000E000000}"/>
    <cellStyle name="20% - Accent1 2 2 2 2 2 2 2" xfId="23937" xr:uid="{00000000-0005-0000-0000-00000F000000}"/>
    <cellStyle name="20% - Accent1 2 2 2 2 2 2 2 2" xfId="40805" xr:uid="{B0F6DC8A-95D7-4835-8EF7-CA769F760F8B}"/>
    <cellStyle name="20% - Accent1 2 2 2 2 2 2 3" xfId="15502" xr:uid="{00000000-0005-0000-0000-000010000000}"/>
    <cellStyle name="20% - Accent1 2 2 2 2 2 2 4" xfId="32371" xr:uid="{EBE028CA-4CE5-4C23-9088-CD74EEF2383A}"/>
    <cellStyle name="20% - Accent1 2 2 2 2 2 3" xfId="19719" xr:uid="{00000000-0005-0000-0000-000011000000}"/>
    <cellStyle name="20% - Accent1 2 2 2 2 2 3 2" xfId="36588" xr:uid="{CBD79AF3-50F6-4688-AA6F-E773E6C07AC4}"/>
    <cellStyle name="20% - Accent1 2 2 2 2 2 4" xfId="11284" xr:uid="{00000000-0005-0000-0000-000012000000}"/>
    <cellStyle name="20% - Accent1 2 2 2 2 2 5" xfId="28154" xr:uid="{8C52F8F8-1B6B-4DEB-B569-537C53B2B6F3}"/>
    <cellStyle name="20% - Accent1 2 2 2 2 3" xfId="4922" xr:uid="{00000000-0005-0000-0000-000013000000}"/>
    <cellStyle name="20% - Accent1 2 2 2 2 3 2" xfId="21792" xr:uid="{00000000-0005-0000-0000-000014000000}"/>
    <cellStyle name="20% - Accent1 2 2 2 2 3 2 2" xfId="38660" xr:uid="{09C759BA-8608-4D0D-B979-04BC388D3556}"/>
    <cellStyle name="20% - Accent1 2 2 2 2 3 3" xfId="13357" xr:uid="{00000000-0005-0000-0000-000015000000}"/>
    <cellStyle name="20% - Accent1 2 2 2 2 3 4" xfId="30226" xr:uid="{5FE88085-A616-4230-8606-0930BA6613A2}"/>
    <cellStyle name="20% - Accent1 2 2 2 2 4" xfId="17574" xr:uid="{00000000-0005-0000-0000-000016000000}"/>
    <cellStyle name="20% - Accent1 2 2 2 2 4 2" xfId="34443" xr:uid="{90FFB536-BF17-41B2-B1A0-1C43BE0E1C23}"/>
    <cellStyle name="20% - Accent1 2 2 2 2 5" xfId="9139" xr:uid="{00000000-0005-0000-0000-000017000000}"/>
    <cellStyle name="20% - Accent1 2 2 2 2 6" xfId="26009" xr:uid="{1E583D92-C4E0-42DD-B518-59EE08525D95}"/>
    <cellStyle name="20% - Accent1 2 2 2 3" xfId="1026" xr:uid="{00000000-0005-0000-0000-000018000000}"/>
    <cellStyle name="20% - Accent1 2 2 2 3 2" xfId="3257" xr:uid="{00000000-0005-0000-0000-000019000000}"/>
    <cellStyle name="20% - Accent1 2 2 2 3 2 2" xfId="7480" xr:uid="{00000000-0005-0000-0000-00001A000000}"/>
    <cellStyle name="20% - Accent1 2 2 2 3 2 2 2" xfId="24350" xr:uid="{00000000-0005-0000-0000-00001B000000}"/>
    <cellStyle name="20% - Accent1 2 2 2 3 2 2 2 2" xfId="41218" xr:uid="{31334698-36A1-4A8E-9B6C-434AEAFD6E56}"/>
    <cellStyle name="20% - Accent1 2 2 2 3 2 2 3" xfId="15915" xr:uid="{00000000-0005-0000-0000-00001C000000}"/>
    <cellStyle name="20% - Accent1 2 2 2 3 2 2 4" xfId="32784" xr:uid="{56CF8BAF-480A-4C8A-90AE-483B4774850D}"/>
    <cellStyle name="20% - Accent1 2 2 2 3 2 3" xfId="20132" xr:uid="{00000000-0005-0000-0000-00001D000000}"/>
    <cellStyle name="20% - Accent1 2 2 2 3 2 3 2" xfId="37001" xr:uid="{C3F6DCB0-C37F-4A37-8409-C771AD49E62C}"/>
    <cellStyle name="20% - Accent1 2 2 2 3 2 4" xfId="11697" xr:uid="{00000000-0005-0000-0000-00001E000000}"/>
    <cellStyle name="20% - Accent1 2 2 2 3 2 5" xfId="28567" xr:uid="{DE0EA4A0-BDD4-418D-829E-7F1B0915B5BA}"/>
    <cellStyle name="20% - Accent1 2 2 2 3 3" xfId="5335" xr:uid="{00000000-0005-0000-0000-00001F000000}"/>
    <cellStyle name="20% - Accent1 2 2 2 3 3 2" xfId="22205" xr:uid="{00000000-0005-0000-0000-000020000000}"/>
    <cellStyle name="20% - Accent1 2 2 2 3 3 2 2" xfId="39073" xr:uid="{6D50D1C8-09C3-434E-89B4-8C3DDF2F7004}"/>
    <cellStyle name="20% - Accent1 2 2 2 3 3 3" xfId="13770" xr:uid="{00000000-0005-0000-0000-000021000000}"/>
    <cellStyle name="20% - Accent1 2 2 2 3 3 4" xfId="30639" xr:uid="{BC780574-39FA-49B8-B7DD-2609AE045D94}"/>
    <cellStyle name="20% - Accent1 2 2 2 3 4" xfId="17987" xr:uid="{00000000-0005-0000-0000-000022000000}"/>
    <cellStyle name="20% - Accent1 2 2 2 3 4 2" xfId="34856" xr:uid="{9E710F7A-6DDC-4F36-A313-C4559D8A434D}"/>
    <cellStyle name="20% - Accent1 2 2 2 3 5" xfId="9552" xr:uid="{00000000-0005-0000-0000-000023000000}"/>
    <cellStyle name="20% - Accent1 2 2 2 3 6" xfId="26422" xr:uid="{2C34D300-C216-413A-B98F-FE6E3C486B12}"/>
    <cellStyle name="20% - Accent1 2 2 2 4" xfId="1440" xr:uid="{00000000-0005-0000-0000-000024000000}"/>
    <cellStyle name="20% - Accent1 2 2 2 4 2" xfId="3670" xr:uid="{00000000-0005-0000-0000-000025000000}"/>
    <cellStyle name="20% - Accent1 2 2 2 4 2 2" xfId="7893" xr:uid="{00000000-0005-0000-0000-000026000000}"/>
    <cellStyle name="20% - Accent1 2 2 2 4 2 2 2" xfId="24763" xr:uid="{00000000-0005-0000-0000-000027000000}"/>
    <cellStyle name="20% - Accent1 2 2 2 4 2 2 2 2" xfId="41631" xr:uid="{F4794F09-B3D5-498B-866C-7B013619423B}"/>
    <cellStyle name="20% - Accent1 2 2 2 4 2 2 3" xfId="16328" xr:uid="{00000000-0005-0000-0000-000028000000}"/>
    <cellStyle name="20% - Accent1 2 2 2 4 2 2 4" xfId="33197" xr:uid="{F87D888A-312F-4855-AFE4-B30C01332858}"/>
    <cellStyle name="20% - Accent1 2 2 2 4 2 3" xfId="20545" xr:uid="{00000000-0005-0000-0000-000029000000}"/>
    <cellStyle name="20% - Accent1 2 2 2 4 2 3 2" xfId="37414" xr:uid="{983D1782-CDF7-4209-8378-965A6CB7BBE4}"/>
    <cellStyle name="20% - Accent1 2 2 2 4 2 4" xfId="12110" xr:uid="{00000000-0005-0000-0000-00002A000000}"/>
    <cellStyle name="20% - Accent1 2 2 2 4 2 5" xfId="28980" xr:uid="{4D8BA341-5DDB-4667-99B7-3266087C3DA5}"/>
    <cellStyle name="20% - Accent1 2 2 2 4 3" xfId="5748" xr:uid="{00000000-0005-0000-0000-00002B000000}"/>
    <cellStyle name="20% - Accent1 2 2 2 4 3 2" xfId="22618" xr:uid="{00000000-0005-0000-0000-00002C000000}"/>
    <cellStyle name="20% - Accent1 2 2 2 4 3 2 2" xfId="39486" xr:uid="{3076DC50-80F9-4B6E-B0EF-9CB0A6B114EE}"/>
    <cellStyle name="20% - Accent1 2 2 2 4 3 3" xfId="14183" xr:uid="{00000000-0005-0000-0000-00002D000000}"/>
    <cellStyle name="20% - Accent1 2 2 2 4 3 4" xfId="31052" xr:uid="{6A8C6EFF-D779-455A-BD3F-625906037B65}"/>
    <cellStyle name="20% - Accent1 2 2 2 4 4" xfId="18400" xr:uid="{00000000-0005-0000-0000-00002E000000}"/>
    <cellStyle name="20% - Accent1 2 2 2 4 4 2" xfId="35269" xr:uid="{AFEDE6ED-18FE-4017-A54A-684B524E7EFF}"/>
    <cellStyle name="20% - Accent1 2 2 2 4 5" xfId="9965" xr:uid="{00000000-0005-0000-0000-00002F000000}"/>
    <cellStyle name="20% - Accent1 2 2 2 4 6" xfId="26835" xr:uid="{8A7778D0-F27D-4FD6-9598-2BCA94CCA0D5}"/>
    <cellStyle name="20% - Accent1 2 2 2 5" xfId="1854" xr:uid="{00000000-0005-0000-0000-000030000000}"/>
    <cellStyle name="20% - Accent1 2 2 2 5 2" xfId="4083" xr:uid="{00000000-0005-0000-0000-000031000000}"/>
    <cellStyle name="20% - Accent1 2 2 2 5 2 2" xfId="8306" xr:uid="{00000000-0005-0000-0000-000032000000}"/>
    <cellStyle name="20% - Accent1 2 2 2 5 2 2 2" xfId="25176" xr:uid="{00000000-0005-0000-0000-000033000000}"/>
    <cellStyle name="20% - Accent1 2 2 2 5 2 2 2 2" xfId="42044" xr:uid="{07C860C1-3DEC-4D9B-8C9E-14EB4744E1A1}"/>
    <cellStyle name="20% - Accent1 2 2 2 5 2 2 3" xfId="16741" xr:uid="{00000000-0005-0000-0000-000034000000}"/>
    <cellStyle name="20% - Accent1 2 2 2 5 2 2 4" xfId="33610" xr:uid="{6F45150B-EB33-4E78-ACF9-A1AF8366F307}"/>
    <cellStyle name="20% - Accent1 2 2 2 5 2 3" xfId="20958" xr:uid="{00000000-0005-0000-0000-000035000000}"/>
    <cellStyle name="20% - Accent1 2 2 2 5 2 3 2" xfId="37827" xr:uid="{6BA6E596-755A-430D-979E-76484E3C1C61}"/>
    <cellStyle name="20% - Accent1 2 2 2 5 2 4" xfId="12523" xr:uid="{00000000-0005-0000-0000-000036000000}"/>
    <cellStyle name="20% - Accent1 2 2 2 5 2 5" xfId="29393" xr:uid="{D40A077D-5BE8-4B84-AEB2-FA83F29E4A67}"/>
    <cellStyle name="20% - Accent1 2 2 2 5 3" xfId="6161" xr:uid="{00000000-0005-0000-0000-000037000000}"/>
    <cellStyle name="20% - Accent1 2 2 2 5 3 2" xfId="23031" xr:uid="{00000000-0005-0000-0000-000038000000}"/>
    <cellStyle name="20% - Accent1 2 2 2 5 3 2 2" xfId="39899" xr:uid="{DD3E9ED6-B8E6-4C85-A570-BABBB77022CD}"/>
    <cellStyle name="20% - Accent1 2 2 2 5 3 3" xfId="14596" xr:uid="{00000000-0005-0000-0000-000039000000}"/>
    <cellStyle name="20% - Accent1 2 2 2 5 3 4" xfId="31465" xr:uid="{5FAD96B7-B7CB-4079-8FD8-06B364F6D0D7}"/>
    <cellStyle name="20% - Accent1 2 2 2 5 4" xfId="18813" xr:uid="{00000000-0005-0000-0000-00003A000000}"/>
    <cellStyle name="20% - Accent1 2 2 2 5 4 2" xfId="35682" xr:uid="{0402130E-7177-46FB-B7DE-5DC61FEA781C}"/>
    <cellStyle name="20% - Accent1 2 2 2 5 5" xfId="10378" xr:uid="{00000000-0005-0000-0000-00003B000000}"/>
    <cellStyle name="20% - Accent1 2 2 2 5 6" xfId="27248" xr:uid="{4CDA9A2A-E780-4D8E-95C1-60AFEFCBE211}"/>
    <cellStyle name="20% - Accent1 2 2 2 6" xfId="2267" xr:uid="{00000000-0005-0000-0000-00003C000000}"/>
    <cellStyle name="20% - Accent1 2 2 2 6 2" xfId="6574" xr:uid="{00000000-0005-0000-0000-00003D000000}"/>
    <cellStyle name="20% - Accent1 2 2 2 6 2 2" xfId="23444" xr:uid="{00000000-0005-0000-0000-00003E000000}"/>
    <cellStyle name="20% - Accent1 2 2 2 6 2 2 2" xfId="40312" xr:uid="{67508956-2AB2-4D20-BAAE-B95FE0DD8DF8}"/>
    <cellStyle name="20% - Accent1 2 2 2 6 2 3" xfId="15009" xr:uid="{00000000-0005-0000-0000-00003F000000}"/>
    <cellStyle name="20% - Accent1 2 2 2 6 2 4" xfId="31878" xr:uid="{A3597E5D-2137-410E-89C7-32FB809F60FB}"/>
    <cellStyle name="20% - Accent1 2 2 2 6 3" xfId="19226" xr:uid="{00000000-0005-0000-0000-000040000000}"/>
    <cellStyle name="20% - Accent1 2 2 2 6 3 2" xfId="36095" xr:uid="{B1F729F1-2EA9-433F-9B7E-E41C736A4764}"/>
    <cellStyle name="20% - Accent1 2 2 2 6 4" xfId="10791" xr:uid="{00000000-0005-0000-0000-000041000000}"/>
    <cellStyle name="20% - Accent1 2 2 2 6 5" xfId="27661" xr:uid="{2E96709F-F884-4B50-ABC6-E66D8C923F19}"/>
    <cellStyle name="20% - Accent1 2 2 2 7" xfId="4508" xr:uid="{00000000-0005-0000-0000-000042000000}"/>
    <cellStyle name="20% - Accent1 2 2 2 7 2" xfId="21378" xr:uid="{00000000-0005-0000-0000-000043000000}"/>
    <cellStyle name="20% - Accent1 2 2 2 7 2 2" xfId="38246" xr:uid="{A298E9BB-F97E-40EA-9D88-BAB336E8CE63}"/>
    <cellStyle name="20% - Accent1 2 2 2 7 3" xfId="12943" xr:uid="{00000000-0005-0000-0000-000044000000}"/>
    <cellStyle name="20% - Accent1 2 2 2 7 4" xfId="29812" xr:uid="{9C2F8131-37A1-478F-9463-0E6505C999B9}"/>
    <cellStyle name="20% - Accent1 2 2 2 8" xfId="17160" xr:uid="{00000000-0005-0000-0000-000045000000}"/>
    <cellStyle name="20% - Accent1 2 2 2 8 2" xfId="34029" xr:uid="{333743E0-5016-4784-B0F5-39E3EB36F78A}"/>
    <cellStyle name="20% - Accent1 2 2 2 9" xfId="8725" xr:uid="{00000000-0005-0000-0000-000046000000}"/>
    <cellStyle name="20% - Accent1 2 2 3" xfId="572" xr:uid="{00000000-0005-0000-0000-000047000000}"/>
    <cellStyle name="20% - Accent1 2 2 3 2" xfId="2843" xr:uid="{00000000-0005-0000-0000-000048000000}"/>
    <cellStyle name="20% - Accent1 2 2 3 2 2" xfId="7066" xr:uid="{00000000-0005-0000-0000-000049000000}"/>
    <cellStyle name="20% - Accent1 2 2 3 2 2 2" xfId="23936" xr:uid="{00000000-0005-0000-0000-00004A000000}"/>
    <cellStyle name="20% - Accent1 2 2 3 2 2 2 2" xfId="40804" xr:uid="{1E392EDA-FF00-42D3-8787-BEC4DD79F031}"/>
    <cellStyle name="20% - Accent1 2 2 3 2 2 3" xfId="15501" xr:uid="{00000000-0005-0000-0000-00004B000000}"/>
    <cellStyle name="20% - Accent1 2 2 3 2 2 4" xfId="32370" xr:uid="{2200B5AE-123A-4C49-B602-EE10F5D6FF27}"/>
    <cellStyle name="20% - Accent1 2 2 3 2 3" xfId="19718" xr:uid="{00000000-0005-0000-0000-00004C000000}"/>
    <cellStyle name="20% - Accent1 2 2 3 2 3 2" xfId="36587" xr:uid="{B981E83F-8DDE-4AE2-910A-B83761141F27}"/>
    <cellStyle name="20% - Accent1 2 2 3 2 4" xfId="11283" xr:uid="{00000000-0005-0000-0000-00004D000000}"/>
    <cellStyle name="20% - Accent1 2 2 3 2 5" xfId="28153" xr:uid="{584EBD3F-D6AA-441A-94AC-545831D114F3}"/>
    <cellStyle name="20% - Accent1 2 2 3 3" xfId="4921" xr:uid="{00000000-0005-0000-0000-00004E000000}"/>
    <cellStyle name="20% - Accent1 2 2 3 3 2" xfId="21791" xr:uid="{00000000-0005-0000-0000-00004F000000}"/>
    <cellStyle name="20% - Accent1 2 2 3 3 2 2" xfId="38659" xr:uid="{6443DCDD-8793-4EBD-BDB4-912ABE67F415}"/>
    <cellStyle name="20% - Accent1 2 2 3 3 3" xfId="13356" xr:uid="{00000000-0005-0000-0000-000050000000}"/>
    <cellStyle name="20% - Accent1 2 2 3 3 4" xfId="30225" xr:uid="{6C7A5F1A-E1EE-46EE-A293-7CFE7015E742}"/>
    <cellStyle name="20% - Accent1 2 2 3 4" xfId="17573" xr:uid="{00000000-0005-0000-0000-000051000000}"/>
    <cellStyle name="20% - Accent1 2 2 3 4 2" xfId="34442" xr:uid="{2F335DB4-9721-4936-B517-98C2D0A49C28}"/>
    <cellStyle name="20% - Accent1 2 2 3 5" xfId="9138" xr:uid="{00000000-0005-0000-0000-000052000000}"/>
    <cellStyle name="20% - Accent1 2 2 3 6" xfId="26008" xr:uid="{6A63EC7E-1F8A-4C89-9FA9-F7727140FF51}"/>
    <cellStyle name="20% - Accent1 2 2 4" xfId="1025" xr:uid="{00000000-0005-0000-0000-000053000000}"/>
    <cellStyle name="20% - Accent1 2 2 4 2" xfId="3256" xr:uid="{00000000-0005-0000-0000-000054000000}"/>
    <cellStyle name="20% - Accent1 2 2 4 2 2" xfId="7479" xr:uid="{00000000-0005-0000-0000-000055000000}"/>
    <cellStyle name="20% - Accent1 2 2 4 2 2 2" xfId="24349" xr:uid="{00000000-0005-0000-0000-000056000000}"/>
    <cellStyle name="20% - Accent1 2 2 4 2 2 2 2" xfId="41217" xr:uid="{F4CEE29E-AB91-4A61-B328-29912752FA46}"/>
    <cellStyle name="20% - Accent1 2 2 4 2 2 3" xfId="15914" xr:uid="{00000000-0005-0000-0000-000057000000}"/>
    <cellStyle name="20% - Accent1 2 2 4 2 2 4" xfId="32783" xr:uid="{95CAF849-1300-4F58-882C-FC75751FA1D7}"/>
    <cellStyle name="20% - Accent1 2 2 4 2 3" xfId="20131" xr:uid="{00000000-0005-0000-0000-000058000000}"/>
    <cellStyle name="20% - Accent1 2 2 4 2 3 2" xfId="37000" xr:uid="{7DCBB3AE-BC8B-4F31-A4EE-E21A2C7722EB}"/>
    <cellStyle name="20% - Accent1 2 2 4 2 4" xfId="11696" xr:uid="{00000000-0005-0000-0000-000059000000}"/>
    <cellStyle name="20% - Accent1 2 2 4 2 5" xfId="28566" xr:uid="{DEBABB0C-7524-463F-92C1-5B5D933642E9}"/>
    <cellStyle name="20% - Accent1 2 2 4 3" xfId="5334" xr:uid="{00000000-0005-0000-0000-00005A000000}"/>
    <cellStyle name="20% - Accent1 2 2 4 3 2" xfId="22204" xr:uid="{00000000-0005-0000-0000-00005B000000}"/>
    <cellStyle name="20% - Accent1 2 2 4 3 2 2" xfId="39072" xr:uid="{25E588A9-3205-425E-BE65-FD5FF749619B}"/>
    <cellStyle name="20% - Accent1 2 2 4 3 3" xfId="13769" xr:uid="{00000000-0005-0000-0000-00005C000000}"/>
    <cellStyle name="20% - Accent1 2 2 4 3 4" xfId="30638" xr:uid="{856E1A61-331E-4329-8266-9DDF7CB57D0E}"/>
    <cellStyle name="20% - Accent1 2 2 4 4" xfId="17986" xr:uid="{00000000-0005-0000-0000-00005D000000}"/>
    <cellStyle name="20% - Accent1 2 2 4 4 2" xfId="34855" xr:uid="{20467A74-C742-4DE8-97E1-F5AABEA3154D}"/>
    <cellStyle name="20% - Accent1 2 2 4 5" xfId="9551" xr:uid="{00000000-0005-0000-0000-00005E000000}"/>
    <cellStyle name="20% - Accent1 2 2 4 6" xfId="26421" xr:uid="{C2A317D3-6D4E-4DE5-B463-B44F342312B3}"/>
    <cellStyle name="20% - Accent1 2 2 5" xfId="1439" xr:uid="{00000000-0005-0000-0000-00005F000000}"/>
    <cellStyle name="20% - Accent1 2 2 5 2" xfId="3669" xr:uid="{00000000-0005-0000-0000-000060000000}"/>
    <cellStyle name="20% - Accent1 2 2 5 2 2" xfId="7892" xr:uid="{00000000-0005-0000-0000-000061000000}"/>
    <cellStyle name="20% - Accent1 2 2 5 2 2 2" xfId="24762" xr:uid="{00000000-0005-0000-0000-000062000000}"/>
    <cellStyle name="20% - Accent1 2 2 5 2 2 2 2" xfId="41630" xr:uid="{7929FD99-C4B1-4712-80BA-E983E7A7E1A6}"/>
    <cellStyle name="20% - Accent1 2 2 5 2 2 3" xfId="16327" xr:uid="{00000000-0005-0000-0000-000063000000}"/>
    <cellStyle name="20% - Accent1 2 2 5 2 2 4" xfId="33196" xr:uid="{5A35701C-95BE-46EE-B5D3-38F77DC19911}"/>
    <cellStyle name="20% - Accent1 2 2 5 2 3" xfId="20544" xr:uid="{00000000-0005-0000-0000-000064000000}"/>
    <cellStyle name="20% - Accent1 2 2 5 2 3 2" xfId="37413" xr:uid="{DDAE5F4D-87E6-4CF5-9D27-951303C5EE89}"/>
    <cellStyle name="20% - Accent1 2 2 5 2 4" xfId="12109" xr:uid="{00000000-0005-0000-0000-000065000000}"/>
    <cellStyle name="20% - Accent1 2 2 5 2 5" xfId="28979" xr:uid="{EB748989-0B86-4788-B2F9-42A069A374D7}"/>
    <cellStyle name="20% - Accent1 2 2 5 3" xfId="5747" xr:uid="{00000000-0005-0000-0000-000066000000}"/>
    <cellStyle name="20% - Accent1 2 2 5 3 2" xfId="22617" xr:uid="{00000000-0005-0000-0000-000067000000}"/>
    <cellStyle name="20% - Accent1 2 2 5 3 2 2" xfId="39485" xr:uid="{CE9400D2-7691-4AB9-8494-27E02015752D}"/>
    <cellStyle name="20% - Accent1 2 2 5 3 3" xfId="14182" xr:uid="{00000000-0005-0000-0000-000068000000}"/>
    <cellStyle name="20% - Accent1 2 2 5 3 4" xfId="31051" xr:uid="{7EF75463-CFD3-4088-82CA-6777B60EDD84}"/>
    <cellStyle name="20% - Accent1 2 2 5 4" xfId="18399" xr:uid="{00000000-0005-0000-0000-000069000000}"/>
    <cellStyle name="20% - Accent1 2 2 5 4 2" xfId="35268" xr:uid="{4B3D7F88-E6A0-4AEC-BAAF-332FF0A2F250}"/>
    <cellStyle name="20% - Accent1 2 2 5 5" xfId="9964" xr:uid="{00000000-0005-0000-0000-00006A000000}"/>
    <cellStyle name="20% - Accent1 2 2 5 6" xfId="26834" xr:uid="{3C7147BF-DD0F-4156-B910-66DC16EEF4F8}"/>
    <cellStyle name="20% - Accent1 2 2 6" xfId="1853" xr:uid="{00000000-0005-0000-0000-00006B000000}"/>
    <cellStyle name="20% - Accent1 2 2 6 2" xfId="4082" xr:uid="{00000000-0005-0000-0000-00006C000000}"/>
    <cellStyle name="20% - Accent1 2 2 6 2 2" xfId="8305" xr:uid="{00000000-0005-0000-0000-00006D000000}"/>
    <cellStyle name="20% - Accent1 2 2 6 2 2 2" xfId="25175" xr:uid="{00000000-0005-0000-0000-00006E000000}"/>
    <cellStyle name="20% - Accent1 2 2 6 2 2 2 2" xfId="42043" xr:uid="{8D986A3D-D629-4DA3-A22D-061B2552E6E7}"/>
    <cellStyle name="20% - Accent1 2 2 6 2 2 3" xfId="16740" xr:uid="{00000000-0005-0000-0000-00006F000000}"/>
    <cellStyle name="20% - Accent1 2 2 6 2 2 4" xfId="33609" xr:uid="{F7DDB543-15FF-40E8-8D7A-B2FFE62A5BBB}"/>
    <cellStyle name="20% - Accent1 2 2 6 2 3" xfId="20957" xr:uid="{00000000-0005-0000-0000-000070000000}"/>
    <cellStyle name="20% - Accent1 2 2 6 2 3 2" xfId="37826" xr:uid="{70802035-F154-4523-A7C1-76EDA11FBD51}"/>
    <cellStyle name="20% - Accent1 2 2 6 2 4" xfId="12522" xr:uid="{00000000-0005-0000-0000-000071000000}"/>
    <cellStyle name="20% - Accent1 2 2 6 2 5" xfId="29392" xr:uid="{C0CA573D-9CDC-410A-A1D2-0D05FD2AE55C}"/>
    <cellStyle name="20% - Accent1 2 2 6 3" xfId="6160" xr:uid="{00000000-0005-0000-0000-000072000000}"/>
    <cellStyle name="20% - Accent1 2 2 6 3 2" xfId="23030" xr:uid="{00000000-0005-0000-0000-000073000000}"/>
    <cellStyle name="20% - Accent1 2 2 6 3 2 2" xfId="39898" xr:uid="{7B3A866C-ECD2-481E-A729-3F3E385AEF0A}"/>
    <cellStyle name="20% - Accent1 2 2 6 3 3" xfId="14595" xr:uid="{00000000-0005-0000-0000-000074000000}"/>
    <cellStyle name="20% - Accent1 2 2 6 3 4" xfId="31464" xr:uid="{365BA20C-8F7A-4DAF-9B5C-08FF1F7C1E79}"/>
    <cellStyle name="20% - Accent1 2 2 6 4" xfId="18812" xr:uid="{00000000-0005-0000-0000-000075000000}"/>
    <cellStyle name="20% - Accent1 2 2 6 4 2" xfId="35681" xr:uid="{0E555C4D-D341-43C7-9C4C-B8CA421B0092}"/>
    <cellStyle name="20% - Accent1 2 2 6 5" xfId="10377" xr:uid="{00000000-0005-0000-0000-000076000000}"/>
    <cellStyle name="20% - Accent1 2 2 6 6" xfId="27247" xr:uid="{9C501C34-53A6-4837-B099-89343CF0DC42}"/>
    <cellStyle name="20% - Accent1 2 2 7" xfId="2266" xr:uid="{00000000-0005-0000-0000-000077000000}"/>
    <cellStyle name="20% - Accent1 2 2 7 2" xfId="6573" xr:uid="{00000000-0005-0000-0000-000078000000}"/>
    <cellStyle name="20% - Accent1 2 2 7 2 2" xfId="23443" xr:uid="{00000000-0005-0000-0000-000079000000}"/>
    <cellStyle name="20% - Accent1 2 2 7 2 2 2" xfId="40311" xr:uid="{6E7DE8AD-D8C5-427A-AF20-86E7D590CFFF}"/>
    <cellStyle name="20% - Accent1 2 2 7 2 3" xfId="15008" xr:uid="{00000000-0005-0000-0000-00007A000000}"/>
    <cellStyle name="20% - Accent1 2 2 7 2 4" xfId="31877" xr:uid="{7F0ED5BA-3420-41FD-A803-3CB390181A37}"/>
    <cellStyle name="20% - Accent1 2 2 7 3" xfId="19225" xr:uid="{00000000-0005-0000-0000-00007B000000}"/>
    <cellStyle name="20% - Accent1 2 2 7 3 2" xfId="36094" xr:uid="{D2489B4A-21F4-41E7-B098-21B437197000}"/>
    <cellStyle name="20% - Accent1 2 2 7 4" xfId="10790" xr:uid="{00000000-0005-0000-0000-00007C000000}"/>
    <cellStyle name="20% - Accent1 2 2 7 5" xfId="27660" xr:uid="{611E78BA-26B4-4DAA-8A0A-74942CA1BF26}"/>
    <cellStyle name="20% - Accent1 2 2 8" xfId="4507" xr:uid="{00000000-0005-0000-0000-00007D000000}"/>
    <cellStyle name="20% - Accent1 2 2 8 2" xfId="21377" xr:uid="{00000000-0005-0000-0000-00007E000000}"/>
    <cellStyle name="20% - Accent1 2 2 8 2 2" xfId="38245" xr:uid="{DA07C229-14D0-4034-9D1F-97945A34381A}"/>
    <cellStyle name="20% - Accent1 2 2 8 3" xfId="12942" xr:uid="{00000000-0005-0000-0000-00007F000000}"/>
    <cellStyle name="20% - Accent1 2 2 8 4" xfId="29811" xr:uid="{FD50900E-C2F4-4747-A5A2-06C23E64D28C}"/>
    <cellStyle name="20% - Accent1 2 2 9" xfId="17159" xr:uid="{00000000-0005-0000-0000-000080000000}"/>
    <cellStyle name="20% - Accent1 2 2 9 2" xfId="34028" xr:uid="{55DD734C-D099-4B3F-B9A0-41173807E32D}"/>
    <cellStyle name="20% - Accent1 2 3" xfId="5" xr:uid="{00000000-0005-0000-0000-000081000000}"/>
    <cellStyle name="20% - Accent1 2 3 10" xfId="25596" xr:uid="{4E095415-BDC0-4BCB-8A19-B8E8FF9496E8}"/>
    <cellStyle name="20% - Accent1 2 3 2" xfId="574" xr:uid="{00000000-0005-0000-0000-000082000000}"/>
    <cellStyle name="20% - Accent1 2 3 2 2" xfId="2845" xr:uid="{00000000-0005-0000-0000-000083000000}"/>
    <cellStyle name="20% - Accent1 2 3 2 2 2" xfId="7068" xr:uid="{00000000-0005-0000-0000-000084000000}"/>
    <cellStyle name="20% - Accent1 2 3 2 2 2 2" xfId="23938" xr:uid="{00000000-0005-0000-0000-000085000000}"/>
    <cellStyle name="20% - Accent1 2 3 2 2 2 2 2" xfId="40806" xr:uid="{88D245CD-3EF8-4B7D-8528-68A2281500C8}"/>
    <cellStyle name="20% - Accent1 2 3 2 2 2 3" xfId="15503" xr:uid="{00000000-0005-0000-0000-000086000000}"/>
    <cellStyle name="20% - Accent1 2 3 2 2 2 4" xfId="32372" xr:uid="{1AF244CD-9B3A-4C5C-9A48-89ADB254959A}"/>
    <cellStyle name="20% - Accent1 2 3 2 2 3" xfId="19720" xr:uid="{00000000-0005-0000-0000-000087000000}"/>
    <cellStyle name="20% - Accent1 2 3 2 2 3 2" xfId="36589" xr:uid="{A0247719-CF23-4F11-A5EA-312FC53B767D}"/>
    <cellStyle name="20% - Accent1 2 3 2 2 4" xfId="11285" xr:uid="{00000000-0005-0000-0000-000088000000}"/>
    <cellStyle name="20% - Accent1 2 3 2 2 5" xfId="28155" xr:uid="{CE747589-1D34-4016-987E-3F4CB2C5D2A9}"/>
    <cellStyle name="20% - Accent1 2 3 2 3" xfId="4923" xr:uid="{00000000-0005-0000-0000-000089000000}"/>
    <cellStyle name="20% - Accent1 2 3 2 3 2" xfId="21793" xr:uid="{00000000-0005-0000-0000-00008A000000}"/>
    <cellStyle name="20% - Accent1 2 3 2 3 2 2" xfId="38661" xr:uid="{26BE5389-B37B-4574-B1D0-8F50CD9A7A12}"/>
    <cellStyle name="20% - Accent1 2 3 2 3 3" xfId="13358" xr:uid="{00000000-0005-0000-0000-00008B000000}"/>
    <cellStyle name="20% - Accent1 2 3 2 3 4" xfId="30227" xr:uid="{3F7AD663-8160-4C23-B2E2-7BE96D29D901}"/>
    <cellStyle name="20% - Accent1 2 3 2 4" xfId="17575" xr:uid="{00000000-0005-0000-0000-00008C000000}"/>
    <cellStyle name="20% - Accent1 2 3 2 4 2" xfId="34444" xr:uid="{2A3C5F77-B4FE-4F9B-861B-3AF3E7984475}"/>
    <cellStyle name="20% - Accent1 2 3 2 5" xfId="9140" xr:uid="{00000000-0005-0000-0000-00008D000000}"/>
    <cellStyle name="20% - Accent1 2 3 2 6" xfId="26010" xr:uid="{CAF7F748-675A-49AD-96AD-EDBB95B8A62C}"/>
    <cellStyle name="20% - Accent1 2 3 3" xfId="1027" xr:uid="{00000000-0005-0000-0000-00008E000000}"/>
    <cellStyle name="20% - Accent1 2 3 3 2" xfId="3258" xr:uid="{00000000-0005-0000-0000-00008F000000}"/>
    <cellStyle name="20% - Accent1 2 3 3 2 2" xfId="7481" xr:uid="{00000000-0005-0000-0000-000090000000}"/>
    <cellStyle name="20% - Accent1 2 3 3 2 2 2" xfId="24351" xr:uid="{00000000-0005-0000-0000-000091000000}"/>
    <cellStyle name="20% - Accent1 2 3 3 2 2 2 2" xfId="41219" xr:uid="{BFCEAB01-85CB-41AE-B66E-E7FF550A8C08}"/>
    <cellStyle name="20% - Accent1 2 3 3 2 2 3" xfId="15916" xr:uid="{00000000-0005-0000-0000-000092000000}"/>
    <cellStyle name="20% - Accent1 2 3 3 2 2 4" xfId="32785" xr:uid="{F3FA60D8-2CFE-4A1F-911C-CE5869C28ADD}"/>
    <cellStyle name="20% - Accent1 2 3 3 2 3" xfId="20133" xr:uid="{00000000-0005-0000-0000-000093000000}"/>
    <cellStyle name="20% - Accent1 2 3 3 2 3 2" xfId="37002" xr:uid="{A83806C3-9482-40FD-8742-00D3CADA9C98}"/>
    <cellStyle name="20% - Accent1 2 3 3 2 4" xfId="11698" xr:uid="{00000000-0005-0000-0000-000094000000}"/>
    <cellStyle name="20% - Accent1 2 3 3 2 5" xfId="28568" xr:uid="{0ECEC4E8-9C5E-422B-BFCA-E1F47715EEB2}"/>
    <cellStyle name="20% - Accent1 2 3 3 3" xfId="5336" xr:uid="{00000000-0005-0000-0000-000095000000}"/>
    <cellStyle name="20% - Accent1 2 3 3 3 2" xfId="22206" xr:uid="{00000000-0005-0000-0000-000096000000}"/>
    <cellStyle name="20% - Accent1 2 3 3 3 2 2" xfId="39074" xr:uid="{5B1B110E-468C-4391-BEED-896537411F8A}"/>
    <cellStyle name="20% - Accent1 2 3 3 3 3" xfId="13771" xr:uid="{00000000-0005-0000-0000-000097000000}"/>
    <cellStyle name="20% - Accent1 2 3 3 3 4" xfId="30640" xr:uid="{F9AE5393-D2E6-4962-9DF7-7B1DF4F2FF52}"/>
    <cellStyle name="20% - Accent1 2 3 3 4" xfId="17988" xr:uid="{00000000-0005-0000-0000-000098000000}"/>
    <cellStyle name="20% - Accent1 2 3 3 4 2" xfId="34857" xr:uid="{174894EA-0199-46F4-B4CA-3349C4CE67BB}"/>
    <cellStyle name="20% - Accent1 2 3 3 5" xfId="9553" xr:uid="{00000000-0005-0000-0000-000099000000}"/>
    <cellStyle name="20% - Accent1 2 3 3 6" xfId="26423" xr:uid="{594666CB-7FA0-40A7-BDC3-C71A2EEFBB47}"/>
    <cellStyle name="20% - Accent1 2 3 4" xfId="1441" xr:uid="{00000000-0005-0000-0000-00009A000000}"/>
    <cellStyle name="20% - Accent1 2 3 4 2" xfId="3671" xr:uid="{00000000-0005-0000-0000-00009B000000}"/>
    <cellStyle name="20% - Accent1 2 3 4 2 2" xfId="7894" xr:uid="{00000000-0005-0000-0000-00009C000000}"/>
    <cellStyle name="20% - Accent1 2 3 4 2 2 2" xfId="24764" xr:uid="{00000000-0005-0000-0000-00009D000000}"/>
    <cellStyle name="20% - Accent1 2 3 4 2 2 2 2" xfId="41632" xr:uid="{87F3B783-D20E-4FF1-9D83-FCB4525B2230}"/>
    <cellStyle name="20% - Accent1 2 3 4 2 2 3" xfId="16329" xr:uid="{00000000-0005-0000-0000-00009E000000}"/>
    <cellStyle name="20% - Accent1 2 3 4 2 2 4" xfId="33198" xr:uid="{F775BE7A-F295-4DA6-A6D5-9EA49B21CA9D}"/>
    <cellStyle name="20% - Accent1 2 3 4 2 3" xfId="20546" xr:uid="{00000000-0005-0000-0000-00009F000000}"/>
    <cellStyle name="20% - Accent1 2 3 4 2 3 2" xfId="37415" xr:uid="{C2A72693-D563-4397-9EEF-8D74104C9A9A}"/>
    <cellStyle name="20% - Accent1 2 3 4 2 4" xfId="12111" xr:uid="{00000000-0005-0000-0000-0000A0000000}"/>
    <cellStyle name="20% - Accent1 2 3 4 2 5" xfId="28981" xr:uid="{6DC5EA1A-23AE-4621-AEA3-9CA5D0C4C749}"/>
    <cellStyle name="20% - Accent1 2 3 4 3" xfId="5749" xr:uid="{00000000-0005-0000-0000-0000A1000000}"/>
    <cellStyle name="20% - Accent1 2 3 4 3 2" xfId="22619" xr:uid="{00000000-0005-0000-0000-0000A2000000}"/>
    <cellStyle name="20% - Accent1 2 3 4 3 2 2" xfId="39487" xr:uid="{54CAB814-0EC5-4FB2-9373-3AB2977B682E}"/>
    <cellStyle name="20% - Accent1 2 3 4 3 3" xfId="14184" xr:uid="{00000000-0005-0000-0000-0000A3000000}"/>
    <cellStyle name="20% - Accent1 2 3 4 3 4" xfId="31053" xr:uid="{A83FA4E1-EDD5-45DB-9E70-37F6AD9718F3}"/>
    <cellStyle name="20% - Accent1 2 3 4 4" xfId="18401" xr:uid="{00000000-0005-0000-0000-0000A4000000}"/>
    <cellStyle name="20% - Accent1 2 3 4 4 2" xfId="35270" xr:uid="{AFB0970A-E765-4B6C-B5CC-BCE839626A2F}"/>
    <cellStyle name="20% - Accent1 2 3 4 5" xfId="9966" xr:uid="{00000000-0005-0000-0000-0000A5000000}"/>
    <cellStyle name="20% - Accent1 2 3 4 6" xfId="26836" xr:uid="{077A626E-D16A-4DA1-9185-3AB71C39AB20}"/>
    <cellStyle name="20% - Accent1 2 3 5" xfId="1855" xr:uid="{00000000-0005-0000-0000-0000A6000000}"/>
    <cellStyle name="20% - Accent1 2 3 5 2" xfId="4084" xr:uid="{00000000-0005-0000-0000-0000A7000000}"/>
    <cellStyle name="20% - Accent1 2 3 5 2 2" xfId="8307" xr:uid="{00000000-0005-0000-0000-0000A8000000}"/>
    <cellStyle name="20% - Accent1 2 3 5 2 2 2" xfId="25177" xr:uid="{00000000-0005-0000-0000-0000A9000000}"/>
    <cellStyle name="20% - Accent1 2 3 5 2 2 2 2" xfId="42045" xr:uid="{8BDE01A7-901A-4CFE-9D33-7775278DC038}"/>
    <cellStyle name="20% - Accent1 2 3 5 2 2 3" xfId="16742" xr:uid="{00000000-0005-0000-0000-0000AA000000}"/>
    <cellStyle name="20% - Accent1 2 3 5 2 2 4" xfId="33611" xr:uid="{C6F2C6B8-3B74-4161-969D-BF1B840EE9AA}"/>
    <cellStyle name="20% - Accent1 2 3 5 2 3" xfId="20959" xr:uid="{00000000-0005-0000-0000-0000AB000000}"/>
    <cellStyle name="20% - Accent1 2 3 5 2 3 2" xfId="37828" xr:uid="{C8CDF926-AEC6-40E9-A158-6E2C901A437F}"/>
    <cellStyle name="20% - Accent1 2 3 5 2 4" xfId="12524" xr:uid="{00000000-0005-0000-0000-0000AC000000}"/>
    <cellStyle name="20% - Accent1 2 3 5 2 5" xfId="29394" xr:uid="{742F2945-448E-4653-87AC-0CF4ACF6794F}"/>
    <cellStyle name="20% - Accent1 2 3 5 3" xfId="6162" xr:uid="{00000000-0005-0000-0000-0000AD000000}"/>
    <cellStyle name="20% - Accent1 2 3 5 3 2" xfId="23032" xr:uid="{00000000-0005-0000-0000-0000AE000000}"/>
    <cellStyle name="20% - Accent1 2 3 5 3 2 2" xfId="39900" xr:uid="{72C9FE93-E8F7-4908-839E-AB337AF00755}"/>
    <cellStyle name="20% - Accent1 2 3 5 3 3" xfId="14597" xr:uid="{00000000-0005-0000-0000-0000AF000000}"/>
    <cellStyle name="20% - Accent1 2 3 5 3 4" xfId="31466" xr:uid="{612B2340-3957-4AFA-81C0-B4E767C73A79}"/>
    <cellStyle name="20% - Accent1 2 3 5 4" xfId="18814" xr:uid="{00000000-0005-0000-0000-0000B0000000}"/>
    <cellStyle name="20% - Accent1 2 3 5 4 2" xfId="35683" xr:uid="{479E760D-091A-4963-AF8E-5246EF4E95A1}"/>
    <cellStyle name="20% - Accent1 2 3 5 5" xfId="10379" xr:uid="{00000000-0005-0000-0000-0000B1000000}"/>
    <cellStyle name="20% - Accent1 2 3 5 6" xfId="27249" xr:uid="{BAB71E88-6525-4755-A104-8ABDD857D3D7}"/>
    <cellStyle name="20% - Accent1 2 3 6" xfId="2268" xr:uid="{00000000-0005-0000-0000-0000B2000000}"/>
    <cellStyle name="20% - Accent1 2 3 6 2" xfId="6575" xr:uid="{00000000-0005-0000-0000-0000B3000000}"/>
    <cellStyle name="20% - Accent1 2 3 6 2 2" xfId="23445" xr:uid="{00000000-0005-0000-0000-0000B4000000}"/>
    <cellStyle name="20% - Accent1 2 3 6 2 2 2" xfId="40313" xr:uid="{87B63817-17AC-451B-9830-3637B329FAB0}"/>
    <cellStyle name="20% - Accent1 2 3 6 2 3" xfId="15010" xr:uid="{00000000-0005-0000-0000-0000B5000000}"/>
    <cellStyle name="20% - Accent1 2 3 6 2 4" xfId="31879" xr:uid="{9A0BE601-2697-40C2-81E5-810C1DE86E22}"/>
    <cellStyle name="20% - Accent1 2 3 6 3" xfId="19227" xr:uid="{00000000-0005-0000-0000-0000B6000000}"/>
    <cellStyle name="20% - Accent1 2 3 6 3 2" xfId="36096" xr:uid="{9166E650-460F-41F5-98DF-A4393A0392FF}"/>
    <cellStyle name="20% - Accent1 2 3 6 4" xfId="10792" xr:uid="{00000000-0005-0000-0000-0000B7000000}"/>
    <cellStyle name="20% - Accent1 2 3 6 5" xfId="27662" xr:uid="{43A185EC-61CA-4A77-B5D8-5E5C0316E98C}"/>
    <cellStyle name="20% - Accent1 2 3 7" xfId="4509" xr:uid="{00000000-0005-0000-0000-0000B8000000}"/>
    <cellStyle name="20% - Accent1 2 3 7 2" xfId="21379" xr:uid="{00000000-0005-0000-0000-0000B9000000}"/>
    <cellStyle name="20% - Accent1 2 3 7 2 2" xfId="38247" xr:uid="{58866D66-0F24-4145-9400-E7F75D97E262}"/>
    <cellStyle name="20% - Accent1 2 3 7 3" xfId="12944" xr:uid="{00000000-0005-0000-0000-0000BA000000}"/>
    <cellStyle name="20% - Accent1 2 3 7 4" xfId="29813" xr:uid="{ABA81852-9275-428E-B9AD-D0A10DFEB166}"/>
    <cellStyle name="20% - Accent1 2 3 8" xfId="17161" xr:uid="{00000000-0005-0000-0000-0000BB000000}"/>
    <cellStyle name="20% - Accent1 2 3 8 2" xfId="34030" xr:uid="{8C94DCE6-3C05-4683-913B-FFD76693A1B5}"/>
    <cellStyle name="20% - Accent1 2 3 9" xfId="8726" xr:uid="{00000000-0005-0000-0000-0000BC000000}"/>
    <cellStyle name="20% - Accent1 2 4" xfId="571" xr:uid="{00000000-0005-0000-0000-0000BD000000}"/>
    <cellStyle name="20% - Accent1 2 4 2" xfId="2842" xr:uid="{00000000-0005-0000-0000-0000BE000000}"/>
    <cellStyle name="20% - Accent1 2 4 2 2" xfId="7065" xr:uid="{00000000-0005-0000-0000-0000BF000000}"/>
    <cellStyle name="20% - Accent1 2 4 2 2 2" xfId="23935" xr:uid="{00000000-0005-0000-0000-0000C0000000}"/>
    <cellStyle name="20% - Accent1 2 4 2 2 2 2" xfId="40803" xr:uid="{B91CDF0B-B1DA-4293-9AF3-8161950BD7C5}"/>
    <cellStyle name="20% - Accent1 2 4 2 2 3" xfId="15500" xr:uid="{00000000-0005-0000-0000-0000C1000000}"/>
    <cellStyle name="20% - Accent1 2 4 2 2 4" xfId="32369" xr:uid="{CACCCEF9-B35B-4F76-B3AC-1787AF3E7479}"/>
    <cellStyle name="20% - Accent1 2 4 2 3" xfId="19717" xr:uid="{00000000-0005-0000-0000-0000C2000000}"/>
    <cellStyle name="20% - Accent1 2 4 2 3 2" xfId="36586" xr:uid="{14685101-CE5F-485B-97A7-6109422BA793}"/>
    <cellStyle name="20% - Accent1 2 4 2 4" xfId="11282" xr:uid="{00000000-0005-0000-0000-0000C3000000}"/>
    <cellStyle name="20% - Accent1 2 4 2 5" xfId="28152" xr:uid="{C7FCB80F-AD20-44FB-931F-5A64AD7BF732}"/>
    <cellStyle name="20% - Accent1 2 4 3" xfId="4920" xr:uid="{00000000-0005-0000-0000-0000C4000000}"/>
    <cellStyle name="20% - Accent1 2 4 3 2" xfId="21790" xr:uid="{00000000-0005-0000-0000-0000C5000000}"/>
    <cellStyle name="20% - Accent1 2 4 3 2 2" xfId="38658" xr:uid="{2B982460-FB72-41DE-A646-C28FEBA5A432}"/>
    <cellStyle name="20% - Accent1 2 4 3 3" xfId="13355" xr:uid="{00000000-0005-0000-0000-0000C6000000}"/>
    <cellStyle name="20% - Accent1 2 4 3 4" xfId="30224" xr:uid="{111DE1BC-BF9B-49F3-928F-7FD214723E6D}"/>
    <cellStyle name="20% - Accent1 2 4 4" xfId="17572" xr:uid="{00000000-0005-0000-0000-0000C7000000}"/>
    <cellStyle name="20% - Accent1 2 4 4 2" xfId="34441" xr:uid="{AF018917-8741-4828-9CD4-13CF0D64B5A5}"/>
    <cellStyle name="20% - Accent1 2 4 5" xfId="9137" xr:uid="{00000000-0005-0000-0000-0000C8000000}"/>
    <cellStyle name="20% - Accent1 2 4 6" xfId="26007" xr:uid="{C707D8C8-21F0-4AFD-BB0D-EC1DB5BB1B80}"/>
    <cellStyle name="20% - Accent1 2 5" xfId="1024" xr:uid="{00000000-0005-0000-0000-0000C9000000}"/>
    <cellStyle name="20% - Accent1 2 5 2" xfId="3255" xr:uid="{00000000-0005-0000-0000-0000CA000000}"/>
    <cellStyle name="20% - Accent1 2 5 2 2" xfId="7478" xr:uid="{00000000-0005-0000-0000-0000CB000000}"/>
    <cellStyle name="20% - Accent1 2 5 2 2 2" xfId="24348" xr:uid="{00000000-0005-0000-0000-0000CC000000}"/>
    <cellStyle name="20% - Accent1 2 5 2 2 2 2" xfId="41216" xr:uid="{15D23659-2AAF-446F-9F05-42823B97175F}"/>
    <cellStyle name="20% - Accent1 2 5 2 2 3" xfId="15913" xr:uid="{00000000-0005-0000-0000-0000CD000000}"/>
    <cellStyle name="20% - Accent1 2 5 2 2 4" xfId="32782" xr:uid="{4A45F0D5-61EC-4FF7-9AF4-905C975ECFCA}"/>
    <cellStyle name="20% - Accent1 2 5 2 3" xfId="20130" xr:uid="{00000000-0005-0000-0000-0000CE000000}"/>
    <cellStyle name="20% - Accent1 2 5 2 3 2" xfId="36999" xr:uid="{72A751A5-158D-463E-A8A3-CF76684AEDB2}"/>
    <cellStyle name="20% - Accent1 2 5 2 4" xfId="11695" xr:uid="{00000000-0005-0000-0000-0000CF000000}"/>
    <cellStyle name="20% - Accent1 2 5 2 5" xfId="28565" xr:uid="{260D7909-15E9-4E42-BC13-51B8A433B829}"/>
    <cellStyle name="20% - Accent1 2 5 3" xfId="5333" xr:uid="{00000000-0005-0000-0000-0000D0000000}"/>
    <cellStyle name="20% - Accent1 2 5 3 2" xfId="22203" xr:uid="{00000000-0005-0000-0000-0000D1000000}"/>
    <cellStyle name="20% - Accent1 2 5 3 2 2" xfId="39071" xr:uid="{3499DEC6-9DEB-45E7-82B5-2553629440C0}"/>
    <cellStyle name="20% - Accent1 2 5 3 3" xfId="13768" xr:uid="{00000000-0005-0000-0000-0000D2000000}"/>
    <cellStyle name="20% - Accent1 2 5 3 4" xfId="30637" xr:uid="{05954558-D8C3-4B50-A534-A98E1A224736}"/>
    <cellStyle name="20% - Accent1 2 5 4" xfId="17985" xr:uid="{00000000-0005-0000-0000-0000D3000000}"/>
    <cellStyle name="20% - Accent1 2 5 4 2" xfId="34854" xr:uid="{2E35AA8B-FE4D-44D0-A387-E496B5F06877}"/>
    <cellStyle name="20% - Accent1 2 5 5" xfId="9550" xr:uid="{00000000-0005-0000-0000-0000D4000000}"/>
    <cellStyle name="20% - Accent1 2 5 6" xfId="26420" xr:uid="{01FD4D01-FB81-4548-99D2-AD974AC6466F}"/>
    <cellStyle name="20% - Accent1 2 6" xfId="1438" xr:uid="{00000000-0005-0000-0000-0000D5000000}"/>
    <cellStyle name="20% - Accent1 2 6 2" xfId="3668" xr:uid="{00000000-0005-0000-0000-0000D6000000}"/>
    <cellStyle name="20% - Accent1 2 6 2 2" xfId="7891" xr:uid="{00000000-0005-0000-0000-0000D7000000}"/>
    <cellStyle name="20% - Accent1 2 6 2 2 2" xfId="24761" xr:uid="{00000000-0005-0000-0000-0000D8000000}"/>
    <cellStyle name="20% - Accent1 2 6 2 2 2 2" xfId="41629" xr:uid="{C7EDED61-849F-45B1-B18F-5A129E9954C4}"/>
    <cellStyle name="20% - Accent1 2 6 2 2 3" xfId="16326" xr:uid="{00000000-0005-0000-0000-0000D9000000}"/>
    <cellStyle name="20% - Accent1 2 6 2 2 4" xfId="33195" xr:uid="{81FAE0A3-6D52-4324-BF3D-83AC0AF58F12}"/>
    <cellStyle name="20% - Accent1 2 6 2 3" xfId="20543" xr:uid="{00000000-0005-0000-0000-0000DA000000}"/>
    <cellStyle name="20% - Accent1 2 6 2 3 2" xfId="37412" xr:uid="{9B99811E-3B79-4ED7-8220-B6C958FE1215}"/>
    <cellStyle name="20% - Accent1 2 6 2 4" xfId="12108" xr:uid="{00000000-0005-0000-0000-0000DB000000}"/>
    <cellStyle name="20% - Accent1 2 6 2 5" xfId="28978" xr:uid="{EB4DCC56-14A7-4F56-BB99-05158E792866}"/>
    <cellStyle name="20% - Accent1 2 6 3" xfId="5746" xr:uid="{00000000-0005-0000-0000-0000DC000000}"/>
    <cellStyle name="20% - Accent1 2 6 3 2" xfId="22616" xr:uid="{00000000-0005-0000-0000-0000DD000000}"/>
    <cellStyle name="20% - Accent1 2 6 3 2 2" xfId="39484" xr:uid="{7DE07522-B1D1-492E-9026-F0B700959C77}"/>
    <cellStyle name="20% - Accent1 2 6 3 3" xfId="14181" xr:uid="{00000000-0005-0000-0000-0000DE000000}"/>
    <cellStyle name="20% - Accent1 2 6 3 4" xfId="31050" xr:uid="{760B3861-416C-49AC-A33B-0D1D78ADBBD7}"/>
    <cellStyle name="20% - Accent1 2 6 4" xfId="18398" xr:uid="{00000000-0005-0000-0000-0000DF000000}"/>
    <cellStyle name="20% - Accent1 2 6 4 2" xfId="35267" xr:uid="{7D6E8399-CA89-4B6D-A6EB-FFE05A1688B8}"/>
    <cellStyle name="20% - Accent1 2 6 5" xfId="9963" xr:uid="{00000000-0005-0000-0000-0000E0000000}"/>
    <cellStyle name="20% - Accent1 2 6 6" xfId="26833" xr:uid="{EEF9F519-BFA5-473A-A23D-614129DAA329}"/>
    <cellStyle name="20% - Accent1 2 7" xfId="1852" xr:uid="{00000000-0005-0000-0000-0000E1000000}"/>
    <cellStyle name="20% - Accent1 2 7 2" xfId="4081" xr:uid="{00000000-0005-0000-0000-0000E2000000}"/>
    <cellStyle name="20% - Accent1 2 7 2 2" xfId="8304" xr:uid="{00000000-0005-0000-0000-0000E3000000}"/>
    <cellStyle name="20% - Accent1 2 7 2 2 2" xfId="25174" xr:uid="{00000000-0005-0000-0000-0000E4000000}"/>
    <cellStyle name="20% - Accent1 2 7 2 2 2 2" xfId="42042" xr:uid="{47FC4DC5-2C07-4A9D-8D66-CDBE7FB08F9D}"/>
    <cellStyle name="20% - Accent1 2 7 2 2 3" xfId="16739" xr:uid="{00000000-0005-0000-0000-0000E5000000}"/>
    <cellStyle name="20% - Accent1 2 7 2 2 4" xfId="33608" xr:uid="{55E08C3A-6FE9-44F0-8E0D-A670045EAD8E}"/>
    <cellStyle name="20% - Accent1 2 7 2 3" xfId="20956" xr:uid="{00000000-0005-0000-0000-0000E6000000}"/>
    <cellStyle name="20% - Accent1 2 7 2 3 2" xfId="37825" xr:uid="{141A6139-15A5-4121-B2A4-029AE613DF38}"/>
    <cellStyle name="20% - Accent1 2 7 2 4" xfId="12521" xr:uid="{00000000-0005-0000-0000-0000E7000000}"/>
    <cellStyle name="20% - Accent1 2 7 2 5" xfId="29391" xr:uid="{C0BFACE3-78C9-4789-BA9A-FEB3566CDACF}"/>
    <cellStyle name="20% - Accent1 2 7 3" xfId="6159" xr:uid="{00000000-0005-0000-0000-0000E8000000}"/>
    <cellStyle name="20% - Accent1 2 7 3 2" xfId="23029" xr:uid="{00000000-0005-0000-0000-0000E9000000}"/>
    <cellStyle name="20% - Accent1 2 7 3 2 2" xfId="39897" xr:uid="{F1CB494D-A388-40B1-B11E-7C340A0FF56C}"/>
    <cellStyle name="20% - Accent1 2 7 3 3" xfId="14594" xr:uid="{00000000-0005-0000-0000-0000EA000000}"/>
    <cellStyle name="20% - Accent1 2 7 3 4" xfId="31463" xr:uid="{6F0A2864-14DC-464E-ACD2-A9B7DCD7D587}"/>
    <cellStyle name="20% - Accent1 2 7 4" xfId="18811" xr:uid="{00000000-0005-0000-0000-0000EB000000}"/>
    <cellStyle name="20% - Accent1 2 7 4 2" xfId="35680" xr:uid="{65D01F21-2084-4D62-B6A8-5623572F448D}"/>
    <cellStyle name="20% - Accent1 2 7 5" xfId="10376" xr:uid="{00000000-0005-0000-0000-0000EC000000}"/>
    <cellStyle name="20% - Accent1 2 7 6" xfId="27246" xr:uid="{AF7C77AD-58FA-4A10-A8D4-EC859CCE0C7F}"/>
    <cellStyle name="20% - Accent1 2 8" xfId="2265" xr:uid="{00000000-0005-0000-0000-0000ED000000}"/>
    <cellStyle name="20% - Accent1 2 8 2" xfId="6572" xr:uid="{00000000-0005-0000-0000-0000EE000000}"/>
    <cellStyle name="20% - Accent1 2 8 2 2" xfId="23442" xr:uid="{00000000-0005-0000-0000-0000EF000000}"/>
    <cellStyle name="20% - Accent1 2 8 2 2 2" xfId="40310" xr:uid="{DA7B4EC0-72FA-43B4-8A0E-42C63FB6BC97}"/>
    <cellStyle name="20% - Accent1 2 8 2 3" xfId="15007" xr:uid="{00000000-0005-0000-0000-0000F0000000}"/>
    <cellStyle name="20% - Accent1 2 8 2 4" xfId="31876" xr:uid="{C77E3335-11BB-4E42-A0A3-4F75E105EB39}"/>
    <cellStyle name="20% - Accent1 2 8 3" xfId="19224" xr:uid="{00000000-0005-0000-0000-0000F1000000}"/>
    <cellStyle name="20% - Accent1 2 8 3 2" xfId="36093" xr:uid="{32A63E57-F13A-40DE-8147-1EBCC1A45ECD}"/>
    <cellStyle name="20% - Accent1 2 8 4" xfId="10789" xr:uid="{00000000-0005-0000-0000-0000F2000000}"/>
    <cellStyle name="20% - Accent1 2 8 5" xfId="27659" xr:uid="{5FBE0EFC-C495-4399-B2FB-295B3E438F47}"/>
    <cellStyle name="20% - Accent1 2 9" xfId="4506" xr:uid="{00000000-0005-0000-0000-0000F3000000}"/>
    <cellStyle name="20% - Accent1 2 9 2" xfId="21376" xr:uid="{00000000-0005-0000-0000-0000F4000000}"/>
    <cellStyle name="20% - Accent1 2 9 2 2" xfId="38244" xr:uid="{41606694-D484-404D-8160-FAF362EFD27D}"/>
    <cellStyle name="20% - Accent1 2 9 3" xfId="12941" xr:uid="{00000000-0005-0000-0000-0000F5000000}"/>
    <cellStyle name="20% - Accent1 2 9 4" xfId="29810" xr:uid="{08DBC638-A619-4356-8FA8-A295A2959865}"/>
    <cellStyle name="20% - Accent1 3" xfId="6" xr:uid="{00000000-0005-0000-0000-0000F6000000}"/>
    <cellStyle name="20% - Accent1 3 10" xfId="8727" xr:uid="{00000000-0005-0000-0000-0000F7000000}"/>
    <cellStyle name="20% - Accent1 3 11" xfId="25597" xr:uid="{4F750891-89AA-4FB5-90AB-506C6C5E4463}"/>
    <cellStyle name="20% - Accent1 3 2" xfId="7" xr:uid="{00000000-0005-0000-0000-0000F8000000}"/>
    <cellStyle name="20% - Accent1 3 2 10" xfId="25598" xr:uid="{AF084D17-E315-4FBB-9DAF-5856C997708F}"/>
    <cellStyle name="20% - Accent1 3 2 2" xfId="576" xr:uid="{00000000-0005-0000-0000-0000F9000000}"/>
    <cellStyle name="20% - Accent1 3 2 2 2" xfId="2847" xr:uid="{00000000-0005-0000-0000-0000FA000000}"/>
    <cellStyle name="20% - Accent1 3 2 2 2 2" xfId="7070" xr:uid="{00000000-0005-0000-0000-0000FB000000}"/>
    <cellStyle name="20% - Accent1 3 2 2 2 2 2" xfId="23940" xr:uid="{00000000-0005-0000-0000-0000FC000000}"/>
    <cellStyle name="20% - Accent1 3 2 2 2 2 2 2" xfId="40808" xr:uid="{0CD21DA7-188C-47F0-AF90-2967D905D40D}"/>
    <cellStyle name="20% - Accent1 3 2 2 2 2 3" xfId="15505" xr:uid="{00000000-0005-0000-0000-0000FD000000}"/>
    <cellStyle name="20% - Accent1 3 2 2 2 2 4" xfId="32374" xr:uid="{56727B92-85B0-4C24-9E78-0BC332FB72F0}"/>
    <cellStyle name="20% - Accent1 3 2 2 2 3" xfId="19722" xr:uid="{00000000-0005-0000-0000-0000FE000000}"/>
    <cellStyle name="20% - Accent1 3 2 2 2 3 2" xfId="36591" xr:uid="{AD205DD9-0337-4CBC-BA7C-184DEC16DFF0}"/>
    <cellStyle name="20% - Accent1 3 2 2 2 4" xfId="11287" xr:uid="{00000000-0005-0000-0000-0000FF000000}"/>
    <cellStyle name="20% - Accent1 3 2 2 2 5" xfId="28157" xr:uid="{6772C7A7-D05F-4DB1-B6B9-F5F3A2A9F246}"/>
    <cellStyle name="20% - Accent1 3 2 2 3" xfId="4925" xr:uid="{00000000-0005-0000-0000-000000010000}"/>
    <cellStyle name="20% - Accent1 3 2 2 3 2" xfId="21795" xr:uid="{00000000-0005-0000-0000-000001010000}"/>
    <cellStyle name="20% - Accent1 3 2 2 3 2 2" xfId="38663" xr:uid="{3829604B-B119-42BC-A4A6-E709CD0F3D53}"/>
    <cellStyle name="20% - Accent1 3 2 2 3 3" xfId="13360" xr:uid="{00000000-0005-0000-0000-000002010000}"/>
    <cellStyle name="20% - Accent1 3 2 2 3 4" xfId="30229" xr:uid="{0B4D37C4-CF34-4683-9678-E1DF92AE0754}"/>
    <cellStyle name="20% - Accent1 3 2 2 4" xfId="17577" xr:uid="{00000000-0005-0000-0000-000003010000}"/>
    <cellStyle name="20% - Accent1 3 2 2 4 2" xfId="34446" xr:uid="{0C41F856-C9AA-4271-9D83-E5E9DF0D931E}"/>
    <cellStyle name="20% - Accent1 3 2 2 5" xfId="9142" xr:uid="{00000000-0005-0000-0000-000004010000}"/>
    <cellStyle name="20% - Accent1 3 2 2 6" xfId="26012" xr:uid="{B3DE5141-A46E-41FB-9363-F67BCE176BCE}"/>
    <cellStyle name="20% - Accent1 3 2 3" xfId="1029" xr:uid="{00000000-0005-0000-0000-000005010000}"/>
    <cellStyle name="20% - Accent1 3 2 3 2" xfId="3260" xr:uid="{00000000-0005-0000-0000-000006010000}"/>
    <cellStyle name="20% - Accent1 3 2 3 2 2" xfId="7483" xr:uid="{00000000-0005-0000-0000-000007010000}"/>
    <cellStyle name="20% - Accent1 3 2 3 2 2 2" xfId="24353" xr:uid="{00000000-0005-0000-0000-000008010000}"/>
    <cellStyle name="20% - Accent1 3 2 3 2 2 2 2" xfId="41221" xr:uid="{BCACEC22-C47D-48EF-87BF-5C9312A6A719}"/>
    <cellStyle name="20% - Accent1 3 2 3 2 2 3" xfId="15918" xr:uid="{00000000-0005-0000-0000-000009010000}"/>
    <cellStyle name="20% - Accent1 3 2 3 2 2 4" xfId="32787" xr:uid="{D98F26C0-BE9E-4E47-BEC2-D05941057907}"/>
    <cellStyle name="20% - Accent1 3 2 3 2 3" xfId="20135" xr:uid="{00000000-0005-0000-0000-00000A010000}"/>
    <cellStyle name="20% - Accent1 3 2 3 2 3 2" xfId="37004" xr:uid="{0B2296D9-9E7A-413C-A37E-8E0093C44B23}"/>
    <cellStyle name="20% - Accent1 3 2 3 2 4" xfId="11700" xr:uid="{00000000-0005-0000-0000-00000B010000}"/>
    <cellStyle name="20% - Accent1 3 2 3 2 5" xfId="28570" xr:uid="{A4C82C50-F88A-4D77-A82D-133C0765FA8A}"/>
    <cellStyle name="20% - Accent1 3 2 3 3" xfId="5338" xr:uid="{00000000-0005-0000-0000-00000C010000}"/>
    <cellStyle name="20% - Accent1 3 2 3 3 2" xfId="22208" xr:uid="{00000000-0005-0000-0000-00000D010000}"/>
    <cellStyle name="20% - Accent1 3 2 3 3 2 2" xfId="39076" xr:uid="{16A100DB-0159-4470-884C-AB55AA52AE95}"/>
    <cellStyle name="20% - Accent1 3 2 3 3 3" xfId="13773" xr:uid="{00000000-0005-0000-0000-00000E010000}"/>
    <cellStyle name="20% - Accent1 3 2 3 3 4" xfId="30642" xr:uid="{603F06AF-773C-4D3F-823E-964751FC5A50}"/>
    <cellStyle name="20% - Accent1 3 2 3 4" xfId="17990" xr:uid="{00000000-0005-0000-0000-00000F010000}"/>
    <cellStyle name="20% - Accent1 3 2 3 4 2" xfId="34859" xr:uid="{65BCF673-DFDF-4B63-9C39-CA301488720E}"/>
    <cellStyle name="20% - Accent1 3 2 3 5" xfId="9555" xr:uid="{00000000-0005-0000-0000-000010010000}"/>
    <cellStyle name="20% - Accent1 3 2 3 6" xfId="26425" xr:uid="{2BED4A34-E1A9-4A54-8E89-B538B79D010A}"/>
    <cellStyle name="20% - Accent1 3 2 4" xfId="1443" xr:uid="{00000000-0005-0000-0000-000011010000}"/>
    <cellStyle name="20% - Accent1 3 2 4 2" xfId="3673" xr:uid="{00000000-0005-0000-0000-000012010000}"/>
    <cellStyle name="20% - Accent1 3 2 4 2 2" xfId="7896" xr:uid="{00000000-0005-0000-0000-000013010000}"/>
    <cellStyle name="20% - Accent1 3 2 4 2 2 2" xfId="24766" xr:uid="{00000000-0005-0000-0000-000014010000}"/>
    <cellStyle name="20% - Accent1 3 2 4 2 2 2 2" xfId="41634" xr:uid="{16149F29-02F0-4754-9780-5F0257038280}"/>
    <cellStyle name="20% - Accent1 3 2 4 2 2 3" xfId="16331" xr:uid="{00000000-0005-0000-0000-000015010000}"/>
    <cellStyle name="20% - Accent1 3 2 4 2 2 4" xfId="33200" xr:uid="{F61B5447-1B72-4F12-8158-CFA44B5A07E3}"/>
    <cellStyle name="20% - Accent1 3 2 4 2 3" xfId="20548" xr:uid="{00000000-0005-0000-0000-000016010000}"/>
    <cellStyle name="20% - Accent1 3 2 4 2 3 2" xfId="37417" xr:uid="{816791C0-F3A7-4350-9571-FB1DF1ACEC3A}"/>
    <cellStyle name="20% - Accent1 3 2 4 2 4" xfId="12113" xr:uid="{00000000-0005-0000-0000-000017010000}"/>
    <cellStyle name="20% - Accent1 3 2 4 2 5" xfId="28983" xr:uid="{54360221-89E1-4C05-ACCC-E86F1A155E15}"/>
    <cellStyle name="20% - Accent1 3 2 4 3" xfId="5751" xr:uid="{00000000-0005-0000-0000-000018010000}"/>
    <cellStyle name="20% - Accent1 3 2 4 3 2" xfId="22621" xr:uid="{00000000-0005-0000-0000-000019010000}"/>
    <cellStyle name="20% - Accent1 3 2 4 3 2 2" xfId="39489" xr:uid="{588D8F9E-E779-4BA5-8263-068EC97B6808}"/>
    <cellStyle name="20% - Accent1 3 2 4 3 3" xfId="14186" xr:uid="{00000000-0005-0000-0000-00001A010000}"/>
    <cellStyle name="20% - Accent1 3 2 4 3 4" xfId="31055" xr:uid="{AC6752EC-3B04-4835-A9A4-E67F1C4537DB}"/>
    <cellStyle name="20% - Accent1 3 2 4 4" xfId="18403" xr:uid="{00000000-0005-0000-0000-00001B010000}"/>
    <cellStyle name="20% - Accent1 3 2 4 4 2" xfId="35272" xr:uid="{7B0920CF-A695-4B90-8D8F-E7493789FBAC}"/>
    <cellStyle name="20% - Accent1 3 2 4 5" xfId="9968" xr:uid="{00000000-0005-0000-0000-00001C010000}"/>
    <cellStyle name="20% - Accent1 3 2 4 6" xfId="26838" xr:uid="{E2B9C786-66CC-4CAE-A47B-6508C7085EE6}"/>
    <cellStyle name="20% - Accent1 3 2 5" xfId="1857" xr:uid="{00000000-0005-0000-0000-00001D010000}"/>
    <cellStyle name="20% - Accent1 3 2 5 2" xfId="4086" xr:uid="{00000000-0005-0000-0000-00001E010000}"/>
    <cellStyle name="20% - Accent1 3 2 5 2 2" xfId="8309" xr:uid="{00000000-0005-0000-0000-00001F010000}"/>
    <cellStyle name="20% - Accent1 3 2 5 2 2 2" xfId="25179" xr:uid="{00000000-0005-0000-0000-000020010000}"/>
    <cellStyle name="20% - Accent1 3 2 5 2 2 2 2" xfId="42047" xr:uid="{7659CA26-85AF-49AE-A30C-99A0B669A273}"/>
    <cellStyle name="20% - Accent1 3 2 5 2 2 3" xfId="16744" xr:uid="{00000000-0005-0000-0000-000021010000}"/>
    <cellStyle name="20% - Accent1 3 2 5 2 2 4" xfId="33613" xr:uid="{FC23A977-B592-4659-AFC2-593EC074079A}"/>
    <cellStyle name="20% - Accent1 3 2 5 2 3" xfId="20961" xr:uid="{00000000-0005-0000-0000-000022010000}"/>
    <cellStyle name="20% - Accent1 3 2 5 2 3 2" xfId="37830" xr:uid="{8AAB7288-2D65-4627-81EE-F63090DE21E4}"/>
    <cellStyle name="20% - Accent1 3 2 5 2 4" xfId="12526" xr:uid="{00000000-0005-0000-0000-000023010000}"/>
    <cellStyle name="20% - Accent1 3 2 5 2 5" xfId="29396" xr:uid="{3821A9A7-970B-4661-AC94-EF54DE036C92}"/>
    <cellStyle name="20% - Accent1 3 2 5 3" xfId="6164" xr:uid="{00000000-0005-0000-0000-000024010000}"/>
    <cellStyle name="20% - Accent1 3 2 5 3 2" xfId="23034" xr:uid="{00000000-0005-0000-0000-000025010000}"/>
    <cellStyle name="20% - Accent1 3 2 5 3 2 2" xfId="39902" xr:uid="{3B6E027A-B93A-4D0C-9A97-06B44080D135}"/>
    <cellStyle name="20% - Accent1 3 2 5 3 3" xfId="14599" xr:uid="{00000000-0005-0000-0000-000026010000}"/>
    <cellStyle name="20% - Accent1 3 2 5 3 4" xfId="31468" xr:uid="{D0E56864-0FAC-411B-BE1A-E94FC4013337}"/>
    <cellStyle name="20% - Accent1 3 2 5 4" xfId="18816" xr:uid="{00000000-0005-0000-0000-000027010000}"/>
    <cellStyle name="20% - Accent1 3 2 5 4 2" xfId="35685" xr:uid="{D125B222-34E8-469A-B28A-76C136BE4E19}"/>
    <cellStyle name="20% - Accent1 3 2 5 5" xfId="10381" xr:uid="{00000000-0005-0000-0000-000028010000}"/>
    <cellStyle name="20% - Accent1 3 2 5 6" xfId="27251" xr:uid="{43A8B9A4-423B-44BC-B7B9-93C104F4A9AB}"/>
    <cellStyle name="20% - Accent1 3 2 6" xfId="2270" xr:uid="{00000000-0005-0000-0000-000029010000}"/>
    <cellStyle name="20% - Accent1 3 2 6 2" xfId="6577" xr:uid="{00000000-0005-0000-0000-00002A010000}"/>
    <cellStyle name="20% - Accent1 3 2 6 2 2" xfId="23447" xr:uid="{00000000-0005-0000-0000-00002B010000}"/>
    <cellStyle name="20% - Accent1 3 2 6 2 2 2" xfId="40315" xr:uid="{1C4A578D-DD63-4AD9-B3C7-80E30D901EF8}"/>
    <cellStyle name="20% - Accent1 3 2 6 2 3" xfId="15012" xr:uid="{00000000-0005-0000-0000-00002C010000}"/>
    <cellStyle name="20% - Accent1 3 2 6 2 4" xfId="31881" xr:uid="{5195C7BD-8C25-498F-956E-E7553455B470}"/>
    <cellStyle name="20% - Accent1 3 2 6 3" xfId="19229" xr:uid="{00000000-0005-0000-0000-00002D010000}"/>
    <cellStyle name="20% - Accent1 3 2 6 3 2" xfId="36098" xr:uid="{19AA761E-9A3A-4203-A3C5-68BDA8551A18}"/>
    <cellStyle name="20% - Accent1 3 2 6 4" xfId="10794" xr:uid="{00000000-0005-0000-0000-00002E010000}"/>
    <cellStyle name="20% - Accent1 3 2 6 5" xfId="27664" xr:uid="{260AD69D-8FAB-41D4-B62D-746317687B20}"/>
    <cellStyle name="20% - Accent1 3 2 7" xfId="4511" xr:uid="{00000000-0005-0000-0000-00002F010000}"/>
    <cellStyle name="20% - Accent1 3 2 7 2" xfId="21381" xr:uid="{00000000-0005-0000-0000-000030010000}"/>
    <cellStyle name="20% - Accent1 3 2 7 2 2" xfId="38249" xr:uid="{6270C2B1-3317-408A-87EF-8CBF7D5462F2}"/>
    <cellStyle name="20% - Accent1 3 2 7 3" xfId="12946" xr:uid="{00000000-0005-0000-0000-000031010000}"/>
    <cellStyle name="20% - Accent1 3 2 7 4" xfId="29815" xr:uid="{EE843503-224D-4AE2-913A-F9677E151ECB}"/>
    <cellStyle name="20% - Accent1 3 2 8" xfId="17163" xr:uid="{00000000-0005-0000-0000-000032010000}"/>
    <cellStyle name="20% - Accent1 3 2 8 2" xfId="34032" xr:uid="{093F315A-259F-4CF0-B6FA-284B4C1BA74A}"/>
    <cellStyle name="20% - Accent1 3 2 9" xfId="8728" xr:uid="{00000000-0005-0000-0000-000033010000}"/>
    <cellStyle name="20% - Accent1 3 3" xfId="575" xr:uid="{00000000-0005-0000-0000-000034010000}"/>
    <cellStyle name="20% - Accent1 3 3 2" xfId="2846" xr:uid="{00000000-0005-0000-0000-000035010000}"/>
    <cellStyle name="20% - Accent1 3 3 2 2" xfId="7069" xr:uid="{00000000-0005-0000-0000-000036010000}"/>
    <cellStyle name="20% - Accent1 3 3 2 2 2" xfId="23939" xr:uid="{00000000-0005-0000-0000-000037010000}"/>
    <cellStyle name="20% - Accent1 3 3 2 2 2 2" xfId="40807" xr:uid="{42D5A489-8C31-4C07-BF97-379520A092C4}"/>
    <cellStyle name="20% - Accent1 3 3 2 2 3" xfId="15504" xr:uid="{00000000-0005-0000-0000-000038010000}"/>
    <cellStyle name="20% - Accent1 3 3 2 2 4" xfId="32373" xr:uid="{779B172F-1631-4BF0-B239-974A5758AA8C}"/>
    <cellStyle name="20% - Accent1 3 3 2 3" xfId="19721" xr:uid="{00000000-0005-0000-0000-000039010000}"/>
    <cellStyle name="20% - Accent1 3 3 2 3 2" xfId="36590" xr:uid="{38362596-61FC-4DC8-B587-7F581CE8F166}"/>
    <cellStyle name="20% - Accent1 3 3 2 4" xfId="11286" xr:uid="{00000000-0005-0000-0000-00003A010000}"/>
    <cellStyle name="20% - Accent1 3 3 2 5" xfId="28156" xr:uid="{101A9651-A42F-4692-98E8-1B75D36FD3BE}"/>
    <cellStyle name="20% - Accent1 3 3 3" xfId="4924" xr:uid="{00000000-0005-0000-0000-00003B010000}"/>
    <cellStyle name="20% - Accent1 3 3 3 2" xfId="21794" xr:uid="{00000000-0005-0000-0000-00003C010000}"/>
    <cellStyle name="20% - Accent1 3 3 3 2 2" xfId="38662" xr:uid="{B0C13993-6157-4585-A5B8-A647AD05722F}"/>
    <cellStyle name="20% - Accent1 3 3 3 3" xfId="13359" xr:uid="{00000000-0005-0000-0000-00003D010000}"/>
    <cellStyle name="20% - Accent1 3 3 3 4" xfId="30228" xr:uid="{5EC6A642-0712-4B04-AB23-8AC39ED5B7BD}"/>
    <cellStyle name="20% - Accent1 3 3 4" xfId="17576" xr:uid="{00000000-0005-0000-0000-00003E010000}"/>
    <cellStyle name="20% - Accent1 3 3 4 2" xfId="34445" xr:uid="{FAFAF8BB-0E76-4FFE-B344-86B71E815341}"/>
    <cellStyle name="20% - Accent1 3 3 5" xfId="9141" xr:uid="{00000000-0005-0000-0000-00003F010000}"/>
    <cellStyle name="20% - Accent1 3 3 6" xfId="26011" xr:uid="{E4AB233E-1525-45E5-BD42-458F96CE56FA}"/>
    <cellStyle name="20% - Accent1 3 4" xfId="1028" xr:uid="{00000000-0005-0000-0000-000040010000}"/>
    <cellStyle name="20% - Accent1 3 4 2" xfId="3259" xr:uid="{00000000-0005-0000-0000-000041010000}"/>
    <cellStyle name="20% - Accent1 3 4 2 2" xfId="7482" xr:uid="{00000000-0005-0000-0000-000042010000}"/>
    <cellStyle name="20% - Accent1 3 4 2 2 2" xfId="24352" xr:uid="{00000000-0005-0000-0000-000043010000}"/>
    <cellStyle name="20% - Accent1 3 4 2 2 2 2" xfId="41220" xr:uid="{7E840E97-36BD-4F28-8AB1-8DAF9ED4DA01}"/>
    <cellStyle name="20% - Accent1 3 4 2 2 3" xfId="15917" xr:uid="{00000000-0005-0000-0000-000044010000}"/>
    <cellStyle name="20% - Accent1 3 4 2 2 4" xfId="32786" xr:uid="{C665C007-3791-4D66-A12F-57611D2430E6}"/>
    <cellStyle name="20% - Accent1 3 4 2 3" xfId="20134" xr:uid="{00000000-0005-0000-0000-000045010000}"/>
    <cellStyle name="20% - Accent1 3 4 2 3 2" xfId="37003" xr:uid="{5A1BD3CB-6EA3-4E25-A619-85A64550BF6A}"/>
    <cellStyle name="20% - Accent1 3 4 2 4" xfId="11699" xr:uid="{00000000-0005-0000-0000-000046010000}"/>
    <cellStyle name="20% - Accent1 3 4 2 5" xfId="28569" xr:uid="{6ABAE1D2-B73E-41ED-86FD-251D9E5F5190}"/>
    <cellStyle name="20% - Accent1 3 4 3" xfId="5337" xr:uid="{00000000-0005-0000-0000-000047010000}"/>
    <cellStyle name="20% - Accent1 3 4 3 2" xfId="22207" xr:uid="{00000000-0005-0000-0000-000048010000}"/>
    <cellStyle name="20% - Accent1 3 4 3 2 2" xfId="39075" xr:uid="{178CB133-59BD-4F0E-ADE1-8F3A69A7CF4B}"/>
    <cellStyle name="20% - Accent1 3 4 3 3" xfId="13772" xr:uid="{00000000-0005-0000-0000-000049010000}"/>
    <cellStyle name="20% - Accent1 3 4 3 4" xfId="30641" xr:uid="{98BDBBB2-B74C-4060-B73B-C4CDB724BA29}"/>
    <cellStyle name="20% - Accent1 3 4 4" xfId="17989" xr:uid="{00000000-0005-0000-0000-00004A010000}"/>
    <cellStyle name="20% - Accent1 3 4 4 2" xfId="34858" xr:uid="{7705B465-E112-48AF-A6A7-9AC2D7D2099A}"/>
    <cellStyle name="20% - Accent1 3 4 5" xfId="9554" xr:uid="{00000000-0005-0000-0000-00004B010000}"/>
    <cellStyle name="20% - Accent1 3 4 6" xfId="26424" xr:uid="{6042A487-4A45-46B3-9E9E-8AEB69A5FA68}"/>
    <cellStyle name="20% - Accent1 3 5" xfId="1442" xr:uid="{00000000-0005-0000-0000-00004C010000}"/>
    <cellStyle name="20% - Accent1 3 5 2" xfId="3672" xr:uid="{00000000-0005-0000-0000-00004D010000}"/>
    <cellStyle name="20% - Accent1 3 5 2 2" xfId="7895" xr:uid="{00000000-0005-0000-0000-00004E010000}"/>
    <cellStyle name="20% - Accent1 3 5 2 2 2" xfId="24765" xr:uid="{00000000-0005-0000-0000-00004F010000}"/>
    <cellStyle name="20% - Accent1 3 5 2 2 2 2" xfId="41633" xr:uid="{B0A1D2EC-558D-481E-AAC3-3C2E5C27ED38}"/>
    <cellStyle name="20% - Accent1 3 5 2 2 3" xfId="16330" xr:uid="{00000000-0005-0000-0000-000050010000}"/>
    <cellStyle name="20% - Accent1 3 5 2 2 4" xfId="33199" xr:uid="{0BB1789A-2FEA-47C5-BF7D-D834772557CE}"/>
    <cellStyle name="20% - Accent1 3 5 2 3" xfId="20547" xr:uid="{00000000-0005-0000-0000-000051010000}"/>
    <cellStyle name="20% - Accent1 3 5 2 3 2" xfId="37416" xr:uid="{B21D128F-D53D-426E-8F05-3E27E98BFA93}"/>
    <cellStyle name="20% - Accent1 3 5 2 4" xfId="12112" xr:uid="{00000000-0005-0000-0000-000052010000}"/>
    <cellStyle name="20% - Accent1 3 5 2 5" xfId="28982" xr:uid="{14824F71-EF79-4ACD-A5DD-D732A15E9744}"/>
    <cellStyle name="20% - Accent1 3 5 3" xfId="5750" xr:uid="{00000000-0005-0000-0000-000053010000}"/>
    <cellStyle name="20% - Accent1 3 5 3 2" xfId="22620" xr:uid="{00000000-0005-0000-0000-000054010000}"/>
    <cellStyle name="20% - Accent1 3 5 3 2 2" xfId="39488" xr:uid="{CC553408-5A70-40F3-8E62-543D157B0137}"/>
    <cellStyle name="20% - Accent1 3 5 3 3" xfId="14185" xr:uid="{00000000-0005-0000-0000-000055010000}"/>
    <cellStyle name="20% - Accent1 3 5 3 4" xfId="31054" xr:uid="{6BDCA34F-E6DC-4625-8D38-9350DFC003DD}"/>
    <cellStyle name="20% - Accent1 3 5 4" xfId="18402" xr:uid="{00000000-0005-0000-0000-000056010000}"/>
    <cellStyle name="20% - Accent1 3 5 4 2" xfId="35271" xr:uid="{F8EF23DC-16A6-4C1F-8FC5-936C7B2B19BF}"/>
    <cellStyle name="20% - Accent1 3 5 5" xfId="9967" xr:uid="{00000000-0005-0000-0000-000057010000}"/>
    <cellStyle name="20% - Accent1 3 5 6" xfId="26837" xr:uid="{0B0498F7-8968-46EA-991C-1200F83D8650}"/>
    <cellStyle name="20% - Accent1 3 6" xfId="1856" xr:uid="{00000000-0005-0000-0000-000058010000}"/>
    <cellStyle name="20% - Accent1 3 6 2" xfId="4085" xr:uid="{00000000-0005-0000-0000-000059010000}"/>
    <cellStyle name="20% - Accent1 3 6 2 2" xfId="8308" xr:uid="{00000000-0005-0000-0000-00005A010000}"/>
    <cellStyle name="20% - Accent1 3 6 2 2 2" xfId="25178" xr:uid="{00000000-0005-0000-0000-00005B010000}"/>
    <cellStyle name="20% - Accent1 3 6 2 2 2 2" xfId="42046" xr:uid="{61679CE9-AF4E-44ED-95EF-39CECD105E3D}"/>
    <cellStyle name="20% - Accent1 3 6 2 2 3" xfId="16743" xr:uid="{00000000-0005-0000-0000-00005C010000}"/>
    <cellStyle name="20% - Accent1 3 6 2 2 4" xfId="33612" xr:uid="{1D6ED39B-8DEE-4DCC-AAA1-03E7B1F68D5B}"/>
    <cellStyle name="20% - Accent1 3 6 2 3" xfId="20960" xr:uid="{00000000-0005-0000-0000-00005D010000}"/>
    <cellStyle name="20% - Accent1 3 6 2 3 2" xfId="37829" xr:uid="{1FF8A2DD-3632-41E8-844D-55E6C917204B}"/>
    <cellStyle name="20% - Accent1 3 6 2 4" xfId="12525" xr:uid="{00000000-0005-0000-0000-00005E010000}"/>
    <cellStyle name="20% - Accent1 3 6 2 5" xfId="29395" xr:uid="{71342704-6216-4B5D-BC2A-45B5D0DFDDA6}"/>
    <cellStyle name="20% - Accent1 3 6 3" xfId="6163" xr:uid="{00000000-0005-0000-0000-00005F010000}"/>
    <cellStyle name="20% - Accent1 3 6 3 2" xfId="23033" xr:uid="{00000000-0005-0000-0000-000060010000}"/>
    <cellStyle name="20% - Accent1 3 6 3 2 2" xfId="39901" xr:uid="{17F5D599-0441-4E6B-A28E-8E3A4108B598}"/>
    <cellStyle name="20% - Accent1 3 6 3 3" xfId="14598" xr:uid="{00000000-0005-0000-0000-000061010000}"/>
    <cellStyle name="20% - Accent1 3 6 3 4" xfId="31467" xr:uid="{47C963CC-ED3F-4AF9-B4E1-0675A97A2B89}"/>
    <cellStyle name="20% - Accent1 3 6 4" xfId="18815" xr:uid="{00000000-0005-0000-0000-000062010000}"/>
    <cellStyle name="20% - Accent1 3 6 4 2" xfId="35684" xr:uid="{7F3DAF3A-379A-4564-A49F-94135E3DEF5E}"/>
    <cellStyle name="20% - Accent1 3 6 5" xfId="10380" xr:uid="{00000000-0005-0000-0000-000063010000}"/>
    <cellStyle name="20% - Accent1 3 6 6" xfId="27250" xr:uid="{39A83E93-EDB1-4B0B-ADB0-01E2BB98FA8B}"/>
    <cellStyle name="20% - Accent1 3 7" xfId="2269" xr:uid="{00000000-0005-0000-0000-000064010000}"/>
    <cellStyle name="20% - Accent1 3 7 2" xfId="6576" xr:uid="{00000000-0005-0000-0000-000065010000}"/>
    <cellStyle name="20% - Accent1 3 7 2 2" xfId="23446" xr:uid="{00000000-0005-0000-0000-000066010000}"/>
    <cellStyle name="20% - Accent1 3 7 2 2 2" xfId="40314" xr:uid="{23444893-EF4C-45E0-9CC5-9B2D7E490D63}"/>
    <cellStyle name="20% - Accent1 3 7 2 3" xfId="15011" xr:uid="{00000000-0005-0000-0000-000067010000}"/>
    <cellStyle name="20% - Accent1 3 7 2 4" xfId="31880" xr:uid="{85C0E03C-5E9A-42D6-9C41-6A5E19011B15}"/>
    <cellStyle name="20% - Accent1 3 7 3" xfId="19228" xr:uid="{00000000-0005-0000-0000-000068010000}"/>
    <cellStyle name="20% - Accent1 3 7 3 2" xfId="36097" xr:uid="{C20A0CDB-17F5-400B-8A86-4D537C99BEA7}"/>
    <cellStyle name="20% - Accent1 3 7 4" xfId="10793" xr:uid="{00000000-0005-0000-0000-000069010000}"/>
    <cellStyle name="20% - Accent1 3 7 5" xfId="27663" xr:uid="{0293E1D3-1D36-49A0-8C84-9743AE312084}"/>
    <cellStyle name="20% - Accent1 3 8" xfId="4510" xr:uid="{00000000-0005-0000-0000-00006A010000}"/>
    <cellStyle name="20% - Accent1 3 8 2" xfId="21380" xr:uid="{00000000-0005-0000-0000-00006B010000}"/>
    <cellStyle name="20% - Accent1 3 8 2 2" xfId="38248" xr:uid="{082A1A1A-562B-4B1A-AEB9-17EA109916BA}"/>
    <cellStyle name="20% - Accent1 3 8 3" xfId="12945" xr:uid="{00000000-0005-0000-0000-00006C010000}"/>
    <cellStyle name="20% - Accent1 3 8 4" xfId="29814" xr:uid="{75DD5C89-C14E-4D35-8518-AC4FCDB67F40}"/>
    <cellStyle name="20% - Accent1 3 9" xfId="17162" xr:uid="{00000000-0005-0000-0000-00006D010000}"/>
    <cellStyle name="20% - Accent1 3 9 2" xfId="34031" xr:uid="{26B6DBF6-B691-4D27-AE2C-3B5BF1EC3DB7}"/>
    <cellStyle name="20% - Accent1 4" xfId="8" xr:uid="{00000000-0005-0000-0000-00006E010000}"/>
    <cellStyle name="20% - Accent1 4 10" xfId="25599" xr:uid="{1035FBF4-207A-45BD-94ED-D2EE3EEAE476}"/>
    <cellStyle name="20% - Accent1 4 2" xfId="577" xr:uid="{00000000-0005-0000-0000-00006F010000}"/>
    <cellStyle name="20% - Accent1 4 2 2" xfId="2848" xr:uid="{00000000-0005-0000-0000-000070010000}"/>
    <cellStyle name="20% - Accent1 4 2 2 2" xfId="7071" xr:uid="{00000000-0005-0000-0000-000071010000}"/>
    <cellStyle name="20% - Accent1 4 2 2 2 2" xfId="23941" xr:uid="{00000000-0005-0000-0000-000072010000}"/>
    <cellStyle name="20% - Accent1 4 2 2 2 2 2" xfId="40809" xr:uid="{9D36355A-38D6-42B7-ACF5-9498CCCBAE5F}"/>
    <cellStyle name="20% - Accent1 4 2 2 2 3" xfId="15506" xr:uid="{00000000-0005-0000-0000-000073010000}"/>
    <cellStyle name="20% - Accent1 4 2 2 2 4" xfId="32375" xr:uid="{39382C1F-F343-46F4-9AB1-0443D72C0BFB}"/>
    <cellStyle name="20% - Accent1 4 2 2 3" xfId="19723" xr:uid="{00000000-0005-0000-0000-000074010000}"/>
    <cellStyle name="20% - Accent1 4 2 2 3 2" xfId="36592" xr:uid="{E9A52347-5DCB-4536-8B6A-947F312E14DD}"/>
    <cellStyle name="20% - Accent1 4 2 2 4" xfId="11288" xr:uid="{00000000-0005-0000-0000-000075010000}"/>
    <cellStyle name="20% - Accent1 4 2 2 5" xfId="28158" xr:uid="{39D7B808-F434-4FFE-8039-F8B9F5BEDDAD}"/>
    <cellStyle name="20% - Accent1 4 2 3" xfId="4926" xr:uid="{00000000-0005-0000-0000-000076010000}"/>
    <cellStyle name="20% - Accent1 4 2 3 2" xfId="21796" xr:uid="{00000000-0005-0000-0000-000077010000}"/>
    <cellStyle name="20% - Accent1 4 2 3 2 2" xfId="38664" xr:uid="{D13753DD-F5C8-4B83-B9A2-C08F350B9794}"/>
    <cellStyle name="20% - Accent1 4 2 3 3" xfId="13361" xr:uid="{00000000-0005-0000-0000-000078010000}"/>
    <cellStyle name="20% - Accent1 4 2 3 4" xfId="30230" xr:uid="{27124072-1298-4CFA-AF2B-91496650FE94}"/>
    <cellStyle name="20% - Accent1 4 2 4" xfId="17578" xr:uid="{00000000-0005-0000-0000-000079010000}"/>
    <cellStyle name="20% - Accent1 4 2 4 2" xfId="34447" xr:uid="{6550DABB-2367-43C6-8970-FCDB634E34D4}"/>
    <cellStyle name="20% - Accent1 4 2 5" xfId="9143" xr:uid="{00000000-0005-0000-0000-00007A010000}"/>
    <cellStyle name="20% - Accent1 4 2 6" xfId="26013" xr:uid="{0811D0D5-8AC4-4A96-B26F-5891D004B4C6}"/>
    <cellStyle name="20% - Accent1 4 3" xfId="1030" xr:uid="{00000000-0005-0000-0000-00007B010000}"/>
    <cellStyle name="20% - Accent1 4 3 2" xfId="3261" xr:uid="{00000000-0005-0000-0000-00007C010000}"/>
    <cellStyle name="20% - Accent1 4 3 2 2" xfId="7484" xr:uid="{00000000-0005-0000-0000-00007D010000}"/>
    <cellStyle name="20% - Accent1 4 3 2 2 2" xfId="24354" xr:uid="{00000000-0005-0000-0000-00007E010000}"/>
    <cellStyle name="20% - Accent1 4 3 2 2 2 2" xfId="41222" xr:uid="{6EC54C9D-108E-4DE6-974F-443EA233F6BA}"/>
    <cellStyle name="20% - Accent1 4 3 2 2 3" xfId="15919" xr:uid="{00000000-0005-0000-0000-00007F010000}"/>
    <cellStyle name="20% - Accent1 4 3 2 2 4" xfId="32788" xr:uid="{F61570C0-9CCC-403F-8688-FEB2A5AD9C8B}"/>
    <cellStyle name="20% - Accent1 4 3 2 3" xfId="20136" xr:uid="{00000000-0005-0000-0000-000080010000}"/>
    <cellStyle name="20% - Accent1 4 3 2 3 2" xfId="37005" xr:uid="{B5FEC181-7521-46CD-A5CE-F8A226666E4B}"/>
    <cellStyle name="20% - Accent1 4 3 2 4" xfId="11701" xr:uid="{00000000-0005-0000-0000-000081010000}"/>
    <cellStyle name="20% - Accent1 4 3 2 5" xfId="28571" xr:uid="{F754F7BD-2F33-4E94-A6E6-28C0897FFF6D}"/>
    <cellStyle name="20% - Accent1 4 3 3" xfId="5339" xr:uid="{00000000-0005-0000-0000-000082010000}"/>
    <cellStyle name="20% - Accent1 4 3 3 2" xfId="22209" xr:uid="{00000000-0005-0000-0000-000083010000}"/>
    <cellStyle name="20% - Accent1 4 3 3 2 2" xfId="39077" xr:uid="{3EE2CF1C-53B9-401B-9199-45ABDFEDAAE6}"/>
    <cellStyle name="20% - Accent1 4 3 3 3" xfId="13774" xr:uid="{00000000-0005-0000-0000-000084010000}"/>
    <cellStyle name="20% - Accent1 4 3 3 4" xfId="30643" xr:uid="{5B223A48-8B71-48B2-80CC-DD24DC1D3824}"/>
    <cellStyle name="20% - Accent1 4 3 4" xfId="17991" xr:uid="{00000000-0005-0000-0000-000085010000}"/>
    <cellStyle name="20% - Accent1 4 3 4 2" xfId="34860" xr:uid="{9962EF6F-A471-4C18-9E75-696A3B5722C4}"/>
    <cellStyle name="20% - Accent1 4 3 5" xfId="9556" xr:uid="{00000000-0005-0000-0000-000086010000}"/>
    <cellStyle name="20% - Accent1 4 3 6" xfId="26426" xr:uid="{FD6DC368-3F26-4F51-B16D-5BAADC6FFC02}"/>
    <cellStyle name="20% - Accent1 4 4" xfId="1444" xr:uid="{00000000-0005-0000-0000-000087010000}"/>
    <cellStyle name="20% - Accent1 4 4 2" xfId="3674" xr:uid="{00000000-0005-0000-0000-000088010000}"/>
    <cellStyle name="20% - Accent1 4 4 2 2" xfId="7897" xr:uid="{00000000-0005-0000-0000-000089010000}"/>
    <cellStyle name="20% - Accent1 4 4 2 2 2" xfId="24767" xr:uid="{00000000-0005-0000-0000-00008A010000}"/>
    <cellStyle name="20% - Accent1 4 4 2 2 2 2" xfId="41635" xr:uid="{4E82DFD1-8BB4-4F78-9095-B4C1B37C7CDC}"/>
    <cellStyle name="20% - Accent1 4 4 2 2 3" xfId="16332" xr:uid="{00000000-0005-0000-0000-00008B010000}"/>
    <cellStyle name="20% - Accent1 4 4 2 2 4" xfId="33201" xr:uid="{792DBC75-0D9A-4A9C-BF40-CCCF68B08022}"/>
    <cellStyle name="20% - Accent1 4 4 2 3" xfId="20549" xr:uid="{00000000-0005-0000-0000-00008C010000}"/>
    <cellStyle name="20% - Accent1 4 4 2 3 2" xfId="37418" xr:uid="{CF2029A0-D255-4078-8AF2-78B43EE15755}"/>
    <cellStyle name="20% - Accent1 4 4 2 4" xfId="12114" xr:uid="{00000000-0005-0000-0000-00008D010000}"/>
    <cellStyle name="20% - Accent1 4 4 2 5" xfId="28984" xr:uid="{6B534679-9332-41EA-987B-F6B2074B4AE6}"/>
    <cellStyle name="20% - Accent1 4 4 3" xfId="5752" xr:uid="{00000000-0005-0000-0000-00008E010000}"/>
    <cellStyle name="20% - Accent1 4 4 3 2" xfId="22622" xr:uid="{00000000-0005-0000-0000-00008F010000}"/>
    <cellStyle name="20% - Accent1 4 4 3 2 2" xfId="39490" xr:uid="{3DB75BFF-E038-40CC-8FC6-E1D02FDA9A17}"/>
    <cellStyle name="20% - Accent1 4 4 3 3" xfId="14187" xr:uid="{00000000-0005-0000-0000-000090010000}"/>
    <cellStyle name="20% - Accent1 4 4 3 4" xfId="31056" xr:uid="{33C77F48-6FB3-4686-816B-6BDB9D9C0F92}"/>
    <cellStyle name="20% - Accent1 4 4 4" xfId="18404" xr:uid="{00000000-0005-0000-0000-000091010000}"/>
    <cellStyle name="20% - Accent1 4 4 4 2" xfId="35273" xr:uid="{F3857507-754E-437B-8825-E03655EF4A14}"/>
    <cellStyle name="20% - Accent1 4 4 5" xfId="9969" xr:uid="{00000000-0005-0000-0000-000092010000}"/>
    <cellStyle name="20% - Accent1 4 4 6" xfId="26839" xr:uid="{0A455E75-D69C-4A01-8FA9-270A2332A70D}"/>
    <cellStyle name="20% - Accent1 4 5" xfId="1858" xr:uid="{00000000-0005-0000-0000-000093010000}"/>
    <cellStyle name="20% - Accent1 4 5 2" xfId="4087" xr:uid="{00000000-0005-0000-0000-000094010000}"/>
    <cellStyle name="20% - Accent1 4 5 2 2" xfId="8310" xr:uid="{00000000-0005-0000-0000-000095010000}"/>
    <cellStyle name="20% - Accent1 4 5 2 2 2" xfId="25180" xr:uid="{00000000-0005-0000-0000-000096010000}"/>
    <cellStyle name="20% - Accent1 4 5 2 2 2 2" xfId="42048" xr:uid="{44AE62CC-FE0E-4414-9A2A-7964931EC3EB}"/>
    <cellStyle name="20% - Accent1 4 5 2 2 3" xfId="16745" xr:uid="{00000000-0005-0000-0000-000097010000}"/>
    <cellStyle name="20% - Accent1 4 5 2 2 4" xfId="33614" xr:uid="{1C682141-0329-476B-A212-5DD552B4447E}"/>
    <cellStyle name="20% - Accent1 4 5 2 3" xfId="20962" xr:uid="{00000000-0005-0000-0000-000098010000}"/>
    <cellStyle name="20% - Accent1 4 5 2 3 2" xfId="37831" xr:uid="{D2A91288-A2CE-4163-92A4-E148EE043646}"/>
    <cellStyle name="20% - Accent1 4 5 2 4" xfId="12527" xr:uid="{00000000-0005-0000-0000-000099010000}"/>
    <cellStyle name="20% - Accent1 4 5 2 5" xfId="29397" xr:uid="{E01274A2-44D5-4DA5-9656-D3562B745621}"/>
    <cellStyle name="20% - Accent1 4 5 3" xfId="6165" xr:uid="{00000000-0005-0000-0000-00009A010000}"/>
    <cellStyle name="20% - Accent1 4 5 3 2" xfId="23035" xr:uid="{00000000-0005-0000-0000-00009B010000}"/>
    <cellStyle name="20% - Accent1 4 5 3 2 2" xfId="39903" xr:uid="{9AC4DE0F-3A95-4B87-AB72-9BF29954FC7E}"/>
    <cellStyle name="20% - Accent1 4 5 3 3" xfId="14600" xr:uid="{00000000-0005-0000-0000-00009C010000}"/>
    <cellStyle name="20% - Accent1 4 5 3 4" xfId="31469" xr:uid="{82D2880B-185E-45D6-BBB9-9FB94B03050A}"/>
    <cellStyle name="20% - Accent1 4 5 4" xfId="18817" xr:uid="{00000000-0005-0000-0000-00009D010000}"/>
    <cellStyle name="20% - Accent1 4 5 4 2" xfId="35686" xr:uid="{EB5EA4C8-2899-420F-AD10-ACEC9EBEF17B}"/>
    <cellStyle name="20% - Accent1 4 5 5" xfId="10382" xr:uid="{00000000-0005-0000-0000-00009E010000}"/>
    <cellStyle name="20% - Accent1 4 5 6" xfId="27252" xr:uid="{675C0DF0-234B-48F3-8395-6EE17E8A69EE}"/>
    <cellStyle name="20% - Accent1 4 6" xfId="2271" xr:uid="{00000000-0005-0000-0000-00009F010000}"/>
    <cellStyle name="20% - Accent1 4 6 2" xfId="6578" xr:uid="{00000000-0005-0000-0000-0000A0010000}"/>
    <cellStyle name="20% - Accent1 4 6 2 2" xfId="23448" xr:uid="{00000000-0005-0000-0000-0000A1010000}"/>
    <cellStyle name="20% - Accent1 4 6 2 2 2" xfId="40316" xr:uid="{80BD90BE-99A2-4384-AA86-E8E297B73CA6}"/>
    <cellStyle name="20% - Accent1 4 6 2 3" xfId="15013" xr:uid="{00000000-0005-0000-0000-0000A2010000}"/>
    <cellStyle name="20% - Accent1 4 6 2 4" xfId="31882" xr:uid="{63F93C88-5B79-4BE3-9E20-49311CC1AC84}"/>
    <cellStyle name="20% - Accent1 4 6 3" xfId="19230" xr:uid="{00000000-0005-0000-0000-0000A3010000}"/>
    <cellStyle name="20% - Accent1 4 6 3 2" xfId="36099" xr:uid="{081CEA65-2BEF-491E-B698-DEB421AA19CC}"/>
    <cellStyle name="20% - Accent1 4 6 4" xfId="10795" xr:uid="{00000000-0005-0000-0000-0000A4010000}"/>
    <cellStyle name="20% - Accent1 4 6 5" xfId="27665" xr:uid="{218B1036-3472-49BF-9ABA-516D07BA059B}"/>
    <cellStyle name="20% - Accent1 4 7" xfId="4512" xr:uid="{00000000-0005-0000-0000-0000A5010000}"/>
    <cellStyle name="20% - Accent1 4 7 2" xfId="21382" xr:uid="{00000000-0005-0000-0000-0000A6010000}"/>
    <cellStyle name="20% - Accent1 4 7 2 2" xfId="38250" xr:uid="{5FD3B69A-1F69-4496-B452-5F05434F0615}"/>
    <cellStyle name="20% - Accent1 4 7 3" xfId="12947" xr:uid="{00000000-0005-0000-0000-0000A7010000}"/>
    <cellStyle name="20% - Accent1 4 7 4" xfId="29816" xr:uid="{E0AE88B2-FC73-44D2-8907-5D5F0A2F983B}"/>
    <cellStyle name="20% - Accent1 4 8" xfId="17164" xr:uid="{00000000-0005-0000-0000-0000A8010000}"/>
    <cellStyle name="20% - Accent1 4 8 2" xfId="34033" xr:uid="{05738BF2-070B-4D3B-A03A-82A47BD2F519}"/>
    <cellStyle name="20% - Accent1 4 9" xfId="8729" xr:uid="{00000000-0005-0000-0000-0000A9010000}"/>
    <cellStyle name="20% - Accent1 5" xfId="570" xr:uid="{00000000-0005-0000-0000-0000AA010000}"/>
    <cellStyle name="20% - Accent1 5 2" xfId="2841" xr:uid="{00000000-0005-0000-0000-0000AB010000}"/>
    <cellStyle name="20% - Accent1 5 2 2" xfId="7064" xr:uid="{00000000-0005-0000-0000-0000AC010000}"/>
    <cellStyle name="20% - Accent1 5 2 2 2" xfId="23934" xr:uid="{00000000-0005-0000-0000-0000AD010000}"/>
    <cellStyle name="20% - Accent1 5 2 2 2 2" xfId="40802" xr:uid="{BF342557-83F4-4B4E-8164-A836CCF04C79}"/>
    <cellStyle name="20% - Accent1 5 2 2 3" xfId="15499" xr:uid="{00000000-0005-0000-0000-0000AE010000}"/>
    <cellStyle name="20% - Accent1 5 2 2 4" xfId="32368" xr:uid="{E9C48748-5152-4C72-BCFA-5F5443DF9DC3}"/>
    <cellStyle name="20% - Accent1 5 2 3" xfId="19716" xr:uid="{00000000-0005-0000-0000-0000AF010000}"/>
    <cellStyle name="20% - Accent1 5 2 3 2" xfId="36585" xr:uid="{276F1454-8AC5-400C-96D0-335C7FDC7C97}"/>
    <cellStyle name="20% - Accent1 5 2 4" xfId="11281" xr:uid="{00000000-0005-0000-0000-0000B0010000}"/>
    <cellStyle name="20% - Accent1 5 2 5" xfId="28151" xr:uid="{F5E2F29E-28C4-4511-A011-01363C8D6A21}"/>
    <cellStyle name="20% - Accent1 5 3" xfId="4919" xr:uid="{00000000-0005-0000-0000-0000B1010000}"/>
    <cellStyle name="20% - Accent1 5 3 2" xfId="21789" xr:uid="{00000000-0005-0000-0000-0000B2010000}"/>
    <cellStyle name="20% - Accent1 5 3 2 2" xfId="38657" xr:uid="{FE6C208B-A2A2-48E4-AF82-ABD891FFC9C2}"/>
    <cellStyle name="20% - Accent1 5 3 3" xfId="13354" xr:uid="{00000000-0005-0000-0000-0000B3010000}"/>
    <cellStyle name="20% - Accent1 5 3 4" xfId="30223" xr:uid="{C678157B-37E5-45D2-96FE-1DFBE20E767D}"/>
    <cellStyle name="20% - Accent1 5 4" xfId="17571" xr:uid="{00000000-0005-0000-0000-0000B4010000}"/>
    <cellStyle name="20% - Accent1 5 4 2" xfId="34440" xr:uid="{1286500D-3B25-483B-A7BB-02A73AB0A8E6}"/>
    <cellStyle name="20% - Accent1 5 5" xfId="9136" xr:uid="{00000000-0005-0000-0000-0000B5010000}"/>
    <cellStyle name="20% - Accent1 5 6" xfId="26006" xr:uid="{91BC2DB5-BB82-409A-9504-12EA9538D858}"/>
    <cellStyle name="20% - Accent1 6" xfId="1023" xr:uid="{00000000-0005-0000-0000-0000B6010000}"/>
    <cellStyle name="20% - Accent1 6 2" xfId="3254" xr:uid="{00000000-0005-0000-0000-0000B7010000}"/>
    <cellStyle name="20% - Accent1 6 2 2" xfId="7477" xr:uid="{00000000-0005-0000-0000-0000B8010000}"/>
    <cellStyle name="20% - Accent1 6 2 2 2" xfId="24347" xr:uid="{00000000-0005-0000-0000-0000B9010000}"/>
    <cellStyle name="20% - Accent1 6 2 2 2 2" xfId="41215" xr:uid="{369BDF37-C69E-4DE1-9504-4D4DC52FA375}"/>
    <cellStyle name="20% - Accent1 6 2 2 3" xfId="15912" xr:uid="{00000000-0005-0000-0000-0000BA010000}"/>
    <cellStyle name="20% - Accent1 6 2 2 4" xfId="32781" xr:uid="{F75AA912-DC2F-49FD-9C2A-F7F0E18B45A7}"/>
    <cellStyle name="20% - Accent1 6 2 3" xfId="20129" xr:uid="{00000000-0005-0000-0000-0000BB010000}"/>
    <cellStyle name="20% - Accent1 6 2 3 2" xfId="36998" xr:uid="{1AAC92D5-BCC7-4A2E-B4CE-A948AD951412}"/>
    <cellStyle name="20% - Accent1 6 2 4" xfId="11694" xr:uid="{00000000-0005-0000-0000-0000BC010000}"/>
    <cellStyle name="20% - Accent1 6 2 5" xfId="28564" xr:uid="{3E0E48AE-577A-4790-87CD-A123D36D7A10}"/>
    <cellStyle name="20% - Accent1 6 3" xfId="5332" xr:uid="{00000000-0005-0000-0000-0000BD010000}"/>
    <cellStyle name="20% - Accent1 6 3 2" xfId="22202" xr:uid="{00000000-0005-0000-0000-0000BE010000}"/>
    <cellStyle name="20% - Accent1 6 3 2 2" xfId="39070" xr:uid="{F9817DC7-A3C6-48C6-9BAF-75EEAE1B7285}"/>
    <cellStyle name="20% - Accent1 6 3 3" xfId="13767" xr:uid="{00000000-0005-0000-0000-0000BF010000}"/>
    <cellStyle name="20% - Accent1 6 3 4" xfId="30636" xr:uid="{A916982D-2257-42D7-A524-7BE30F32B841}"/>
    <cellStyle name="20% - Accent1 6 4" xfId="17984" xr:uid="{00000000-0005-0000-0000-0000C0010000}"/>
    <cellStyle name="20% - Accent1 6 4 2" xfId="34853" xr:uid="{F25FF9C0-3733-40A5-ABE1-C8D4A9A7798D}"/>
    <cellStyle name="20% - Accent1 6 5" xfId="9549" xr:uid="{00000000-0005-0000-0000-0000C1010000}"/>
    <cellStyle name="20% - Accent1 6 6" xfId="26419" xr:uid="{FA4927A8-38B0-4077-B6B2-B9CF38D13CD2}"/>
    <cellStyle name="20% - Accent1 7" xfId="1437" xr:uid="{00000000-0005-0000-0000-0000C2010000}"/>
    <cellStyle name="20% - Accent1 7 2" xfId="3667" xr:uid="{00000000-0005-0000-0000-0000C3010000}"/>
    <cellStyle name="20% - Accent1 7 2 2" xfId="7890" xr:uid="{00000000-0005-0000-0000-0000C4010000}"/>
    <cellStyle name="20% - Accent1 7 2 2 2" xfId="24760" xr:uid="{00000000-0005-0000-0000-0000C5010000}"/>
    <cellStyle name="20% - Accent1 7 2 2 2 2" xfId="41628" xr:uid="{96353364-A8E5-4CC8-80A3-FFBE26CD9DC0}"/>
    <cellStyle name="20% - Accent1 7 2 2 3" xfId="16325" xr:uid="{00000000-0005-0000-0000-0000C6010000}"/>
    <cellStyle name="20% - Accent1 7 2 2 4" xfId="33194" xr:uid="{6312382C-DCAE-4A8B-B3AC-B71691E48C73}"/>
    <cellStyle name="20% - Accent1 7 2 3" xfId="20542" xr:uid="{00000000-0005-0000-0000-0000C7010000}"/>
    <cellStyle name="20% - Accent1 7 2 3 2" xfId="37411" xr:uid="{08C349D8-FB3E-483F-BCA3-07AEFD1DFCC3}"/>
    <cellStyle name="20% - Accent1 7 2 4" xfId="12107" xr:uid="{00000000-0005-0000-0000-0000C8010000}"/>
    <cellStyle name="20% - Accent1 7 2 5" xfId="28977" xr:uid="{BA5A2D69-5FC4-4010-BA91-16F8B6BC5D3A}"/>
    <cellStyle name="20% - Accent1 7 3" xfId="5745" xr:uid="{00000000-0005-0000-0000-0000C9010000}"/>
    <cellStyle name="20% - Accent1 7 3 2" xfId="22615" xr:uid="{00000000-0005-0000-0000-0000CA010000}"/>
    <cellStyle name="20% - Accent1 7 3 2 2" xfId="39483" xr:uid="{6A94BE89-B208-4B7A-B491-4EB5A97728A3}"/>
    <cellStyle name="20% - Accent1 7 3 3" xfId="14180" xr:uid="{00000000-0005-0000-0000-0000CB010000}"/>
    <cellStyle name="20% - Accent1 7 3 4" xfId="31049" xr:uid="{82E3E088-4791-4E14-851D-5776E7B4960F}"/>
    <cellStyle name="20% - Accent1 7 4" xfId="18397" xr:uid="{00000000-0005-0000-0000-0000CC010000}"/>
    <cellStyle name="20% - Accent1 7 4 2" xfId="35266" xr:uid="{D48F3107-6FE2-42A6-854B-A4F0E9953F12}"/>
    <cellStyle name="20% - Accent1 7 5" xfId="9962" xr:uid="{00000000-0005-0000-0000-0000CD010000}"/>
    <cellStyle name="20% - Accent1 7 6" xfId="26832" xr:uid="{9AB51E98-7F0F-4A94-BBE9-FD75798A8C96}"/>
    <cellStyle name="20% - Accent1 8" xfId="1851" xr:uid="{00000000-0005-0000-0000-0000CE010000}"/>
    <cellStyle name="20% - Accent1 8 2" xfId="4080" xr:uid="{00000000-0005-0000-0000-0000CF010000}"/>
    <cellStyle name="20% - Accent1 8 2 2" xfId="8303" xr:uid="{00000000-0005-0000-0000-0000D0010000}"/>
    <cellStyle name="20% - Accent1 8 2 2 2" xfId="25173" xr:uid="{00000000-0005-0000-0000-0000D1010000}"/>
    <cellStyle name="20% - Accent1 8 2 2 2 2" xfId="42041" xr:uid="{4A68D77B-4101-450A-BA51-7235FAF71A2D}"/>
    <cellStyle name="20% - Accent1 8 2 2 3" xfId="16738" xr:uid="{00000000-0005-0000-0000-0000D2010000}"/>
    <cellStyle name="20% - Accent1 8 2 2 4" xfId="33607" xr:uid="{66CA4D1A-E726-4AFA-BFD2-FB45346689CC}"/>
    <cellStyle name="20% - Accent1 8 2 3" xfId="20955" xr:uid="{00000000-0005-0000-0000-0000D3010000}"/>
    <cellStyle name="20% - Accent1 8 2 3 2" xfId="37824" xr:uid="{C274ACAE-1312-40F8-812D-81B56A5199AF}"/>
    <cellStyle name="20% - Accent1 8 2 4" xfId="12520" xr:uid="{00000000-0005-0000-0000-0000D4010000}"/>
    <cellStyle name="20% - Accent1 8 2 5" xfId="29390" xr:uid="{7070D7A4-A717-4C1B-A9D2-3D5600813336}"/>
    <cellStyle name="20% - Accent1 8 3" xfId="6158" xr:uid="{00000000-0005-0000-0000-0000D5010000}"/>
    <cellStyle name="20% - Accent1 8 3 2" xfId="23028" xr:uid="{00000000-0005-0000-0000-0000D6010000}"/>
    <cellStyle name="20% - Accent1 8 3 2 2" xfId="39896" xr:uid="{0F1E3AD7-0166-4A7D-BEDC-FDCD9FAE6E98}"/>
    <cellStyle name="20% - Accent1 8 3 3" xfId="14593" xr:uid="{00000000-0005-0000-0000-0000D7010000}"/>
    <cellStyle name="20% - Accent1 8 3 4" xfId="31462" xr:uid="{CA595507-79BB-49B1-A416-34C2BF25896E}"/>
    <cellStyle name="20% - Accent1 8 4" xfId="18810" xr:uid="{00000000-0005-0000-0000-0000D8010000}"/>
    <cellStyle name="20% - Accent1 8 4 2" xfId="35679" xr:uid="{4B919B1B-5395-44E7-9AA8-44F33633182F}"/>
    <cellStyle name="20% - Accent1 8 5" xfId="10375" xr:uid="{00000000-0005-0000-0000-0000D9010000}"/>
    <cellStyle name="20% - Accent1 8 6" xfId="27245" xr:uid="{1C9429D7-507B-49B5-9F93-8C4F0D27CE8B}"/>
    <cellStyle name="20% - Accent1 9" xfId="2264" xr:uid="{00000000-0005-0000-0000-0000DA010000}"/>
    <cellStyle name="20% - Accent1 9 2" xfId="6571" xr:uid="{00000000-0005-0000-0000-0000DB010000}"/>
    <cellStyle name="20% - Accent1 9 2 2" xfId="23441" xr:uid="{00000000-0005-0000-0000-0000DC010000}"/>
    <cellStyle name="20% - Accent1 9 2 2 2" xfId="40309" xr:uid="{FDCFCED9-B93F-409D-9937-F78A005A3DCB}"/>
    <cellStyle name="20% - Accent1 9 2 3" xfId="15006" xr:uid="{00000000-0005-0000-0000-0000DD010000}"/>
    <cellStyle name="20% - Accent1 9 2 4" xfId="31875" xr:uid="{D863B64D-3675-4C6C-8F6A-E8030AC7ABF1}"/>
    <cellStyle name="20% - Accent1 9 3" xfId="19223" xr:uid="{00000000-0005-0000-0000-0000DE010000}"/>
    <cellStyle name="20% - Accent1 9 3 2" xfId="36092" xr:uid="{EE675067-8A63-4C43-9B5B-7F6BFB7E51BA}"/>
    <cellStyle name="20% - Accent1 9 4" xfId="10788" xr:uid="{00000000-0005-0000-0000-0000DF010000}"/>
    <cellStyle name="20% - Accent1 9 5" xfId="27658" xr:uid="{7D649C29-3AA7-4543-B27D-7D91E4D4E101}"/>
    <cellStyle name="20% - Accent2" xfId="9" builtinId="34" customBuiltin="1"/>
    <cellStyle name="20% - Accent2 10" xfId="4513" xr:uid="{00000000-0005-0000-0000-0000E1010000}"/>
    <cellStyle name="20% - Accent2 10 2" xfId="21383" xr:uid="{00000000-0005-0000-0000-0000E2010000}"/>
    <cellStyle name="20% - Accent2 10 2 2" xfId="38251" xr:uid="{0D8DC834-C491-48B1-B22B-157C983EAC99}"/>
    <cellStyle name="20% - Accent2 10 3" xfId="12948" xr:uid="{00000000-0005-0000-0000-0000E3010000}"/>
    <cellStyle name="20% - Accent2 10 4" xfId="29817" xr:uid="{F033E3CC-7F38-4702-9CF1-36BA56336A14}"/>
    <cellStyle name="20% - Accent2 11" xfId="17165" xr:uid="{00000000-0005-0000-0000-0000E4010000}"/>
    <cellStyle name="20% - Accent2 11 2" xfId="34034" xr:uid="{6FB7B81B-AE75-4C95-8BF5-6E483A857B30}"/>
    <cellStyle name="20% - Accent2 12" xfId="8730" xr:uid="{00000000-0005-0000-0000-0000E5010000}"/>
    <cellStyle name="20% - Accent2 13" xfId="25600" xr:uid="{C6934250-B1F1-4A88-8C88-E600B254F63B}"/>
    <cellStyle name="20% - Accent2 2" xfId="10" xr:uid="{00000000-0005-0000-0000-0000E6010000}"/>
    <cellStyle name="20% - Accent2 2 10" xfId="17166" xr:uid="{00000000-0005-0000-0000-0000E7010000}"/>
    <cellStyle name="20% - Accent2 2 10 2" xfId="34035" xr:uid="{DF165E6B-56D6-4870-B0D6-E5A9D1D8543F}"/>
    <cellStyle name="20% - Accent2 2 11" xfId="8731" xr:uid="{00000000-0005-0000-0000-0000E8010000}"/>
    <cellStyle name="20% - Accent2 2 12" xfId="25601" xr:uid="{1CA6331F-25A7-43E3-84F2-9CD2E3728F7F}"/>
    <cellStyle name="20% - Accent2 2 2" xfId="11" xr:uid="{00000000-0005-0000-0000-0000E9010000}"/>
    <cellStyle name="20% - Accent2 2 2 10" xfId="8732" xr:uid="{00000000-0005-0000-0000-0000EA010000}"/>
    <cellStyle name="20% - Accent2 2 2 11" xfId="25602" xr:uid="{0544CE9B-62D9-47A5-B2A6-F3A5467C4718}"/>
    <cellStyle name="20% - Accent2 2 2 2" xfId="12" xr:uid="{00000000-0005-0000-0000-0000EB010000}"/>
    <cellStyle name="20% - Accent2 2 2 2 10" xfId="25603" xr:uid="{F58F0C7F-CB22-45C1-A022-F875299EC155}"/>
    <cellStyle name="20% - Accent2 2 2 2 2" xfId="581" xr:uid="{00000000-0005-0000-0000-0000EC010000}"/>
    <cellStyle name="20% - Accent2 2 2 2 2 2" xfId="2852" xr:uid="{00000000-0005-0000-0000-0000ED010000}"/>
    <cellStyle name="20% - Accent2 2 2 2 2 2 2" xfId="7075" xr:uid="{00000000-0005-0000-0000-0000EE010000}"/>
    <cellStyle name="20% - Accent2 2 2 2 2 2 2 2" xfId="23945" xr:uid="{00000000-0005-0000-0000-0000EF010000}"/>
    <cellStyle name="20% - Accent2 2 2 2 2 2 2 2 2" xfId="40813" xr:uid="{71B234AF-B1E7-40F0-BDFC-DE4109774E57}"/>
    <cellStyle name="20% - Accent2 2 2 2 2 2 2 3" xfId="15510" xr:uid="{00000000-0005-0000-0000-0000F0010000}"/>
    <cellStyle name="20% - Accent2 2 2 2 2 2 2 4" xfId="32379" xr:uid="{B27C1BA0-E2FF-4DBB-80C0-001D859DBF01}"/>
    <cellStyle name="20% - Accent2 2 2 2 2 2 3" xfId="19727" xr:uid="{00000000-0005-0000-0000-0000F1010000}"/>
    <cellStyle name="20% - Accent2 2 2 2 2 2 3 2" xfId="36596" xr:uid="{55A6CF13-F5D8-484E-A536-B0B760374492}"/>
    <cellStyle name="20% - Accent2 2 2 2 2 2 4" xfId="11292" xr:uid="{00000000-0005-0000-0000-0000F2010000}"/>
    <cellStyle name="20% - Accent2 2 2 2 2 2 5" xfId="28162" xr:uid="{BF2ADE46-EE1D-46D1-8A01-319EA9ADA957}"/>
    <cellStyle name="20% - Accent2 2 2 2 2 3" xfId="4930" xr:uid="{00000000-0005-0000-0000-0000F3010000}"/>
    <cellStyle name="20% - Accent2 2 2 2 2 3 2" xfId="21800" xr:uid="{00000000-0005-0000-0000-0000F4010000}"/>
    <cellStyle name="20% - Accent2 2 2 2 2 3 2 2" xfId="38668" xr:uid="{E431D3E8-13FF-4200-A6A3-888737289364}"/>
    <cellStyle name="20% - Accent2 2 2 2 2 3 3" xfId="13365" xr:uid="{00000000-0005-0000-0000-0000F5010000}"/>
    <cellStyle name="20% - Accent2 2 2 2 2 3 4" xfId="30234" xr:uid="{3A535616-2233-44AB-B901-F8A0C3D5BBCB}"/>
    <cellStyle name="20% - Accent2 2 2 2 2 4" xfId="17582" xr:uid="{00000000-0005-0000-0000-0000F6010000}"/>
    <cellStyle name="20% - Accent2 2 2 2 2 4 2" xfId="34451" xr:uid="{3D365A3E-9E36-4B8C-B907-C95706F922E2}"/>
    <cellStyle name="20% - Accent2 2 2 2 2 5" xfId="9147" xr:uid="{00000000-0005-0000-0000-0000F7010000}"/>
    <cellStyle name="20% - Accent2 2 2 2 2 6" xfId="26017" xr:uid="{BDBC92DC-8943-4C38-B317-9080223AF290}"/>
    <cellStyle name="20% - Accent2 2 2 2 3" xfId="1034" xr:uid="{00000000-0005-0000-0000-0000F8010000}"/>
    <cellStyle name="20% - Accent2 2 2 2 3 2" xfId="3265" xr:uid="{00000000-0005-0000-0000-0000F9010000}"/>
    <cellStyle name="20% - Accent2 2 2 2 3 2 2" xfId="7488" xr:uid="{00000000-0005-0000-0000-0000FA010000}"/>
    <cellStyle name="20% - Accent2 2 2 2 3 2 2 2" xfId="24358" xr:uid="{00000000-0005-0000-0000-0000FB010000}"/>
    <cellStyle name="20% - Accent2 2 2 2 3 2 2 2 2" xfId="41226" xr:uid="{07613B0F-5BF3-47E0-99D4-1CA434FACA21}"/>
    <cellStyle name="20% - Accent2 2 2 2 3 2 2 3" xfId="15923" xr:uid="{00000000-0005-0000-0000-0000FC010000}"/>
    <cellStyle name="20% - Accent2 2 2 2 3 2 2 4" xfId="32792" xr:uid="{4C1206DF-C747-4FFA-820A-CB4D03434E55}"/>
    <cellStyle name="20% - Accent2 2 2 2 3 2 3" xfId="20140" xr:uid="{00000000-0005-0000-0000-0000FD010000}"/>
    <cellStyle name="20% - Accent2 2 2 2 3 2 3 2" xfId="37009" xr:uid="{6140F9D0-AFC1-41DB-A6BE-C622EF734D0E}"/>
    <cellStyle name="20% - Accent2 2 2 2 3 2 4" xfId="11705" xr:uid="{00000000-0005-0000-0000-0000FE010000}"/>
    <cellStyle name="20% - Accent2 2 2 2 3 2 5" xfId="28575" xr:uid="{2777B3D2-2543-4F64-BA38-47A7E0F5F659}"/>
    <cellStyle name="20% - Accent2 2 2 2 3 3" xfId="5343" xr:uid="{00000000-0005-0000-0000-0000FF010000}"/>
    <cellStyle name="20% - Accent2 2 2 2 3 3 2" xfId="22213" xr:uid="{00000000-0005-0000-0000-000000020000}"/>
    <cellStyle name="20% - Accent2 2 2 2 3 3 2 2" xfId="39081" xr:uid="{55AEF2DA-9CBE-42DF-AA7C-5B130E1E3D9F}"/>
    <cellStyle name="20% - Accent2 2 2 2 3 3 3" xfId="13778" xr:uid="{00000000-0005-0000-0000-000001020000}"/>
    <cellStyle name="20% - Accent2 2 2 2 3 3 4" xfId="30647" xr:uid="{3998AA93-8424-46B8-A72F-448552179E59}"/>
    <cellStyle name="20% - Accent2 2 2 2 3 4" xfId="17995" xr:uid="{00000000-0005-0000-0000-000002020000}"/>
    <cellStyle name="20% - Accent2 2 2 2 3 4 2" xfId="34864" xr:uid="{6E20B31C-1185-4A97-BC59-24BDDFBCEE94}"/>
    <cellStyle name="20% - Accent2 2 2 2 3 5" xfId="9560" xr:uid="{00000000-0005-0000-0000-000003020000}"/>
    <cellStyle name="20% - Accent2 2 2 2 3 6" xfId="26430" xr:uid="{B525BB56-CDDD-4030-97C0-850E9BE77B2B}"/>
    <cellStyle name="20% - Accent2 2 2 2 4" xfId="1448" xr:uid="{00000000-0005-0000-0000-000004020000}"/>
    <cellStyle name="20% - Accent2 2 2 2 4 2" xfId="3678" xr:uid="{00000000-0005-0000-0000-000005020000}"/>
    <cellStyle name="20% - Accent2 2 2 2 4 2 2" xfId="7901" xr:uid="{00000000-0005-0000-0000-000006020000}"/>
    <cellStyle name="20% - Accent2 2 2 2 4 2 2 2" xfId="24771" xr:uid="{00000000-0005-0000-0000-000007020000}"/>
    <cellStyle name="20% - Accent2 2 2 2 4 2 2 2 2" xfId="41639" xr:uid="{13AF3B12-FFA8-4E7A-9252-8F1958CF74FE}"/>
    <cellStyle name="20% - Accent2 2 2 2 4 2 2 3" xfId="16336" xr:uid="{00000000-0005-0000-0000-000008020000}"/>
    <cellStyle name="20% - Accent2 2 2 2 4 2 2 4" xfId="33205" xr:uid="{DD1FBB85-119D-45FB-857E-9CBBCC865024}"/>
    <cellStyle name="20% - Accent2 2 2 2 4 2 3" xfId="20553" xr:uid="{00000000-0005-0000-0000-000009020000}"/>
    <cellStyle name="20% - Accent2 2 2 2 4 2 3 2" xfId="37422" xr:uid="{1C7609BF-0CAE-42E9-89CD-2BAADDA3F2FE}"/>
    <cellStyle name="20% - Accent2 2 2 2 4 2 4" xfId="12118" xr:uid="{00000000-0005-0000-0000-00000A020000}"/>
    <cellStyle name="20% - Accent2 2 2 2 4 2 5" xfId="28988" xr:uid="{A1331215-1568-4BD5-BD44-359F6E8BEEB0}"/>
    <cellStyle name="20% - Accent2 2 2 2 4 3" xfId="5756" xr:uid="{00000000-0005-0000-0000-00000B020000}"/>
    <cellStyle name="20% - Accent2 2 2 2 4 3 2" xfId="22626" xr:uid="{00000000-0005-0000-0000-00000C020000}"/>
    <cellStyle name="20% - Accent2 2 2 2 4 3 2 2" xfId="39494" xr:uid="{08093A16-8B02-4677-B8AB-EBB1EAB8772C}"/>
    <cellStyle name="20% - Accent2 2 2 2 4 3 3" xfId="14191" xr:uid="{00000000-0005-0000-0000-00000D020000}"/>
    <cellStyle name="20% - Accent2 2 2 2 4 3 4" xfId="31060" xr:uid="{BEEDBC9A-37ED-407B-B663-33F39D37F574}"/>
    <cellStyle name="20% - Accent2 2 2 2 4 4" xfId="18408" xr:uid="{00000000-0005-0000-0000-00000E020000}"/>
    <cellStyle name="20% - Accent2 2 2 2 4 4 2" xfId="35277" xr:uid="{673D2FF7-518C-4FBF-92FD-77DA8621ED34}"/>
    <cellStyle name="20% - Accent2 2 2 2 4 5" xfId="9973" xr:uid="{00000000-0005-0000-0000-00000F020000}"/>
    <cellStyle name="20% - Accent2 2 2 2 4 6" xfId="26843" xr:uid="{694E82D1-0567-486E-A4BB-DA8B4A3E3C5F}"/>
    <cellStyle name="20% - Accent2 2 2 2 5" xfId="1862" xr:uid="{00000000-0005-0000-0000-000010020000}"/>
    <cellStyle name="20% - Accent2 2 2 2 5 2" xfId="4091" xr:uid="{00000000-0005-0000-0000-000011020000}"/>
    <cellStyle name="20% - Accent2 2 2 2 5 2 2" xfId="8314" xr:uid="{00000000-0005-0000-0000-000012020000}"/>
    <cellStyle name="20% - Accent2 2 2 2 5 2 2 2" xfId="25184" xr:uid="{00000000-0005-0000-0000-000013020000}"/>
    <cellStyle name="20% - Accent2 2 2 2 5 2 2 2 2" xfId="42052" xr:uid="{12AE9DA3-06F8-46EB-A8BA-E75218F5570D}"/>
    <cellStyle name="20% - Accent2 2 2 2 5 2 2 3" xfId="16749" xr:uid="{00000000-0005-0000-0000-000014020000}"/>
    <cellStyle name="20% - Accent2 2 2 2 5 2 2 4" xfId="33618" xr:uid="{B80D684A-EA24-46C9-9571-9C199929E4CD}"/>
    <cellStyle name="20% - Accent2 2 2 2 5 2 3" xfId="20966" xr:uid="{00000000-0005-0000-0000-000015020000}"/>
    <cellStyle name="20% - Accent2 2 2 2 5 2 3 2" xfId="37835" xr:uid="{DF7CAC1E-E5D0-47C8-B491-0978556389E0}"/>
    <cellStyle name="20% - Accent2 2 2 2 5 2 4" xfId="12531" xr:uid="{00000000-0005-0000-0000-000016020000}"/>
    <cellStyle name="20% - Accent2 2 2 2 5 2 5" xfId="29401" xr:uid="{83C2364D-F535-4DE5-AA9D-846C3285B94D}"/>
    <cellStyle name="20% - Accent2 2 2 2 5 3" xfId="6169" xr:uid="{00000000-0005-0000-0000-000017020000}"/>
    <cellStyle name="20% - Accent2 2 2 2 5 3 2" xfId="23039" xr:uid="{00000000-0005-0000-0000-000018020000}"/>
    <cellStyle name="20% - Accent2 2 2 2 5 3 2 2" xfId="39907" xr:uid="{1CEC47D0-72B9-4D91-A6CB-7744671400BC}"/>
    <cellStyle name="20% - Accent2 2 2 2 5 3 3" xfId="14604" xr:uid="{00000000-0005-0000-0000-000019020000}"/>
    <cellStyle name="20% - Accent2 2 2 2 5 3 4" xfId="31473" xr:uid="{F165D331-52A6-4FB0-9FB0-2F5326C44EA4}"/>
    <cellStyle name="20% - Accent2 2 2 2 5 4" xfId="18821" xr:uid="{00000000-0005-0000-0000-00001A020000}"/>
    <cellStyle name="20% - Accent2 2 2 2 5 4 2" xfId="35690" xr:uid="{A07822EA-2C87-4F67-8712-B1CC75BB3BAA}"/>
    <cellStyle name="20% - Accent2 2 2 2 5 5" xfId="10386" xr:uid="{00000000-0005-0000-0000-00001B020000}"/>
    <cellStyle name="20% - Accent2 2 2 2 5 6" xfId="27256" xr:uid="{A32E0AFD-5DB5-44BF-BE79-CB09A1BE1289}"/>
    <cellStyle name="20% - Accent2 2 2 2 6" xfId="2275" xr:uid="{00000000-0005-0000-0000-00001C020000}"/>
    <cellStyle name="20% - Accent2 2 2 2 6 2" xfId="6582" xr:uid="{00000000-0005-0000-0000-00001D020000}"/>
    <cellStyle name="20% - Accent2 2 2 2 6 2 2" xfId="23452" xr:uid="{00000000-0005-0000-0000-00001E020000}"/>
    <cellStyle name="20% - Accent2 2 2 2 6 2 2 2" xfId="40320" xr:uid="{CE201984-4678-467C-B119-6116F8072163}"/>
    <cellStyle name="20% - Accent2 2 2 2 6 2 3" xfId="15017" xr:uid="{00000000-0005-0000-0000-00001F020000}"/>
    <cellStyle name="20% - Accent2 2 2 2 6 2 4" xfId="31886" xr:uid="{E20974DE-22D2-4CFC-AD98-B84EFD7D0522}"/>
    <cellStyle name="20% - Accent2 2 2 2 6 3" xfId="19234" xr:uid="{00000000-0005-0000-0000-000020020000}"/>
    <cellStyle name="20% - Accent2 2 2 2 6 3 2" xfId="36103" xr:uid="{831735D6-2A34-437B-ADA0-16FA18C03594}"/>
    <cellStyle name="20% - Accent2 2 2 2 6 4" xfId="10799" xr:uid="{00000000-0005-0000-0000-000021020000}"/>
    <cellStyle name="20% - Accent2 2 2 2 6 5" xfId="27669" xr:uid="{5F8DF39E-3D22-477E-915C-231455468037}"/>
    <cellStyle name="20% - Accent2 2 2 2 7" xfId="4516" xr:uid="{00000000-0005-0000-0000-000022020000}"/>
    <cellStyle name="20% - Accent2 2 2 2 7 2" xfId="21386" xr:uid="{00000000-0005-0000-0000-000023020000}"/>
    <cellStyle name="20% - Accent2 2 2 2 7 2 2" xfId="38254" xr:uid="{A100E870-FADC-406A-83B1-E081FFE1E8AB}"/>
    <cellStyle name="20% - Accent2 2 2 2 7 3" xfId="12951" xr:uid="{00000000-0005-0000-0000-000024020000}"/>
    <cellStyle name="20% - Accent2 2 2 2 7 4" xfId="29820" xr:uid="{127AA510-2C35-4963-94E1-BFC75CD9DD61}"/>
    <cellStyle name="20% - Accent2 2 2 2 8" xfId="17168" xr:uid="{00000000-0005-0000-0000-000025020000}"/>
    <cellStyle name="20% - Accent2 2 2 2 8 2" xfId="34037" xr:uid="{238CD784-4A5F-4E56-954C-AB790DE1F223}"/>
    <cellStyle name="20% - Accent2 2 2 2 9" xfId="8733" xr:uid="{00000000-0005-0000-0000-000026020000}"/>
    <cellStyle name="20% - Accent2 2 2 3" xfId="580" xr:uid="{00000000-0005-0000-0000-000027020000}"/>
    <cellStyle name="20% - Accent2 2 2 3 2" xfId="2851" xr:uid="{00000000-0005-0000-0000-000028020000}"/>
    <cellStyle name="20% - Accent2 2 2 3 2 2" xfId="7074" xr:uid="{00000000-0005-0000-0000-000029020000}"/>
    <cellStyle name="20% - Accent2 2 2 3 2 2 2" xfId="23944" xr:uid="{00000000-0005-0000-0000-00002A020000}"/>
    <cellStyle name="20% - Accent2 2 2 3 2 2 2 2" xfId="40812" xr:uid="{6BC37816-6237-4F72-84AB-B079D7BB54FE}"/>
    <cellStyle name="20% - Accent2 2 2 3 2 2 3" xfId="15509" xr:uid="{00000000-0005-0000-0000-00002B020000}"/>
    <cellStyle name="20% - Accent2 2 2 3 2 2 4" xfId="32378" xr:uid="{CF172374-DDF3-4A69-9672-833746D5D48C}"/>
    <cellStyle name="20% - Accent2 2 2 3 2 3" xfId="19726" xr:uid="{00000000-0005-0000-0000-00002C020000}"/>
    <cellStyle name="20% - Accent2 2 2 3 2 3 2" xfId="36595" xr:uid="{B18D04D4-3796-4C66-8E74-FE568E3B4991}"/>
    <cellStyle name="20% - Accent2 2 2 3 2 4" xfId="11291" xr:uid="{00000000-0005-0000-0000-00002D020000}"/>
    <cellStyle name="20% - Accent2 2 2 3 2 5" xfId="28161" xr:uid="{980AA1E3-262C-4A7E-AFE3-FDBFA6EE4F75}"/>
    <cellStyle name="20% - Accent2 2 2 3 3" xfId="4929" xr:uid="{00000000-0005-0000-0000-00002E020000}"/>
    <cellStyle name="20% - Accent2 2 2 3 3 2" xfId="21799" xr:uid="{00000000-0005-0000-0000-00002F020000}"/>
    <cellStyle name="20% - Accent2 2 2 3 3 2 2" xfId="38667" xr:uid="{2C88B0BF-AB87-42AC-BFA5-DF2C90F71A2C}"/>
    <cellStyle name="20% - Accent2 2 2 3 3 3" xfId="13364" xr:uid="{00000000-0005-0000-0000-000030020000}"/>
    <cellStyle name="20% - Accent2 2 2 3 3 4" xfId="30233" xr:uid="{D14302AB-C883-4E13-AB28-79A363E58507}"/>
    <cellStyle name="20% - Accent2 2 2 3 4" xfId="17581" xr:uid="{00000000-0005-0000-0000-000031020000}"/>
    <cellStyle name="20% - Accent2 2 2 3 4 2" xfId="34450" xr:uid="{3B4D334F-50EF-48A1-8363-2EDC0AABACD5}"/>
    <cellStyle name="20% - Accent2 2 2 3 5" xfId="9146" xr:uid="{00000000-0005-0000-0000-000032020000}"/>
    <cellStyle name="20% - Accent2 2 2 3 6" xfId="26016" xr:uid="{E3D81397-8606-4D11-8A70-382B571BF4B8}"/>
    <cellStyle name="20% - Accent2 2 2 4" xfId="1033" xr:uid="{00000000-0005-0000-0000-000033020000}"/>
    <cellStyle name="20% - Accent2 2 2 4 2" xfId="3264" xr:uid="{00000000-0005-0000-0000-000034020000}"/>
    <cellStyle name="20% - Accent2 2 2 4 2 2" xfId="7487" xr:uid="{00000000-0005-0000-0000-000035020000}"/>
    <cellStyle name="20% - Accent2 2 2 4 2 2 2" xfId="24357" xr:uid="{00000000-0005-0000-0000-000036020000}"/>
    <cellStyle name="20% - Accent2 2 2 4 2 2 2 2" xfId="41225" xr:uid="{9796E2C1-8909-4FC4-B07F-1FFADEE5DDAA}"/>
    <cellStyle name="20% - Accent2 2 2 4 2 2 3" xfId="15922" xr:uid="{00000000-0005-0000-0000-000037020000}"/>
    <cellStyle name="20% - Accent2 2 2 4 2 2 4" xfId="32791" xr:uid="{A9E20B74-DD7C-4F3C-9FFC-23CC6D733DDA}"/>
    <cellStyle name="20% - Accent2 2 2 4 2 3" xfId="20139" xr:uid="{00000000-0005-0000-0000-000038020000}"/>
    <cellStyle name="20% - Accent2 2 2 4 2 3 2" xfId="37008" xr:uid="{9A37C71E-180D-4509-A271-C167B08D9C9C}"/>
    <cellStyle name="20% - Accent2 2 2 4 2 4" xfId="11704" xr:uid="{00000000-0005-0000-0000-000039020000}"/>
    <cellStyle name="20% - Accent2 2 2 4 2 5" xfId="28574" xr:uid="{E7581C32-3F87-4A38-8FC0-2707F1011863}"/>
    <cellStyle name="20% - Accent2 2 2 4 3" xfId="5342" xr:uid="{00000000-0005-0000-0000-00003A020000}"/>
    <cellStyle name="20% - Accent2 2 2 4 3 2" xfId="22212" xr:uid="{00000000-0005-0000-0000-00003B020000}"/>
    <cellStyle name="20% - Accent2 2 2 4 3 2 2" xfId="39080" xr:uid="{0B41CCE8-176A-46D0-A0D4-7A7EF2C9072D}"/>
    <cellStyle name="20% - Accent2 2 2 4 3 3" xfId="13777" xr:uid="{00000000-0005-0000-0000-00003C020000}"/>
    <cellStyle name="20% - Accent2 2 2 4 3 4" xfId="30646" xr:uid="{DFFDD520-8C64-4C07-B820-2BDF4632ACE7}"/>
    <cellStyle name="20% - Accent2 2 2 4 4" xfId="17994" xr:uid="{00000000-0005-0000-0000-00003D020000}"/>
    <cellStyle name="20% - Accent2 2 2 4 4 2" xfId="34863" xr:uid="{985FC1ED-9E4D-4291-90A3-6B1F06E6FAEA}"/>
    <cellStyle name="20% - Accent2 2 2 4 5" xfId="9559" xr:uid="{00000000-0005-0000-0000-00003E020000}"/>
    <cellStyle name="20% - Accent2 2 2 4 6" xfId="26429" xr:uid="{E29FFFAA-615C-4FDE-A5FE-47B4325B71D3}"/>
    <cellStyle name="20% - Accent2 2 2 5" xfId="1447" xr:uid="{00000000-0005-0000-0000-00003F020000}"/>
    <cellStyle name="20% - Accent2 2 2 5 2" xfId="3677" xr:uid="{00000000-0005-0000-0000-000040020000}"/>
    <cellStyle name="20% - Accent2 2 2 5 2 2" xfId="7900" xr:uid="{00000000-0005-0000-0000-000041020000}"/>
    <cellStyle name="20% - Accent2 2 2 5 2 2 2" xfId="24770" xr:uid="{00000000-0005-0000-0000-000042020000}"/>
    <cellStyle name="20% - Accent2 2 2 5 2 2 2 2" xfId="41638" xr:uid="{E61F3D5C-07EF-47B4-AAB3-2C068E864D7C}"/>
    <cellStyle name="20% - Accent2 2 2 5 2 2 3" xfId="16335" xr:uid="{00000000-0005-0000-0000-000043020000}"/>
    <cellStyle name="20% - Accent2 2 2 5 2 2 4" xfId="33204" xr:uid="{9B9039BA-AF20-49E2-AF9F-81347D3F7D9E}"/>
    <cellStyle name="20% - Accent2 2 2 5 2 3" xfId="20552" xr:uid="{00000000-0005-0000-0000-000044020000}"/>
    <cellStyle name="20% - Accent2 2 2 5 2 3 2" xfId="37421" xr:uid="{3BC26A33-DEDB-443D-90E9-F59E3A5DB261}"/>
    <cellStyle name="20% - Accent2 2 2 5 2 4" xfId="12117" xr:uid="{00000000-0005-0000-0000-000045020000}"/>
    <cellStyle name="20% - Accent2 2 2 5 2 5" xfId="28987" xr:uid="{AEC6EBC9-EBB0-4529-92DD-62EAF8C7A30C}"/>
    <cellStyle name="20% - Accent2 2 2 5 3" xfId="5755" xr:uid="{00000000-0005-0000-0000-000046020000}"/>
    <cellStyle name="20% - Accent2 2 2 5 3 2" xfId="22625" xr:uid="{00000000-0005-0000-0000-000047020000}"/>
    <cellStyle name="20% - Accent2 2 2 5 3 2 2" xfId="39493" xr:uid="{F991628B-777D-468E-82D9-99DDEFF5B491}"/>
    <cellStyle name="20% - Accent2 2 2 5 3 3" xfId="14190" xr:uid="{00000000-0005-0000-0000-000048020000}"/>
    <cellStyle name="20% - Accent2 2 2 5 3 4" xfId="31059" xr:uid="{1C94E637-6F5C-4D7A-A01D-81E0A285389F}"/>
    <cellStyle name="20% - Accent2 2 2 5 4" xfId="18407" xr:uid="{00000000-0005-0000-0000-000049020000}"/>
    <cellStyle name="20% - Accent2 2 2 5 4 2" xfId="35276" xr:uid="{E6F786DC-1BA9-41E0-9929-3DBF05B7853D}"/>
    <cellStyle name="20% - Accent2 2 2 5 5" xfId="9972" xr:uid="{00000000-0005-0000-0000-00004A020000}"/>
    <cellStyle name="20% - Accent2 2 2 5 6" xfId="26842" xr:uid="{8F44A6E6-9268-4111-A672-5933C3AFC44D}"/>
    <cellStyle name="20% - Accent2 2 2 6" xfId="1861" xr:uid="{00000000-0005-0000-0000-00004B020000}"/>
    <cellStyle name="20% - Accent2 2 2 6 2" xfId="4090" xr:uid="{00000000-0005-0000-0000-00004C020000}"/>
    <cellStyle name="20% - Accent2 2 2 6 2 2" xfId="8313" xr:uid="{00000000-0005-0000-0000-00004D020000}"/>
    <cellStyle name="20% - Accent2 2 2 6 2 2 2" xfId="25183" xr:uid="{00000000-0005-0000-0000-00004E020000}"/>
    <cellStyle name="20% - Accent2 2 2 6 2 2 2 2" xfId="42051" xr:uid="{DE798C3A-16D9-47F1-B00B-6510A60E2A41}"/>
    <cellStyle name="20% - Accent2 2 2 6 2 2 3" xfId="16748" xr:uid="{00000000-0005-0000-0000-00004F020000}"/>
    <cellStyle name="20% - Accent2 2 2 6 2 2 4" xfId="33617" xr:uid="{B141E7E6-3E29-4265-A028-557B9B179688}"/>
    <cellStyle name="20% - Accent2 2 2 6 2 3" xfId="20965" xr:uid="{00000000-0005-0000-0000-000050020000}"/>
    <cellStyle name="20% - Accent2 2 2 6 2 3 2" xfId="37834" xr:uid="{51130F65-8C89-4080-A9DD-24E829B885F6}"/>
    <cellStyle name="20% - Accent2 2 2 6 2 4" xfId="12530" xr:uid="{00000000-0005-0000-0000-000051020000}"/>
    <cellStyle name="20% - Accent2 2 2 6 2 5" xfId="29400" xr:uid="{D6F8EAF8-6FC0-41F6-BD3B-59F71E4EFEEB}"/>
    <cellStyle name="20% - Accent2 2 2 6 3" xfId="6168" xr:uid="{00000000-0005-0000-0000-000052020000}"/>
    <cellStyle name="20% - Accent2 2 2 6 3 2" xfId="23038" xr:uid="{00000000-0005-0000-0000-000053020000}"/>
    <cellStyle name="20% - Accent2 2 2 6 3 2 2" xfId="39906" xr:uid="{F6236C54-586D-46E4-B064-3A6D58B5D8F0}"/>
    <cellStyle name="20% - Accent2 2 2 6 3 3" xfId="14603" xr:uid="{00000000-0005-0000-0000-000054020000}"/>
    <cellStyle name="20% - Accent2 2 2 6 3 4" xfId="31472" xr:uid="{7D992B06-F161-47FB-A523-040EEDEA328B}"/>
    <cellStyle name="20% - Accent2 2 2 6 4" xfId="18820" xr:uid="{00000000-0005-0000-0000-000055020000}"/>
    <cellStyle name="20% - Accent2 2 2 6 4 2" xfId="35689" xr:uid="{06968BDD-48CF-49DD-A074-7A56B71C24BE}"/>
    <cellStyle name="20% - Accent2 2 2 6 5" xfId="10385" xr:uid="{00000000-0005-0000-0000-000056020000}"/>
    <cellStyle name="20% - Accent2 2 2 6 6" xfId="27255" xr:uid="{F556D126-2832-43B3-88AC-90C4A9C67C37}"/>
    <cellStyle name="20% - Accent2 2 2 7" xfId="2274" xr:uid="{00000000-0005-0000-0000-000057020000}"/>
    <cellStyle name="20% - Accent2 2 2 7 2" xfId="6581" xr:uid="{00000000-0005-0000-0000-000058020000}"/>
    <cellStyle name="20% - Accent2 2 2 7 2 2" xfId="23451" xr:uid="{00000000-0005-0000-0000-000059020000}"/>
    <cellStyle name="20% - Accent2 2 2 7 2 2 2" xfId="40319" xr:uid="{058311B1-F05E-47CE-BAD7-CDE0F1788D2C}"/>
    <cellStyle name="20% - Accent2 2 2 7 2 3" xfId="15016" xr:uid="{00000000-0005-0000-0000-00005A020000}"/>
    <cellStyle name="20% - Accent2 2 2 7 2 4" xfId="31885" xr:uid="{96C0E794-1AA8-48C3-9D2F-EFA2892DD917}"/>
    <cellStyle name="20% - Accent2 2 2 7 3" xfId="19233" xr:uid="{00000000-0005-0000-0000-00005B020000}"/>
    <cellStyle name="20% - Accent2 2 2 7 3 2" xfId="36102" xr:uid="{AE366F79-7EA6-49E5-8D3A-4440059B64C7}"/>
    <cellStyle name="20% - Accent2 2 2 7 4" xfId="10798" xr:uid="{00000000-0005-0000-0000-00005C020000}"/>
    <cellStyle name="20% - Accent2 2 2 7 5" xfId="27668" xr:uid="{13711299-4140-41C9-9345-5B1C875DCCA8}"/>
    <cellStyle name="20% - Accent2 2 2 8" xfId="4515" xr:uid="{00000000-0005-0000-0000-00005D020000}"/>
    <cellStyle name="20% - Accent2 2 2 8 2" xfId="21385" xr:uid="{00000000-0005-0000-0000-00005E020000}"/>
    <cellStyle name="20% - Accent2 2 2 8 2 2" xfId="38253" xr:uid="{5BAFF266-D569-4DF0-BC2F-7DC8F2839545}"/>
    <cellStyle name="20% - Accent2 2 2 8 3" xfId="12950" xr:uid="{00000000-0005-0000-0000-00005F020000}"/>
    <cellStyle name="20% - Accent2 2 2 8 4" xfId="29819" xr:uid="{C6A04381-E974-44ED-84ED-873B5FB8EA04}"/>
    <cellStyle name="20% - Accent2 2 2 9" xfId="17167" xr:uid="{00000000-0005-0000-0000-000060020000}"/>
    <cellStyle name="20% - Accent2 2 2 9 2" xfId="34036" xr:uid="{9DE0DCAA-9EC3-43EB-81A3-215C91CD648F}"/>
    <cellStyle name="20% - Accent2 2 3" xfId="13" xr:uid="{00000000-0005-0000-0000-000061020000}"/>
    <cellStyle name="20% - Accent2 2 3 10" xfId="25604" xr:uid="{6692BFBF-173F-4723-B0DD-E0E935CF4ECF}"/>
    <cellStyle name="20% - Accent2 2 3 2" xfId="582" xr:uid="{00000000-0005-0000-0000-000062020000}"/>
    <cellStyle name="20% - Accent2 2 3 2 2" xfId="2853" xr:uid="{00000000-0005-0000-0000-000063020000}"/>
    <cellStyle name="20% - Accent2 2 3 2 2 2" xfId="7076" xr:uid="{00000000-0005-0000-0000-000064020000}"/>
    <cellStyle name="20% - Accent2 2 3 2 2 2 2" xfId="23946" xr:uid="{00000000-0005-0000-0000-000065020000}"/>
    <cellStyle name="20% - Accent2 2 3 2 2 2 2 2" xfId="40814" xr:uid="{11D2927F-1205-4663-8D21-85D3422DAB38}"/>
    <cellStyle name="20% - Accent2 2 3 2 2 2 3" xfId="15511" xr:uid="{00000000-0005-0000-0000-000066020000}"/>
    <cellStyle name="20% - Accent2 2 3 2 2 2 4" xfId="32380" xr:uid="{BC2A1D7F-F88B-48E2-AA13-7F08759142D1}"/>
    <cellStyle name="20% - Accent2 2 3 2 2 3" xfId="19728" xr:uid="{00000000-0005-0000-0000-000067020000}"/>
    <cellStyle name="20% - Accent2 2 3 2 2 3 2" xfId="36597" xr:uid="{ED806B9A-833F-4C60-84B8-D5CCB6E02629}"/>
    <cellStyle name="20% - Accent2 2 3 2 2 4" xfId="11293" xr:uid="{00000000-0005-0000-0000-000068020000}"/>
    <cellStyle name="20% - Accent2 2 3 2 2 5" xfId="28163" xr:uid="{6C9E6D83-0759-4646-B4E8-C7F08554D7F8}"/>
    <cellStyle name="20% - Accent2 2 3 2 3" xfId="4931" xr:uid="{00000000-0005-0000-0000-000069020000}"/>
    <cellStyle name="20% - Accent2 2 3 2 3 2" xfId="21801" xr:uid="{00000000-0005-0000-0000-00006A020000}"/>
    <cellStyle name="20% - Accent2 2 3 2 3 2 2" xfId="38669" xr:uid="{918AEE7C-A1C8-46D6-AAEA-E63A50E720BC}"/>
    <cellStyle name="20% - Accent2 2 3 2 3 3" xfId="13366" xr:uid="{00000000-0005-0000-0000-00006B020000}"/>
    <cellStyle name="20% - Accent2 2 3 2 3 4" xfId="30235" xr:uid="{9BB7D4CF-FC34-4649-BD5D-7D5D4A78CA22}"/>
    <cellStyle name="20% - Accent2 2 3 2 4" xfId="17583" xr:uid="{00000000-0005-0000-0000-00006C020000}"/>
    <cellStyle name="20% - Accent2 2 3 2 4 2" xfId="34452" xr:uid="{BBB15D67-862B-4ED6-BD68-41A028448F22}"/>
    <cellStyle name="20% - Accent2 2 3 2 5" xfId="9148" xr:uid="{00000000-0005-0000-0000-00006D020000}"/>
    <cellStyle name="20% - Accent2 2 3 2 6" xfId="26018" xr:uid="{91A8CA49-07F3-492D-99F3-E495CF87F8F9}"/>
    <cellStyle name="20% - Accent2 2 3 3" xfId="1035" xr:uid="{00000000-0005-0000-0000-00006E020000}"/>
    <cellStyle name="20% - Accent2 2 3 3 2" xfId="3266" xr:uid="{00000000-0005-0000-0000-00006F020000}"/>
    <cellStyle name="20% - Accent2 2 3 3 2 2" xfId="7489" xr:uid="{00000000-0005-0000-0000-000070020000}"/>
    <cellStyle name="20% - Accent2 2 3 3 2 2 2" xfId="24359" xr:uid="{00000000-0005-0000-0000-000071020000}"/>
    <cellStyle name="20% - Accent2 2 3 3 2 2 2 2" xfId="41227" xr:uid="{623D2C5E-8B22-4211-B67C-2FD5CDECC43F}"/>
    <cellStyle name="20% - Accent2 2 3 3 2 2 3" xfId="15924" xr:uid="{00000000-0005-0000-0000-000072020000}"/>
    <cellStyle name="20% - Accent2 2 3 3 2 2 4" xfId="32793" xr:uid="{732BFABE-7B26-46FC-BC08-3D5DA64C1BCF}"/>
    <cellStyle name="20% - Accent2 2 3 3 2 3" xfId="20141" xr:uid="{00000000-0005-0000-0000-000073020000}"/>
    <cellStyle name="20% - Accent2 2 3 3 2 3 2" xfId="37010" xr:uid="{D31F977E-E190-45B0-BD12-45CDF278BA88}"/>
    <cellStyle name="20% - Accent2 2 3 3 2 4" xfId="11706" xr:uid="{00000000-0005-0000-0000-000074020000}"/>
    <cellStyle name="20% - Accent2 2 3 3 2 5" xfId="28576" xr:uid="{543E3AC8-5EB7-4B24-AB27-5013E4810477}"/>
    <cellStyle name="20% - Accent2 2 3 3 3" xfId="5344" xr:uid="{00000000-0005-0000-0000-000075020000}"/>
    <cellStyle name="20% - Accent2 2 3 3 3 2" xfId="22214" xr:uid="{00000000-0005-0000-0000-000076020000}"/>
    <cellStyle name="20% - Accent2 2 3 3 3 2 2" xfId="39082" xr:uid="{144AEC5A-78A3-4802-A31D-C02AB8E87FDC}"/>
    <cellStyle name="20% - Accent2 2 3 3 3 3" xfId="13779" xr:uid="{00000000-0005-0000-0000-000077020000}"/>
    <cellStyle name="20% - Accent2 2 3 3 3 4" xfId="30648" xr:uid="{02C7B3A8-FA3A-4195-AEC9-1CFE82E0C52A}"/>
    <cellStyle name="20% - Accent2 2 3 3 4" xfId="17996" xr:uid="{00000000-0005-0000-0000-000078020000}"/>
    <cellStyle name="20% - Accent2 2 3 3 4 2" xfId="34865" xr:uid="{53A55332-0BF5-4910-8507-8E728DFA69B6}"/>
    <cellStyle name="20% - Accent2 2 3 3 5" xfId="9561" xr:uid="{00000000-0005-0000-0000-000079020000}"/>
    <cellStyle name="20% - Accent2 2 3 3 6" xfId="26431" xr:uid="{A41C53DC-B643-44C2-8059-C09E377B5619}"/>
    <cellStyle name="20% - Accent2 2 3 4" xfId="1449" xr:uid="{00000000-0005-0000-0000-00007A020000}"/>
    <cellStyle name="20% - Accent2 2 3 4 2" xfId="3679" xr:uid="{00000000-0005-0000-0000-00007B020000}"/>
    <cellStyle name="20% - Accent2 2 3 4 2 2" xfId="7902" xr:uid="{00000000-0005-0000-0000-00007C020000}"/>
    <cellStyle name="20% - Accent2 2 3 4 2 2 2" xfId="24772" xr:uid="{00000000-0005-0000-0000-00007D020000}"/>
    <cellStyle name="20% - Accent2 2 3 4 2 2 2 2" xfId="41640" xr:uid="{A40F536E-1797-4FF2-B67C-7342DA2BCBA3}"/>
    <cellStyle name="20% - Accent2 2 3 4 2 2 3" xfId="16337" xr:uid="{00000000-0005-0000-0000-00007E020000}"/>
    <cellStyle name="20% - Accent2 2 3 4 2 2 4" xfId="33206" xr:uid="{718C38C4-0D68-47D1-AE11-F5C97A2D437B}"/>
    <cellStyle name="20% - Accent2 2 3 4 2 3" xfId="20554" xr:uid="{00000000-0005-0000-0000-00007F020000}"/>
    <cellStyle name="20% - Accent2 2 3 4 2 3 2" xfId="37423" xr:uid="{3C86D9DA-8691-46D6-AE20-2CD6CF61835B}"/>
    <cellStyle name="20% - Accent2 2 3 4 2 4" xfId="12119" xr:uid="{00000000-0005-0000-0000-000080020000}"/>
    <cellStyle name="20% - Accent2 2 3 4 2 5" xfId="28989" xr:uid="{89CE8780-25CE-4F32-95E5-7D2EFDDAE8A4}"/>
    <cellStyle name="20% - Accent2 2 3 4 3" xfId="5757" xr:uid="{00000000-0005-0000-0000-000081020000}"/>
    <cellStyle name="20% - Accent2 2 3 4 3 2" xfId="22627" xr:uid="{00000000-0005-0000-0000-000082020000}"/>
    <cellStyle name="20% - Accent2 2 3 4 3 2 2" xfId="39495" xr:uid="{89359701-758C-43E5-8B7F-C59630D32B9F}"/>
    <cellStyle name="20% - Accent2 2 3 4 3 3" xfId="14192" xr:uid="{00000000-0005-0000-0000-000083020000}"/>
    <cellStyle name="20% - Accent2 2 3 4 3 4" xfId="31061" xr:uid="{D8923226-9020-48E5-AF1F-37F10C0AF2E2}"/>
    <cellStyle name="20% - Accent2 2 3 4 4" xfId="18409" xr:uid="{00000000-0005-0000-0000-000084020000}"/>
    <cellStyle name="20% - Accent2 2 3 4 4 2" xfId="35278" xr:uid="{C3AD26BB-9886-4C3F-A4D4-85C089C2BDB7}"/>
    <cellStyle name="20% - Accent2 2 3 4 5" xfId="9974" xr:uid="{00000000-0005-0000-0000-000085020000}"/>
    <cellStyle name="20% - Accent2 2 3 4 6" xfId="26844" xr:uid="{7CA64569-BE7C-4414-9BD0-B58EDBC5B6D8}"/>
    <cellStyle name="20% - Accent2 2 3 5" xfId="1863" xr:uid="{00000000-0005-0000-0000-000086020000}"/>
    <cellStyle name="20% - Accent2 2 3 5 2" xfId="4092" xr:uid="{00000000-0005-0000-0000-000087020000}"/>
    <cellStyle name="20% - Accent2 2 3 5 2 2" xfId="8315" xr:uid="{00000000-0005-0000-0000-000088020000}"/>
    <cellStyle name="20% - Accent2 2 3 5 2 2 2" xfId="25185" xr:uid="{00000000-0005-0000-0000-000089020000}"/>
    <cellStyle name="20% - Accent2 2 3 5 2 2 2 2" xfId="42053" xr:uid="{6AC8C3A8-F621-4BAE-A091-17316DCE6AC8}"/>
    <cellStyle name="20% - Accent2 2 3 5 2 2 3" xfId="16750" xr:uid="{00000000-0005-0000-0000-00008A020000}"/>
    <cellStyle name="20% - Accent2 2 3 5 2 2 4" xfId="33619" xr:uid="{9EC3CC06-03C4-407A-B3C0-2791C730DEA8}"/>
    <cellStyle name="20% - Accent2 2 3 5 2 3" xfId="20967" xr:uid="{00000000-0005-0000-0000-00008B020000}"/>
    <cellStyle name="20% - Accent2 2 3 5 2 3 2" xfId="37836" xr:uid="{0B5CECE9-9A8F-4FDC-9485-2E316785A04E}"/>
    <cellStyle name="20% - Accent2 2 3 5 2 4" xfId="12532" xr:uid="{00000000-0005-0000-0000-00008C020000}"/>
    <cellStyle name="20% - Accent2 2 3 5 2 5" xfId="29402" xr:uid="{C31BA109-58F3-4004-824C-5198F784A35D}"/>
    <cellStyle name="20% - Accent2 2 3 5 3" xfId="6170" xr:uid="{00000000-0005-0000-0000-00008D020000}"/>
    <cellStyle name="20% - Accent2 2 3 5 3 2" xfId="23040" xr:uid="{00000000-0005-0000-0000-00008E020000}"/>
    <cellStyle name="20% - Accent2 2 3 5 3 2 2" xfId="39908" xr:uid="{F93F8E48-138D-4FF6-9956-26D36AEDD2D9}"/>
    <cellStyle name="20% - Accent2 2 3 5 3 3" xfId="14605" xr:uid="{00000000-0005-0000-0000-00008F020000}"/>
    <cellStyle name="20% - Accent2 2 3 5 3 4" xfId="31474" xr:uid="{E2826139-245F-4F05-A00D-FF41333E713F}"/>
    <cellStyle name="20% - Accent2 2 3 5 4" xfId="18822" xr:uid="{00000000-0005-0000-0000-000090020000}"/>
    <cellStyle name="20% - Accent2 2 3 5 4 2" xfId="35691" xr:uid="{05136B2B-3629-4A2C-855B-909A9B42932F}"/>
    <cellStyle name="20% - Accent2 2 3 5 5" xfId="10387" xr:uid="{00000000-0005-0000-0000-000091020000}"/>
    <cellStyle name="20% - Accent2 2 3 5 6" xfId="27257" xr:uid="{4E67E829-FEAA-4A27-B8CB-A26A30286631}"/>
    <cellStyle name="20% - Accent2 2 3 6" xfId="2276" xr:uid="{00000000-0005-0000-0000-000092020000}"/>
    <cellStyle name="20% - Accent2 2 3 6 2" xfId="6583" xr:uid="{00000000-0005-0000-0000-000093020000}"/>
    <cellStyle name="20% - Accent2 2 3 6 2 2" xfId="23453" xr:uid="{00000000-0005-0000-0000-000094020000}"/>
    <cellStyle name="20% - Accent2 2 3 6 2 2 2" xfId="40321" xr:uid="{24177B4C-C7A4-4ECA-851F-34C0224DA0C6}"/>
    <cellStyle name="20% - Accent2 2 3 6 2 3" xfId="15018" xr:uid="{00000000-0005-0000-0000-000095020000}"/>
    <cellStyle name="20% - Accent2 2 3 6 2 4" xfId="31887" xr:uid="{4AC7774C-E84F-4C4E-AB40-649499892142}"/>
    <cellStyle name="20% - Accent2 2 3 6 3" xfId="19235" xr:uid="{00000000-0005-0000-0000-000096020000}"/>
    <cellStyle name="20% - Accent2 2 3 6 3 2" xfId="36104" xr:uid="{89F62B5F-2AEE-4BF5-A58D-E4E290A9D1A1}"/>
    <cellStyle name="20% - Accent2 2 3 6 4" xfId="10800" xr:uid="{00000000-0005-0000-0000-000097020000}"/>
    <cellStyle name="20% - Accent2 2 3 6 5" xfId="27670" xr:uid="{3727B2E9-D0AC-4836-9B3A-5288EC5F4DB2}"/>
    <cellStyle name="20% - Accent2 2 3 7" xfId="4517" xr:uid="{00000000-0005-0000-0000-000098020000}"/>
    <cellStyle name="20% - Accent2 2 3 7 2" xfId="21387" xr:uid="{00000000-0005-0000-0000-000099020000}"/>
    <cellStyle name="20% - Accent2 2 3 7 2 2" xfId="38255" xr:uid="{FB2296EF-2E84-40C3-BC0E-755D032EC9B3}"/>
    <cellStyle name="20% - Accent2 2 3 7 3" xfId="12952" xr:uid="{00000000-0005-0000-0000-00009A020000}"/>
    <cellStyle name="20% - Accent2 2 3 7 4" xfId="29821" xr:uid="{1DB8E2B7-E7F1-407E-9133-5887D182E8F1}"/>
    <cellStyle name="20% - Accent2 2 3 8" xfId="17169" xr:uid="{00000000-0005-0000-0000-00009B020000}"/>
    <cellStyle name="20% - Accent2 2 3 8 2" xfId="34038" xr:uid="{EDDF6A90-2847-4FCF-82E6-A2DC1E00B59F}"/>
    <cellStyle name="20% - Accent2 2 3 9" xfId="8734" xr:uid="{00000000-0005-0000-0000-00009C020000}"/>
    <cellStyle name="20% - Accent2 2 4" xfId="579" xr:uid="{00000000-0005-0000-0000-00009D020000}"/>
    <cellStyle name="20% - Accent2 2 4 2" xfId="2850" xr:uid="{00000000-0005-0000-0000-00009E020000}"/>
    <cellStyle name="20% - Accent2 2 4 2 2" xfId="7073" xr:uid="{00000000-0005-0000-0000-00009F020000}"/>
    <cellStyle name="20% - Accent2 2 4 2 2 2" xfId="23943" xr:uid="{00000000-0005-0000-0000-0000A0020000}"/>
    <cellStyle name="20% - Accent2 2 4 2 2 2 2" xfId="40811" xr:uid="{5423EE2F-180D-42D6-9759-8F092C9FE932}"/>
    <cellStyle name="20% - Accent2 2 4 2 2 3" xfId="15508" xr:uid="{00000000-0005-0000-0000-0000A1020000}"/>
    <cellStyle name="20% - Accent2 2 4 2 2 4" xfId="32377" xr:uid="{FCB5C686-4DD1-4F08-A0A7-366E9D4554CE}"/>
    <cellStyle name="20% - Accent2 2 4 2 3" xfId="19725" xr:uid="{00000000-0005-0000-0000-0000A2020000}"/>
    <cellStyle name="20% - Accent2 2 4 2 3 2" xfId="36594" xr:uid="{E156996F-A1DC-4104-8153-D45C8854B1DD}"/>
    <cellStyle name="20% - Accent2 2 4 2 4" xfId="11290" xr:uid="{00000000-0005-0000-0000-0000A3020000}"/>
    <cellStyle name="20% - Accent2 2 4 2 5" xfId="28160" xr:uid="{EE47673A-46B6-4BBD-9954-380F5482960B}"/>
    <cellStyle name="20% - Accent2 2 4 3" xfId="4928" xr:uid="{00000000-0005-0000-0000-0000A4020000}"/>
    <cellStyle name="20% - Accent2 2 4 3 2" xfId="21798" xr:uid="{00000000-0005-0000-0000-0000A5020000}"/>
    <cellStyle name="20% - Accent2 2 4 3 2 2" xfId="38666" xr:uid="{B9D78644-104B-4DFD-AB68-D20920F83CFC}"/>
    <cellStyle name="20% - Accent2 2 4 3 3" xfId="13363" xr:uid="{00000000-0005-0000-0000-0000A6020000}"/>
    <cellStyle name="20% - Accent2 2 4 3 4" xfId="30232" xr:uid="{6E7FFC99-5DA8-4111-BC43-83B3F9F4C704}"/>
    <cellStyle name="20% - Accent2 2 4 4" xfId="17580" xr:uid="{00000000-0005-0000-0000-0000A7020000}"/>
    <cellStyle name="20% - Accent2 2 4 4 2" xfId="34449" xr:uid="{DB2497DA-A08E-48E6-97DC-B813145BE9F7}"/>
    <cellStyle name="20% - Accent2 2 4 5" xfId="9145" xr:uid="{00000000-0005-0000-0000-0000A8020000}"/>
    <cellStyle name="20% - Accent2 2 4 6" xfId="26015" xr:uid="{7D28F919-80F7-4416-8BB2-66E251AB3370}"/>
    <cellStyle name="20% - Accent2 2 5" xfId="1032" xr:uid="{00000000-0005-0000-0000-0000A9020000}"/>
    <cellStyle name="20% - Accent2 2 5 2" xfId="3263" xr:uid="{00000000-0005-0000-0000-0000AA020000}"/>
    <cellStyle name="20% - Accent2 2 5 2 2" xfId="7486" xr:uid="{00000000-0005-0000-0000-0000AB020000}"/>
    <cellStyle name="20% - Accent2 2 5 2 2 2" xfId="24356" xr:uid="{00000000-0005-0000-0000-0000AC020000}"/>
    <cellStyle name="20% - Accent2 2 5 2 2 2 2" xfId="41224" xr:uid="{21D65577-CE9F-4270-9284-38D4983098E0}"/>
    <cellStyle name="20% - Accent2 2 5 2 2 3" xfId="15921" xr:uid="{00000000-0005-0000-0000-0000AD020000}"/>
    <cellStyle name="20% - Accent2 2 5 2 2 4" xfId="32790" xr:uid="{DD3438C8-C010-4B74-B57E-C3A7B25032BF}"/>
    <cellStyle name="20% - Accent2 2 5 2 3" xfId="20138" xr:uid="{00000000-0005-0000-0000-0000AE020000}"/>
    <cellStyle name="20% - Accent2 2 5 2 3 2" xfId="37007" xr:uid="{59E68B79-D2D8-43A2-84DB-6170EF0583FD}"/>
    <cellStyle name="20% - Accent2 2 5 2 4" xfId="11703" xr:uid="{00000000-0005-0000-0000-0000AF020000}"/>
    <cellStyle name="20% - Accent2 2 5 2 5" xfId="28573" xr:uid="{F548AA24-9D6C-49B9-B1DB-CC590FDA2C6E}"/>
    <cellStyle name="20% - Accent2 2 5 3" xfId="5341" xr:uid="{00000000-0005-0000-0000-0000B0020000}"/>
    <cellStyle name="20% - Accent2 2 5 3 2" xfId="22211" xr:uid="{00000000-0005-0000-0000-0000B1020000}"/>
    <cellStyle name="20% - Accent2 2 5 3 2 2" xfId="39079" xr:uid="{B7AF7EA0-B037-4B23-8532-AD2F530C1F7F}"/>
    <cellStyle name="20% - Accent2 2 5 3 3" xfId="13776" xr:uid="{00000000-0005-0000-0000-0000B2020000}"/>
    <cellStyle name="20% - Accent2 2 5 3 4" xfId="30645" xr:uid="{B9333372-099B-4759-8F79-D1E33514F432}"/>
    <cellStyle name="20% - Accent2 2 5 4" xfId="17993" xr:uid="{00000000-0005-0000-0000-0000B3020000}"/>
    <cellStyle name="20% - Accent2 2 5 4 2" xfId="34862" xr:uid="{95C2806C-8FF2-405B-BADD-61C24E3560D0}"/>
    <cellStyle name="20% - Accent2 2 5 5" xfId="9558" xr:uid="{00000000-0005-0000-0000-0000B4020000}"/>
    <cellStyle name="20% - Accent2 2 5 6" xfId="26428" xr:uid="{6206B966-EA81-4D3D-B508-9F62B9F2EF2A}"/>
    <cellStyle name="20% - Accent2 2 6" xfId="1446" xr:uid="{00000000-0005-0000-0000-0000B5020000}"/>
    <cellStyle name="20% - Accent2 2 6 2" xfId="3676" xr:uid="{00000000-0005-0000-0000-0000B6020000}"/>
    <cellStyle name="20% - Accent2 2 6 2 2" xfId="7899" xr:uid="{00000000-0005-0000-0000-0000B7020000}"/>
    <cellStyle name="20% - Accent2 2 6 2 2 2" xfId="24769" xr:uid="{00000000-0005-0000-0000-0000B8020000}"/>
    <cellStyle name="20% - Accent2 2 6 2 2 2 2" xfId="41637" xr:uid="{45065093-C2FA-4408-A393-88E8DA27282C}"/>
    <cellStyle name="20% - Accent2 2 6 2 2 3" xfId="16334" xr:uid="{00000000-0005-0000-0000-0000B9020000}"/>
    <cellStyle name="20% - Accent2 2 6 2 2 4" xfId="33203" xr:uid="{CB778A0A-826E-4799-BA8F-6611675A553C}"/>
    <cellStyle name="20% - Accent2 2 6 2 3" xfId="20551" xr:uid="{00000000-0005-0000-0000-0000BA020000}"/>
    <cellStyle name="20% - Accent2 2 6 2 3 2" xfId="37420" xr:uid="{F47B02D0-9889-48FA-839D-5744BEF3645D}"/>
    <cellStyle name="20% - Accent2 2 6 2 4" xfId="12116" xr:uid="{00000000-0005-0000-0000-0000BB020000}"/>
    <cellStyle name="20% - Accent2 2 6 2 5" xfId="28986" xr:uid="{08CB6F5C-4452-4F9F-ADEB-9C2BC05B7652}"/>
    <cellStyle name="20% - Accent2 2 6 3" xfId="5754" xr:uid="{00000000-0005-0000-0000-0000BC020000}"/>
    <cellStyle name="20% - Accent2 2 6 3 2" xfId="22624" xr:uid="{00000000-0005-0000-0000-0000BD020000}"/>
    <cellStyle name="20% - Accent2 2 6 3 2 2" xfId="39492" xr:uid="{1058946B-7D36-46B4-BD58-C375CD5EA56D}"/>
    <cellStyle name="20% - Accent2 2 6 3 3" xfId="14189" xr:uid="{00000000-0005-0000-0000-0000BE020000}"/>
    <cellStyle name="20% - Accent2 2 6 3 4" xfId="31058" xr:uid="{F0A2C11D-81AA-4B14-817B-B6625FCBB028}"/>
    <cellStyle name="20% - Accent2 2 6 4" xfId="18406" xr:uid="{00000000-0005-0000-0000-0000BF020000}"/>
    <cellStyle name="20% - Accent2 2 6 4 2" xfId="35275" xr:uid="{809FB8A3-22D5-44F9-B44C-FB65D407367D}"/>
    <cellStyle name="20% - Accent2 2 6 5" xfId="9971" xr:uid="{00000000-0005-0000-0000-0000C0020000}"/>
    <cellStyle name="20% - Accent2 2 6 6" xfId="26841" xr:uid="{8608C671-75BF-412B-A6A9-D279E8E876B9}"/>
    <cellStyle name="20% - Accent2 2 7" xfId="1860" xr:uid="{00000000-0005-0000-0000-0000C1020000}"/>
    <cellStyle name="20% - Accent2 2 7 2" xfId="4089" xr:uid="{00000000-0005-0000-0000-0000C2020000}"/>
    <cellStyle name="20% - Accent2 2 7 2 2" xfId="8312" xr:uid="{00000000-0005-0000-0000-0000C3020000}"/>
    <cellStyle name="20% - Accent2 2 7 2 2 2" xfId="25182" xr:uid="{00000000-0005-0000-0000-0000C4020000}"/>
    <cellStyle name="20% - Accent2 2 7 2 2 2 2" xfId="42050" xr:uid="{3D8D1EC9-415C-4A97-8AFC-4FC97AB69D2B}"/>
    <cellStyle name="20% - Accent2 2 7 2 2 3" xfId="16747" xr:uid="{00000000-0005-0000-0000-0000C5020000}"/>
    <cellStyle name="20% - Accent2 2 7 2 2 4" xfId="33616" xr:uid="{F233DEC7-7FC7-4844-8D3F-244995BB6D60}"/>
    <cellStyle name="20% - Accent2 2 7 2 3" xfId="20964" xr:uid="{00000000-0005-0000-0000-0000C6020000}"/>
    <cellStyle name="20% - Accent2 2 7 2 3 2" xfId="37833" xr:uid="{518E774C-EA8C-4455-9CC1-3E9CE868B931}"/>
    <cellStyle name="20% - Accent2 2 7 2 4" xfId="12529" xr:uid="{00000000-0005-0000-0000-0000C7020000}"/>
    <cellStyle name="20% - Accent2 2 7 2 5" xfId="29399" xr:uid="{A75EFC07-16B8-4DD9-AB28-028DEAE63443}"/>
    <cellStyle name="20% - Accent2 2 7 3" xfId="6167" xr:uid="{00000000-0005-0000-0000-0000C8020000}"/>
    <cellStyle name="20% - Accent2 2 7 3 2" xfId="23037" xr:uid="{00000000-0005-0000-0000-0000C9020000}"/>
    <cellStyle name="20% - Accent2 2 7 3 2 2" xfId="39905" xr:uid="{DC11DF0B-592A-473A-9FD8-C9A5CC6F5B68}"/>
    <cellStyle name="20% - Accent2 2 7 3 3" xfId="14602" xr:uid="{00000000-0005-0000-0000-0000CA020000}"/>
    <cellStyle name="20% - Accent2 2 7 3 4" xfId="31471" xr:uid="{A6672B9D-C879-437E-8EDB-56DDEE7063FB}"/>
    <cellStyle name="20% - Accent2 2 7 4" xfId="18819" xr:uid="{00000000-0005-0000-0000-0000CB020000}"/>
    <cellStyle name="20% - Accent2 2 7 4 2" xfId="35688" xr:uid="{349B3B0A-00EE-4E25-8618-922DC6EFE3FF}"/>
    <cellStyle name="20% - Accent2 2 7 5" xfId="10384" xr:uid="{00000000-0005-0000-0000-0000CC020000}"/>
    <cellStyle name="20% - Accent2 2 7 6" xfId="27254" xr:uid="{357D31A1-5529-469D-BFC1-7F4663FD8CB5}"/>
    <cellStyle name="20% - Accent2 2 8" xfId="2273" xr:uid="{00000000-0005-0000-0000-0000CD020000}"/>
    <cellStyle name="20% - Accent2 2 8 2" xfId="6580" xr:uid="{00000000-0005-0000-0000-0000CE020000}"/>
    <cellStyle name="20% - Accent2 2 8 2 2" xfId="23450" xr:uid="{00000000-0005-0000-0000-0000CF020000}"/>
    <cellStyle name="20% - Accent2 2 8 2 2 2" xfId="40318" xr:uid="{7328FDFD-974C-45D4-A1BF-4BFC4D5E1F67}"/>
    <cellStyle name="20% - Accent2 2 8 2 3" xfId="15015" xr:uid="{00000000-0005-0000-0000-0000D0020000}"/>
    <cellStyle name="20% - Accent2 2 8 2 4" xfId="31884" xr:uid="{36633E4A-A533-4CC9-9CFF-EFDD1C81E611}"/>
    <cellStyle name="20% - Accent2 2 8 3" xfId="19232" xr:uid="{00000000-0005-0000-0000-0000D1020000}"/>
    <cellStyle name="20% - Accent2 2 8 3 2" xfId="36101" xr:uid="{F615FAD0-7732-4A52-B128-8AA545C85658}"/>
    <cellStyle name="20% - Accent2 2 8 4" xfId="10797" xr:uid="{00000000-0005-0000-0000-0000D2020000}"/>
    <cellStyle name="20% - Accent2 2 8 5" xfId="27667" xr:uid="{2BEB8AAF-5035-488D-8F45-C4EF68C352A4}"/>
    <cellStyle name="20% - Accent2 2 9" xfId="4514" xr:uid="{00000000-0005-0000-0000-0000D3020000}"/>
    <cellStyle name="20% - Accent2 2 9 2" xfId="21384" xr:uid="{00000000-0005-0000-0000-0000D4020000}"/>
    <cellStyle name="20% - Accent2 2 9 2 2" xfId="38252" xr:uid="{0BB63FE0-D7C7-4B1A-B224-1660FAFE833F}"/>
    <cellStyle name="20% - Accent2 2 9 3" xfId="12949" xr:uid="{00000000-0005-0000-0000-0000D5020000}"/>
    <cellStyle name="20% - Accent2 2 9 4" xfId="29818" xr:uid="{5FCB7DD7-5CE0-4A93-93B4-DAEEAFD56F69}"/>
    <cellStyle name="20% - Accent2 3" xfId="14" xr:uid="{00000000-0005-0000-0000-0000D6020000}"/>
    <cellStyle name="20% - Accent2 3 10" xfId="8735" xr:uid="{00000000-0005-0000-0000-0000D7020000}"/>
    <cellStyle name="20% - Accent2 3 11" xfId="25605" xr:uid="{16FD382D-F4AD-4569-9D4A-9785877500EF}"/>
    <cellStyle name="20% - Accent2 3 2" xfId="15" xr:uid="{00000000-0005-0000-0000-0000D8020000}"/>
    <cellStyle name="20% - Accent2 3 2 10" xfId="25606" xr:uid="{D4918600-A06D-473E-A07A-CD12B896F211}"/>
    <cellStyle name="20% - Accent2 3 2 2" xfId="584" xr:uid="{00000000-0005-0000-0000-0000D9020000}"/>
    <cellStyle name="20% - Accent2 3 2 2 2" xfId="2855" xr:uid="{00000000-0005-0000-0000-0000DA020000}"/>
    <cellStyle name="20% - Accent2 3 2 2 2 2" xfId="7078" xr:uid="{00000000-0005-0000-0000-0000DB020000}"/>
    <cellStyle name="20% - Accent2 3 2 2 2 2 2" xfId="23948" xr:uid="{00000000-0005-0000-0000-0000DC020000}"/>
    <cellStyle name="20% - Accent2 3 2 2 2 2 2 2" xfId="40816" xr:uid="{9A990B38-F66A-43FB-812B-870F3BE8F43C}"/>
    <cellStyle name="20% - Accent2 3 2 2 2 2 3" xfId="15513" xr:uid="{00000000-0005-0000-0000-0000DD020000}"/>
    <cellStyle name="20% - Accent2 3 2 2 2 2 4" xfId="32382" xr:uid="{DD606F4A-F38F-4233-A3C4-156356E9455B}"/>
    <cellStyle name="20% - Accent2 3 2 2 2 3" xfId="19730" xr:uid="{00000000-0005-0000-0000-0000DE020000}"/>
    <cellStyle name="20% - Accent2 3 2 2 2 3 2" xfId="36599" xr:uid="{92EEA581-861F-45C7-B19F-6A2B634E7D16}"/>
    <cellStyle name="20% - Accent2 3 2 2 2 4" xfId="11295" xr:uid="{00000000-0005-0000-0000-0000DF020000}"/>
    <cellStyle name="20% - Accent2 3 2 2 2 5" xfId="28165" xr:uid="{ED44F4D9-20D6-4803-A169-AF7C6921F6F0}"/>
    <cellStyle name="20% - Accent2 3 2 2 3" xfId="4933" xr:uid="{00000000-0005-0000-0000-0000E0020000}"/>
    <cellStyle name="20% - Accent2 3 2 2 3 2" xfId="21803" xr:uid="{00000000-0005-0000-0000-0000E1020000}"/>
    <cellStyle name="20% - Accent2 3 2 2 3 2 2" xfId="38671" xr:uid="{0A886D84-40DA-401A-A1ED-AC0467315D36}"/>
    <cellStyle name="20% - Accent2 3 2 2 3 3" xfId="13368" xr:uid="{00000000-0005-0000-0000-0000E2020000}"/>
    <cellStyle name="20% - Accent2 3 2 2 3 4" xfId="30237" xr:uid="{E815B115-B914-44E2-B9EA-B0018B06224D}"/>
    <cellStyle name="20% - Accent2 3 2 2 4" xfId="17585" xr:uid="{00000000-0005-0000-0000-0000E3020000}"/>
    <cellStyle name="20% - Accent2 3 2 2 4 2" xfId="34454" xr:uid="{C0AAD883-AD2B-4F6E-93D0-F0762A5409FB}"/>
    <cellStyle name="20% - Accent2 3 2 2 5" xfId="9150" xr:uid="{00000000-0005-0000-0000-0000E4020000}"/>
    <cellStyle name="20% - Accent2 3 2 2 6" xfId="26020" xr:uid="{8C25AACB-A0E9-4AFA-BDA8-1354E5EA0B27}"/>
    <cellStyle name="20% - Accent2 3 2 3" xfId="1037" xr:uid="{00000000-0005-0000-0000-0000E5020000}"/>
    <cellStyle name="20% - Accent2 3 2 3 2" xfId="3268" xr:uid="{00000000-0005-0000-0000-0000E6020000}"/>
    <cellStyle name="20% - Accent2 3 2 3 2 2" xfId="7491" xr:uid="{00000000-0005-0000-0000-0000E7020000}"/>
    <cellStyle name="20% - Accent2 3 2 3 2 2 2" xfId="24361" xr:uid="{00000000-0005-0000-0000-0000E8020000}"/>
    <cellStyle name="20% - Accent2 3 2 3 2 2 2 2" xfId="41229" xr:uid="{7BC2AE99-6F16-4748-A3C0-3677DC1735E1}"/>
    <cellStyle name="20% - Accent2 3 2 3 2 2 3" xfId="15926" xr:uid="{00000000-0005-0000-0000-0000E9020000}"/>
    <cellStyle name="20% - Accent2 3 2 3 2 2 4" xfId="32795" xr:uid="{ED9765A6-B9F6-4854-8BBF-F9185450061F}"/>
    <cellStyle name="20% - Accent2 3 2 3 2 3" xfId="20143" xr:uid="{00000000-0005-0000-0000-0000EA020000}"/>
    <cellStyle name="20% - Accent2 3 2 3 2 3 2" xfId="37012" xr:uid="{32FCFF72-8EEA-4249-B6FE-C6B121C64F0D}"/>
    <cellStyle name="20% - Accent2 3 2 3 2 4" xfId="11708" xr:uid="{00000000-0005-0000-0000-0000EB020000}"/>
    <cellStyle name="20% - Accent2 3 2 3 2 5" xfId="28578" xr:uid="{1E38686A-2012-4879-BBF6-81D228CCC914}"/>
    <cellStyle name="20% - Accent2 3 2 3 3" xfId="5346" xr:uid="{00000000-0005-0000-0000-0000EC020000}"/>
    <cellStyle name="20% - Accent2 3 2 3 3 2" xfId="22216" xr:uid="{00000000-0005-0000-0000-0000ED020000}"/>
    <cellStyle name="20% - Accent2 3 2 3 3 2 2" xfId="39084" xr:uid="{34E409A6-357C-429D-AB82-C466A70BC62E}"/>
    <cellStyle name="20% - Accent2 3 2 3 3 3" xfId="13781" xr:uid="{00000000-0005-0000-0000-0000EE020000}"/>
    <cellStyle name="20% - Accent2 3 2 3 3 4" xfId="30650" xr:uid="{FBF84367-3901-4EE3-83CE-629F96022B6F}"/>
    <cellStyle name="20% - Accent2 3 2 3 4" xfId="17998" xr:uid="{00000000-0005-0000-0000-0000EF020000}"/>
    <cellStyle name="20% - Accent2 3 2 3 4 2" xfId="34867" xr:uid="{130537B9-B7CD-4434-83D8-F334820A98AE}"/>
    <cellStyle name="20% - Accent2 3 2 3 5" xfId="9563" xr:uid="{00000000-0005-0000-0000-0000F0020000}"/>
    <cellStyle name="20% - Accent2 3 2 3 6" xfId="26433" xr:uid="{DCBF8315-9984-486E-A6B3-8E692667F178}"/>
    <cellStyle name="20% - Accent2 3 2 4" xfId="1451" xr:uid="{00000000-0005-0000-0000-0000F1020000}"/>
    <cellStyle name="20% - Accent2 3 2 4 2" xfId="3681" xr:uid="{00000000-0005-0000-0000-0000F2020000}"/>
    <cellStyle name="20% - Accent2 3 2 4 2 2" xfId="7904" xr:uid="{00000000-0005-0000-0000-0000F3020000}"/>
    <cellStyle name="20% - Accent2 3 2 4 2 2 2" xfId="24774" xr:uid="{00000000-0005-0000-0000-0000F4020000}"/>
    <cellStyle name="20% - Accent2 3 2 4 2 2 2 2" xfId="41642" xr:uid="{8C49FF7A-B270-42E6-8760-D638D4CF4009}"/>
    <cellStyle name="20% - Accent2 3 2 4 2 2 3" xfId="16339" xr:uid="{00000000-0005-0000-0000-0000F5020000}"/>
    <cellStyle name="20% - Accent2 3 2 4 2 2 4" xfId="33208" xr:uid="{B235C491-EDEA-4435-8D14-F69BCF0036F8}"/>
    <cellStyle name="20% - Accent2 3 2 4 2 3" xfId="20556" xr:uid="{00000000-0005-0000-0000-0000F6020000}"/>
    <cellStyle name="20% - Accent2 3 2 4 2 3 2" xfId="37425" xr:uid="{60E5D660-36CC-476E-9F06-2127BFC6BAD7}"/>
    <cellStyle name="20% - Accent2 3 2 4 2 4" xfId="12121" xr:uid="{00000000-0005-0000-0000-0000F7020000}"/>
    <cellStyle name="20% - Accent2 3 2 4 2 5" xfId="28991" xr:uid="{105DA32C-4989-4F65-9110-CE07236B9D52}"/>
    <cellStyle name="20% - Accent2 3 2 4 3" xfId="5759" xr:uid="{00000000-0005-0000-0000-0000F8020000}"/>
    <cellStyle name="20% - Accent2 3 2 4 3 2" xfId="22629" xr:uid="{00000000-0005-0000-0000-0000F9020000}"/>
    <cellStyle name="20% - Accent2 3 2 4 3 2 2" xfId="39497" xr:uid="{98AB7D17-6C9E-4F13-A219-8E5A2AF4A5BC}"/>
    <cellStyle name="20% - Accent2 3 2 4 3 3" xfId="14194" xr:uid="{00000000-0005-0000-0000-0000FA020000}"/>
    <cellStyle name="20% - Accent2 3 2 4 3 4" xfId="31063" xr:uid="{5119E094-FD6C-4937-8360-7EBE385010C9}"/>
    <cellStyle name="20% - Accent2 3 2 4 4" xfId="18411" xr:uid="{00000000-0005-0000-0000-0000FB020000}"/>
    <cellStyle name="20% - Accent2 3 2 4 4 2" xfId="35280" xr:uid="{5CDFEF74-7AC0-4441-92E2-4973CBB48EB5}"/>
    <cellStyle name="20% - Accent2 3 2 4 5" xfId="9976" xr:uid="{00000000-0005-0000-0000-0000FC020000}"/>
    <cellStyle name="20% - Accent2 3 2 4 6" xfId="26846" xr:uid="{C8697B97-2299-43B7-A1CA-2FB0D05BF6BB}"/>
    <cellStyle name="20% - Accent2 3 2 5" xfId="1865" xr:uid="{00000000-0005-0000-0000-0000FD020000}"/>
    <cellStyle name="20% - Accent2 3 2 5 2" xfId="4094" xr:uid="{00000000-0005-0000-0000-0000FE020000}"/>
    <cellStyle name="20% - Accent2 3 2 5 2 2" xfId="8317" xr:uid="{00000000-0005-0000-0000-0000FF020000}"/>
    <cellStyle name="20% - Accent2 3 2 5 2 2 2" xfId="25187" xr:uid="{00000000-0005-0000-0000-000000030000}"/>
    <cellStyle name="20% - Accent2 3 2 5 2 2 2 2" xfId="42055" xr:uid="{847867F0-BA13-4744-BFB7-A3FB55C5B899}"/>
    <cellStyle name="20% - Accent2 3 2 5 2 2 3" xfId="16752" xr:uid="{00000000-0005-0000-0000-000001030000}"/>
    <cellStyle name="20% - Accent2 3 2 5 2 2 4" xfId="33621" xr:uid="{A4A792B7-B45D-4CD5-9437-BC45630A6F70}"/>
    <cellStyle name="20% - Accent2 3 2 5 2 3" xfId="20969" xr:uid="{00000000-0005-0000-0000-000002030000}"/>
    <cellStyle name="20% - Accent2 3 2 5 2 3 2" xfId="37838" xr:uid="{D1D7A017-06DE-4B6F-BCA9-1DE37507AC48}"/>
    <cellStyle name="20% - Accent2 3 2 5 2 4" xfId="12534" xr:uid="{00000000-0005-0000-0000-000003030000}"/>
    <cellStyle name="20% - Accent2 3 2 5 2 5" xfId="29404" xr:uid="{80324240-9358-43F5-AE23-4419B44A8EF4}"/>
    <cellStyle name="20% - Accent2 3 2 5 3" xfId="6172" xr:uid="{00000000-0005-0000-0000-000004030000}"/>
    <cellStyle name="20% - Accent2 3 2 5 3 2" xfId="23042" xr:uid="{00000000-0005-0000-0000-000005030000}"/>
    <cellStyle name="20% - Accent2 3 2 5 3 2 2" xfId="39910" xr:uid="{29010B3A-9960-4AB5-BD5A-9A4FB60F9459}"/>
    <cellStyle name="20% - Accent2 3 2 5 3 3" xfId="14607" xr:uid="{00000000-0005-0000-0000-000006030000}"/>
    <cellStyle name="20% - Accent2 3 2 5 3 4" xfId="31476" xr:uid="{9BBB2BD3-4DA7-474B-B656-0AED0CEFAFF7}"/>
    <cellStyle name="20% - Accent2 3 2 5 4" xfId="18824" xr:uid="{00000000-0005-0000-0000-000007030000}"/>
    <cellStyle name="20% - Accent2 3 2 5 4 2" xfId="35693" xr:uid="{4DF60653-A800-4543-9C6D-7C40F5FBF6F1}"/>
    <cellStyle name="20% - Accent2 3 2 5 5" xfId="10389" xr:uid="{00000000-0005-0000-0000-000008030000}"/>
    <cellStyle name="20% - Accent2 3 2 5 6" xfId="27259" xr:uid="{9483CAA2-EBAC-4C24-A4B8-CB59004F3EC4}"/>
    <cellStyle name="20% - Accent2 3 2 6" xfId="2278" xr:uid="{00000000-0005-0000-0000-000009030000}"/>
    <cellStyle name="20% - Accent2 3 2 6 2" xfId="6585" xr:uid="{00000000-0005-0000-0000-00000A030000}"/>
    <cellStyle name="20% - Accent2 3 2 6 2 2" xfId="23455" xr:uid="{00000000-0005-0000-0000-00000B030000}"/>
    <cellStyle name="20% - Accent2 3 2 6 2 2 2" xfId="40323" xr:uid="{D87B3324-D0C8-482D-82B4-01A867CF1087}"/>
    <cellStyle name="20% - Accent2 3 2 6 2 3" xfId="15020" xr:uid="{00000000-0005-0000-0000-00000C030000}"/>
    <cellStyle name="20% - Accent2 3 2 6 2 4" xfId="31889" xr:uid="{6194CA41-529F-44FC-ACA3-1AE1856B6767}"/>
    <cellStyle name="20% - Accent2 3 2 6 3" xfId="19237" xr:uid="{00000000-0005-0000-0000-00000D030000}"/>
    <cellStyle name="20% - Accent2 3 2 6 3 2" xfId="36106" xr:uid="{C063C70E-9FAE-44FC-82D5-760154161136}"/>
    <cellStyle name="20% - Accent2 3 2 6 4" xfId="10802" xr:uid="{00000000-0005-0000-0000-00000E030000}"/>
    <cellStyle name="20% - Accent2 3 2 6 5" xfId="27672" xr:uid="{62847E38-FA5D-4FF8-8B5E-F299BC0BD130}"/>
    <cellStyle name="20% - Accent2 3 2 7" xfId="4519" xr:uid="{00000000-0005-0000-0000-00000F030000}"/>
    <cellStyle name="20% - Accent2 3 2 7 2" xfId="21389" xr:uid="{00000000-0005-0000-0000-000010030000}"/>
    <cellStyle name="20% - Accent2 3 2 7 2 2" xfId="38257" xr:uid="{21B53721-9896-4467-8D31-8DD2535E0F33}"/>
    <cellStyle name="20% - Accent2 3 2 7 3" xfId="12954" xr:uid="{00000000-0005-0000-0000-000011030000}"/>
    <cellStyle name="20% - Accent2 3 2 7 4" xfId="29823" xr:uid="{244BA3AC-D39D-4E91-95FC-329030982A44}"/>
    <cellStyle name="20% - Accent2 3 2 8" xfId="17171" xr:uid="{00000000-0005-0000-0000-000012030000}"/>
    <cellStyle name="20% - Accent2 3 2 8 2" xfId="34040" xr:uid="{FE2C8C62-4C74-44FF-9DDB-5F563C76CBB6}"/>
    <cellStyle name="20% - Accent2 3 2 9" xfId="8736" xr:uid="{00000000-0005-0000-0000-000013030000}"/>
    <cellStyle name="20% - Accent2 3 3" xfId="583" xr:uid="{00000000-0005-0000-0000-000014030000}"/>
    <cellStyle name="20% - Accent2 3 3 2" xfId="2854" xr:uid="{00000000-0005-0000-0000-000015030000}"/>
    <cellStyle name="20% - Accent2 3 3 2 2" xfId="7077" xr:uid="{00000000-0005-0000-0000-000016030000}"/>
    <cellStyle name="20% - Accent2 3 3 2 2 2" xfId="23947" xr:uid="{00000000-0005-0000-0000-000017030000}"/>
    <cellStyle name="20% - Accent2 3 3 2 2 2 2" xfId="40815" xr:uid="{DD6ABDA8-AC4E-49A9-8ADF-EC2C2BF32045}"/>
    <cellStyle name="20% - Accent2 3 3 2 2 3" xfId="15512" xr:uid="{00000000-0005-0000-0000-000018030000}"/>
    <cellStyle name="20% - Accent2 3 3 2 2 4" xfId="32381" xr:uid="{70560F75-1A6F-4CEC-A155-62547084CEBF}"/>
    <cellStyle name="20% - Accent2 3 3 2 3" xfId="19729" xr:uid="{00000000-0005-0000-0000-000019030000}"/>
    <cellStyle name="20% - Accent2 3 3 2 3 2" xfId="36598" xr:uid="{E53C069D-443C-47A6-BFE8-188DC4F4C5F1}"/>
    <cellStyle name="20% - Accent2 3 3 2 4" xfId="11294" xr:uid="{00000000-0005-0000-0000-00001A030000}"/>
    <cellStyle name="20% - Accent2 3 3 2 5" xfId="28164" xr:uid="{7F9BAD6A-37DC-4808-ADCE-D7C693D87928}"/>
    <cellStyle name="20% - Accent2 3 3 3" xfId="4932" xr:uid="{00000000-0005-0000-0000-00001B030000}"/>
    <cellStyle name="20% - Accent2 3 3 3 2" xfId="21802" xr:uid="{00000000-0005-0000-0000-00001C030000}"/>
    <cellStyle name="20% - Accent2 3 3 3 2 2" xfId="38670" xr:uid="{7741161A-5748-4A3D-A1CC-6F99757A027E}"/>
    <cellStyle name="20% - Accent2 3 3 3 3" xfId="13367" xr:uid="{00000000-0005-0000-0000-00001D030000}"/>
    <cellStyle name="20% - Accent2 3 3 3 4" xfId="30236" xr:uid="{C1053CF8-7B4A-4565-90B7-DEB42A0CD99A}"/>
    <cellStyle name="20% - Accent2 3 3 4" xfId="17584" xr:uid="{00000000-0005-0000-0000-00001E030000}"/>
    <cellStyle name="20% - Accent2 3 3 4 2" xfId="34453" xr:uid="{B26EA455-DD57-410F-9E42-36CFB2E84EC5}"/>
    <cellStyle name="20% - Accent2 3 3 5" xfId="9149" xr:uid="{00000000-0005-0000-0000-00001F030000}"/>
    <cellStyle name="20% - Accent2 3 3 6" xfId="26019" xr:uid="{6A58DB15-19E9-47A8-8124-1A02C09F2D2A}"/>
    <cellStyle name="20% - Accent2 3 4" xfId="1036" xr:uid="{00000000-0005-0000-0000-000020030000}"/>
    <cellStyle name="20% - Accent2 3 4 2" xfId="3267" xr:uid="{00000000-0005-0000-0000-000021030000}"/>
    <cellStyle name="20% - Accent2 3 4 2 2" xfId="7490" xr:uid="{00000000-0005-0000-0000-000022030000}"/>
    <cellStyle name="20% - Accent2 3 4 2 2 2" xfId="24360" xr:uid="{00000000-0005-0000-0000-000023030000}"/>
    <cellStyle name="20% - Accent2 3 4 2 2 2 2" xfId="41228" xr:uid="{ABC3FEE9-013D-4E6F-9A4B-CA101A8B201F}"/>
    <cellStyle name="20% - Accent2 3 4 2 2 3" xfId="15925" xr:uid="{00000000-0005-0000-0000-000024030000}"/>
    <cellStyle name="20% - Accent2 3 4 2 2 4" xfId="32794" xr:uid="{FD70258F-AB98-497E-8EDF-8B9722F1823A}"/>
    <cellStyle name="20% - Accent2 3 4 2 3" xfId="20142" xr:uid="{00000000-0005-0000-0000-000025030000}"/>
    <cellStyle name="20% - Accent2 3 4 2 3 2" xfId="37011" xr:uid="{0BD76098-F25D-43D4-8ACA-25B7232BDDF7}"/>
    <cellStyle name="20% - Accent2 3 4 2 4" xfId="11707" xr:uid="{00000000-0005-0000-0000-000026030000}"/>
    <cellStyle name="20% - Accent2 3 4 2 5" xfId="28577" xr:uid="{2B20A60E-19A9-4512-A4DC-BAAC9F37CB12}"/>
    <cellStyle name="20% - Accent2 3 4 3" xfId="5345" xr:uid="{00000000-0005-0000-0000-000027030000}"/>
    <cellStyle name="20% - Accent2 3 4 3 2" xfId="22215" xr:uid="{00000000-0005-0000-0000-000028030000}"/>
    <cellStyle name="20% - Accent2 3 4 3 2 2" xfId="39083" xr:uid="{25ADA70D-884C-470C-B685-2CC78E68A021}"/>
    <cellStyle name="20% - Accent2 3 4 3 3" xfId="13780" xr:uid="{00000000-0005-0000-0000-000029030000}"/>
    <cellStyle name="20% - Accent2 3 4 3 4" xfId="30649" xr:uid="{FAF58AED-6BB9-47D3-BAED-5FAF1037AD70}"/>
    <cellStyle name="20% - Accent2 3 4 4" xfId="17997" xr:uid="{00000000-0005-0000-0000-00002A030000}"/>
    <cellStyle name="20% - Accent2 3 4 4 2" xfId="34866" xr:uid="{8E178705-390C-4DA8-9B68-42C56E42CB67}"/>
    <cellStyle name="20% - Accent2 3 4 5" xfId="9562" xr:uid="{00000000-0005-0000-0000-00002B030000}"/>
    <cellStyle name="20% - Accent2 3 4 6" xfId="26432" xr:uid="{CD8BEA03-0232-4AD0-89F8-FBBB5ACC8F93}"/>
    <cellStyle name="20% - Accent2 3 5" xfId="1450" xr:uid="{00000000-0005-0000-0000-00002C030000}"/>
    <cellStyle name="20% - Accent2 3 5 2" xfId="3680" xr:uid="{00000000-0005-0000-0000-00002D030000}"/>
    <cellStyle name="20% - Accent2 3 5 2 2" xfId="7903" xr:uid="{00000000-0005-0000-0000-00002E030000}"/>
    <cellStyle name="20% - Accent2 3 5 2 2 2" xfId="24773" xr:uid="{00000000-0005-0000-0000-00002F030000}"/>
    <cellStyle name="20% - Accent2 3 5 2 2 2 2" xfId="41641" xr:uid="{2BD5A89F-4304-466A-B65A-2342A5FEA01E}"/>
    <cellStyle name="20% - Accent2 3 5 2 2 3" xfId="16338" xr:uid="{00000000-0005-0000-0000-000030030000}"/>
    <cellStyle name="20% - Accent2 3 5 2 2 4" xfId="33207" xr:uid="{086D4FF2-F9D1-4BF4-9496-EBD0BFC3B9E5}"/>
    <cellStyle name="20% - Accent2 3 5 2 3" xfId="20555" xr:uid="{00000000-0005-0000-0000-000031030000}"/>
    <cellStyle name="20% - Accent2 3 5 2 3 2" xfId="37424" xr:uid="{5B5CDEDE-F1AE-4656-B3C8-74EC8BFB5380}"/>
    <cellStyle name="20% - Accent2 3 5 2 4" xfId="12120" xr:uid="{00000000-0005-0000-0000-000032030000}"/>
    <cellStyle name="20% - Accent2 3 5 2 5" xfId="28990" xr:uid="{8F2A6B25-30D2-4647-800F-438E026D1B69}"/>
    <cellStyle name="20% - Accent2 3 5 3" xfId="5758" xr:uid="{00000000-0005-0000-0000-000033030000}"/>
    <cellStyle name="20% - Accent2 3 5 3 2" xfId="22628" xr:uid="{00000000-0005-0000-0000-000034030000}"/>
    <cellStyle name="20% - Accent2 3 5 3 2 2" xfId="39496" xr:uid="{24CC1F67-DC48-4638-A98B-46F7A61749E8}"/>
    <cellStyle name="20% - Accent2 3 5 3 3" xfId="14193" xr:uid="{00000000-0005-0000-0000-000035030000}"/>
    <cellStyle name="20% - Accent2 3 5 3 4" xfId="31062" xr:uid="{7F17F27C-C69C-42F9-90FC-DFFF7CB4E11C}"/>
    <cellStyle name="20% - Accent2 3 5 4" xfId="18410" xr:uid="{00000000-0005-0000-0000-000036030000}"/>
    <cellStyle name="20% - Accent2 3 5 4 2" xfId="35279" xr:uid="{2DD29560-FFB3-4F74-A3E6-D60F59F2C4A5}"/>
    <cellStyle name="20% - Accent2 3 5 5" xfId="9975" xr:uid="{00000000-0005-0000-0000-000037030000}"/>
    <cellStyle name="20% - Accent2 3 5 6" xfId="26845" xr:uid="{69B039D8-5520-4A93-B5C8-1F5F47183FF3}"/>
    <cellStyle name="20% - Accent2 3 6" xfId="1864" xr:uid="{00000000-0005-0000-0000-000038030000}"/>
    <cellStyle name="20% - Accent2 3 6 2" xfId="4093" xr:uid="{00000000-0005-0000-0000-000039030000}"/>
    <cellStyle name="20% - Accent2 3 6 2 2" xfId="8316" xr:uid="{00000000-0005-0000-0000-00003A030000}"/>
    <cellStyle name="20% - Accent2 3 6 2 2 2" xfId="25186" xr:uid="{00000000-0005-0000-0000-00003B030000}"/>
    <cellStyle name="20% - Accent2 3 6 2 2 2 2" xfId="42054" xr:uid="{2E43B139-0540-443F-BAF7-9887B7B01927}"/>
    <cellStyle name="20% - Accent2 3 6 2 2 3" xfId="16751" xr:uid="{00000000-0005-0000-0000-00003C030000}"/>
    <cellStyle name="20% - Accent2 3 6 2 2 4" xfId="33620" xr:uid="{C49F2597-02EB-41DE-B6B1-80E4EE9CD793}"/>
    <cellStyle name="20% - Accent2 3 6 2 3" xfId="20968" xr:uid="{00000000-0005-0000-0000-00003D030000}"/>
    <cellStyle name="20% - Accent2 3 6 2 3 2" xfId="37837" xr:uid="{924D1D48-2A27-426A-B3EC-D6F8A9E67F9E}"/>
    <cellStyle name="20% - Accent2 3 6 2 4" xfId="12533" xr:uid="{00000000-0005-0000-0000-00003E030000}"/>
    <cellStyle name="20% - Accent2 3 6 2 5" xfId="29403" xr:uid="{C93299C6-C873-4EF5-8C2D-51648AA68846}"/>
    <cellStyle name="20% - Accent2 3 6 3" xfId="6171" xr:uid="{00000000-0005-0000-0000-00003F030000}"/>
    <cellStyle name="20% - Accent2 3 6 3 2" xfId="23041" xr:uid="{00000000-0005-0000-0000-000040030000}"/>
    <cellStyle name="20% - Accent2 3 6 3 2 2" xfId="39909" xr:uid="{53C322A6-E764-4222-8186-93A2EDFBF3A4}"/>
    <cellStyle name="20% - Accent2 3 6 3 3" xfId="14606" xr:uid="{00000000-0005-0000-0000-000041030000}"/>
    <cellStyle name="20% - Accent2 3 6 3 4" xfId="31475" xr:uid="{20DF978A-13CB-4A89-B8A3-3BB33331C4F1}"/>
    <cellStyle name="20% - Accent2 3 6 4" xfId="18823" xr:uid="{00000000-0005-0000-0000-000042030000}"/>
    <cellStyle name="20% - Accent2 3 6 4 2" xfId="35692" xr:uid="{1AD61D0A-889C-4FB9-B0A4-DB9B4FD5CCF3}"/>
    <cellStyle name="20% - Accent2 3 6 5" xfId="10388" xr:uid="{00000000-0005-0000-0000-000043030000}"/>
    <cellStyle name="20% - Accent2 3 6 6" xfId="27258" xr:uid="{AA394E5C-2BD3-49F6-8012-F94EC655F1C3}"/>
    <cellStyle name="20% - Accent2 3 7" xfId="2277" xr:uid="{00000000-0005-0000-0000-000044030000}"/>
    <cellStyle name="20% - Accent2 3 7 2" xfId="6584" xr:uid="{00000000-0005-0000-0000-000045030000}"/>
    <cellStyle name="20% - Accent2 3 7 2 2" xfId="23454" xr:uid="{00000000-0005-0000-0000-000046030000}"/>
    <cellStyle name="20% - Accent2 3 7 2 2 2" xfId="40322" xr:uid="{88C62A6D-B2C1-47E4-84D7-6C69B3562933}"/>
    <cellStyle name="20% - Accent2 3 7 2 3" xfId="15019" xr:uid="{00000000-0005-0000-0000-000047030000}"/>
    <cellStyle name="20% - Accent2 3 7 2 4" xfId="31888" xr:uid="{B4AE1FFB-0B68-47FA-9517-E1C705369189}"/>
    <cellStyle name="20% - Accent2 3 7 3" xfId="19236" xr:uid="{00000000-0005-0000-0000-000048030000}"/>
    <cellStyle name="20% - Accent2 3 7 3 2" xfId="36105" xr:uid="{3212BA21-3985-4259-A8F9-742BCCCC84B8}"/>
    <cellStyle name="20% - Accent2 3 7 4" xfId="10801" xr:uid="{00000000-0005-0000-0000-000049030000}"/>
    <cellStyle name="20% - Accent2 3 7 5" xfId="27671" xr:uid="{C41D14C7-A69A-46DE-BB57-504619270A55}"/>
    <cellStyle name="20% - Accent2 3 8" xfId="4518" xr:uid="{00000000-0005-0000-0000-00004A030000}"/>
    <cellStyle name="20% - Accent2 3 8 2" xfId="21388" xr:uid="{00000000-0005-0000-0000-00004B030000}"/>
    <cellStyle name="20% - Accent2 3 8 2 2" xfId="38256" xr:uid="{39CBED5F-C204-4EB1-9835-88414E820DD0}"/>
    <cellStyle name="20% - Accent2 3 8 3" xfId="12953" xr:uid="{00000000-0005-0000-0000-00004C030000}"/>
    <cellStyle name="20% - Accent2 3 8 4" xfId="29822" xr:uid="{AA56C3F1-BA2B-4838-B608-84020F0A46F6}"/>
    <cellStyle name="20% - Accent2 3 9" xfId="17170" xr:uid="{00000000-0005-0000-0000-00004D030000}"/>
    <cellStyle name="20% - Accent2 3 9 2" xfId="34039" xr:uid="{6069DB80-B377-4D09-AE5F-47534FA3AC79}"/>
    <cellStyle name="20% - Accent2 4" xfId="16" xr:uid="{00000000-0005-0000-0000-00004E030000}"/>
    <cellStyle name="20% - Accent2 4 10" xfId="25607" xr:uid="{5921B2B7-FFB5-4D32-AE01-1365C5F78AC7}"/>
    <cellStyle name="20% - Accent2 4 2" xfId="585" xr:uid="{00000000-0005-0000-0000-00004F030000}"/>
    <cellStyle name="20% - Accent2 4 2 2" xfId="2856" xr:uid="{00000000-0005-0000-0000-000050030000}"/>
    <cellStyle name="20% - Accent2 4 2 2 2" xfId="7079" xr:uid="{00000000-0005-0000-0000-000051030000}"/>
    <cellStyle name="20% - Accent2 4 2 2 2 2" xfId="23949" xr:uid="{00000000-0005-0000-0000-000052030000}"/>
    <cellStyle name="20% - Accent2 4 2 2 2 2 2" xfId="40817" xr:uid="{5A5AD52C-EAD6-4206-B797-79CFA27E7748}"/>
    <cellStyle name="20% - Accent2 4 2 2 2 3" xfId="15514" xr:uid="{00000000-0005-0000-0000-000053030000}"/>
    <cellStyle name="20% - Accent2 4 2 2 2 4" xfId="32383" xr:uid="{B582BC40-724C-44D6-AA42-71FDAE1DCBD8}"/>
    <cellStyle name="20% - Accent2 4 2 2 3" xfId="19731" xr:uid="{00000000-0005-0000-0000-000054030000}"/>
    <cellStyle name="20% - Accent2 4 2 2 3 2" xfId="36600" xr:uid="{0CECB1A2-6B7F-427B-9D96-D059D3F9BC12}"/>
    <cellStyle name="20% - Accent2 4 2 2 4" xfId="11296" xr:uid="{00000000-0005-0000-0000-000055030000}"/>
    <cellStyle name="20% - Accent2 4 2 2 5" xfId="28166" xr:uid="{79034CF8-4E16-4B8E-89D4-118D0CE0C0A2}"/>
    <cellStyle name="20% - Accent2 4 2 3" xfId="4934" xr:uid="{00000000-0005-0000-0000-000056030000}"/>
    <cellStyle name="20% - Accent2 4 2 3 2" xfId="21804" xr:uid="{00000000-0005-0000-0000-000057030000}"/>
    <cellStyle name="20% - Accent2 4 2 3 2 2" xfId="38672" xr:uid="{7BCB35F8-FD5A-42BA-A504-F046A7866B98}"/>
    <cellStyle name="20% - Accent2 4 2 3 3" xfId="13369" xr:uid="{00000000-0005-0000-0000-000058030000}"/>
    <cellStyle name="20% - Accent2 4 2 3 4" xfId="30238" xr:uid="{0A35F3A8-9259-4F3C-999A-C0A284211D5D}"/>
    <cellStyle name="20% - Accent2 4 2 4" xfId="17586" xr:uid="{00000000-0005-0000-0000-000059030000}"/>
    <cellStyle name="20% - Accent2 4 2 4 2" xfId="34455" xr:uid="{64717865-5ABE-4766-BCC8-346ECDA18A10}"/>
    <cellStyle name="20% - Accent2 4 2 5" xfId="9151" xr:uid="{00000000-0005-0000-0000-00005A030000}"/>
    <cellStyle name="20% - Accent2 4 2 6" xfId="26021" xr:uid="{1D812084-A6E6-4301-B891-03FC87EA79F3}"/>
    <cellStyle name="20% - Accent2 4 3" xfId="1038" xr:uid="{00000000-0005-0000-0000-00005B030000}"/>
    <cellStyle name="20% - Accent2 4 3 2" xfId="3269" xr:uid="{00000000-0005-0000-0000-00005C030000}"/>
    <cellStyle name="20% - Accent2 4 3 2 2" xfId="7492" xr:uid="{00000000-0005-0000-0000-00005D030000}"/>
    <cellStyle name="20% - Accent2 4 3 2 2 2" xfId="24362" xr:uid="{00000000-0005-0000-0000-00005E030000}"/>
    <cellStyle name="20% - Accent2 4 3 2 2 2 2" xfId="41230" xr:uid="{430BC7AD-8A3F-487C-B173-00EA6509FB80}"/>
    <cellStyle name="20% - Accent2 4 3 2 2 3" xfId="15927" xr:uid="{00000000-0005-0000-0000-00005F030000}"/>
    <cellStyle name="20% - Accent2 4 3 2 2 4" xfId="32796" xr:uid="{5F53CBE8-E5F1-4234-A88D-11A30397C1F5}"/>
    <cellStyle name="20% - Accent2 4 3 2 3" xfId="20144" xr:uid="{00000000-0005-0000-0000-000060030000}"/>
    <cellStyle name="20% - Accent2 4 3 2 3 2" xfId="37013" xr:uid="{DB7892B9-A9EF-48F2-A90E-D684C35EE3EF}"/>
    <cellStyle name="20% - Accent2 4 3 2 4" xfId="11709" xr:uid="{00000000-0005-0000-0000-000061030000}"/>
    <cellStyle name="20% - Accent2 4 3 2 5" xfId="28579" xr:uid="{4398566E-3C0F-4580-8C36-39E8B5A7F318}"/>
    <cellStyle name="20% - Accent2 4 3 3" xfId="5347" xr:uid="{00000000-0005-0000-0000-000062030000}"/>
    <cellStyle name="20% - Accent2 4 3 3 2" xfId="22217" xr:uid="{00000000-0005-0000-0000-000063030000}"/>
    <cellStyle name="20% - Accent2 4 3 3 2 2" xfId="39085" xr:uid="{F411F8AC-6DA8-4E39-A4A6-DFB69719DBCB}"/>
    <cellStyle name="20% - Accent2 4 3 3 3" xfId="13782" xr:uid="{00000000-0005-0000-0000-000064030000}"/>
    <cellStyle name="20% - Accent2 4 3 3 4" xfId="30651" xr:uid="{3BD55B4A-428C-420B-B1D3-A3D0AB11CEA8}"/>
    <cellStyle name="20% - Accent2 4 3 4" xfId="17999" xr:uid="{00000000-0005-0000-0000-000065030000}"/>
    <cellStyle name="20% - Accent2 4 3 4 2" xfId="34868" xr:uid="{0A0DE24C-8A66-43D8-B900-ED4E13EB1DFF}"/>
    <cellStyle name="20% - Accent2 4 3 5" xfId="9564" xr:uid="{00000000-0005-0000-0000-000066030000}"/>
    <cellStyle name="20% - Accent2 4 3 6" xfId="26434" xr:uid="{FE9E7864-4C21-4B5C-BE42-5512C0731256}"/>
    <cellStyle name="20% - Accent2 4 4" xfId="1452" xr:uid="{00000000-0005-0000-0000-000067030000}"/>
    <cellStyle name="20% - Accent2 4 4 2" xfId="3682" xr:uid="{00000000-0005-0000-0000-000068030000}"/>
    <cellStyle name="20% - Accent2 4 4 2 2" xfId="7905" xr:uid="{00000000-0005-0000-0000-000069030000}"/>
    <cellStyle name="20% - Accent2 4 4 2 2 2" xfId="24775" xr:uid="{00000000-0005-0000-0000-00006A030000}"/>
    <cellStyle name="20% - Accent2 4 4 2 2 2 2" xfId="41643" xr:uid="{51D90853-FE6A-4D9C-B63F-9E0E073942F7}"/>
    <cellStyle name="20% - Accent2 4 4 2 2 3" xfId="16340" xr:uid="{00000000-0005-0000-0000-00006B030000}"/>
    <cellStyle name="20% - Accent2 4 4 2 2 4" xfId="33209" xr:uid="{9BA53E77-5B40-49E0-8773-D0DDC8DC3BCD}"/>
    <cellStyle name="20% - Accent2 4 4 2 3" xfId="20557" xr:uid="{00000000-0005-0000-0000-00006C030000}"/>
    <cellStyle name="20% - Accent2 4 4 2 3 2" xfId="37426" xr:uid="{255E6F7B-3282-4AD2-B072-65D37FE9F0D9}"/>
    <cellStyle name="20% - Accent2 4 4 2 4" xfId="12122" xr:uid="{00000000-0005-0000-0000-00006D030000}"/>
    <cellStyle name="20% - Accent2 4 4 2 5" xfId="28992" xr:uid="{275718E6-0DB8-44F7-AE23-ED5F24F82E5D}"/>
    <cellStyle name="20% - Accent2 4 4 3" xfId="5760" xr:uid="{00000000-0005-0000-0000-00006E030000}"/>
    <cellStyle name="20% - Accent2 4 4 3 2" xfId="22630" xr:uid="{00000000-0005-0000-0000-00006F030000}"/>
    <cellStyle name="20% - Accent2 4 4 3 2 2" xfId="39498" xr:uid="{68D5FD7F-310C-4EAA-8F0E-2BC5A36A9841}"/>
    <cellStyle name="20% - Accent2 4 4 3 3" xfId="14195" xr:uid="{00000000-0005-0000-0000-000070030000}"/>
    <cellStyle name="20% - Accent2 4 4 3 4" xfId="31064" xr:uid="{4C52B7A3-0034-4C79-AA78-2FFB1AABFC60}"/>
    <cellStyle name="20% - Accent2 4 4 4" xfId="18412" xr:uid="{00000000-0005-0000-0000-000071030000}"/>
    <cellStyle name="20% - Accent2 4 4 4 2" xfId="35281" xr:uid="{96D505D6-16FC-46B0-9DC0-F564ABA727DF}"/>
    <cellStyle name="20% - Accent2 4 4 5" xfId="9977" xr:uid="{00000000-0005-0000-0000-000072030000}"/>
    <cellStyle name="20% - Accent2 4 4 6" xfId="26847" xr:uid="{088A0EF6-D8C9-43DA-81D6-3A39D41BCAEB}"/>
    <cellStyle name="20% - Accent2 4 5" xfId="1866" xr:uid="{00000000-0005-0000-0000-000073030000}"/>
    <cellStyle name="20% - Accent2 4 5 2" xfId="4095" xr:uid="{00000000-0005-0000-0000-000074030000}"/>
    <cellStyle name="20% - Accent2 4 5 2 2" xfId="8318" xr:uid="{00000000-0005-0000-0000-000075030000}"/>
    <cellStyle name="20% - Accent2 4 5 2 2 2" xfId="25188" xr:uid="{00000000-0005-0000-0000-000076030000}"/>
    <cellStyle name="20% - Accent2 4 5 2 2 2 2" xfId="42056" xr:uid="{447EEFD7-CF81-45DF-A7EB-AEBE0AD29E5A}"/>
    <cellStyle name="20% - Accent2 4 5 2 2 3" xfId="16753" xr:uid="{00000000-0005-0000-0000-000077030000}"/>
    <cellStyle name="20% - Accent2 4 5 2 2 4" xfId="33622" xr:uid="{8CBC349E-20A5-4E68-B2DF-BA062EFE60D6}"/>
    <cellStyle name="20% - Accent2 4 5 2 3" xfId="20970" xr:uid="{00000000-0005-0000-0000-000078030000}"/>
    <cellStyle name="20% - Accent2 4 5 2 3 2" xfId="37839" xr:uid="{CD687F95-1A2C-49C5-A4F0-1632AA603392}"/>
    <cellStyle name="20% - Accent2 4 5 2 4" xfId="12535" xr:uid="{00000000-0005-0000-0000-000079030000}"/>
    <cellStyle name="20% - Accent2 4 5 2 5" xfId="29405" xr:uid="{3C4BE8B4-0945-442D-BD5D-DB9E15780D52}"/>
    <cellStyle name="20% - Accent2 4 5 3" xfId="6173" xr:uid="{00000000-0005-0000-0000-00007A030000}"/>
    <cellStyle name="20% - Accent2 4 5 3 2" xfId="23043" xr:uid="{00000000-0005-0000-0000-00007B030000}"/>
    <cellStyle name="20% - Accent2 4 5 3 2 2" xfId="39911" xr:uid="{7C888D2E-AC95-4BB5-9512-0D7D79BDA195}"/>
    <cellStyle name="20% - Accent2 4 5 3 3" xfId="14608" xr:uid="{00000000-0005-0000-0000-00007C030000}"/>
    <cellStyle name="20% - Accent2 4 5 3 4" xfId="31477" xr:uid="{6506FF42-12F1-4EED-A582-012FFD5BA207}"/>
    <cellStyle name="20% - Accent2 4 5 4" xfId="18825" xr:uid="{00000000-0005-0000-0000-00007D030000}"/>
    <cellStyle name="20% - Accent2 4 5 4 2" xfId="35694" xr:uid="{C35E63F5-3F7A-4920-B699-82E073E060CE}"/>
    <cellStyle name="20% - Accent2 4 5 5" xfId="10390" xr:uid="{00000000-0005-0000-0000-00007E030000}"/>
    <cellStyle name="20% - Accent2 4 5 6" xfId="27260" xr:uid="{C3665B22-79A8-4F52-ADDB-DFBD7019B08C}"/>
    <cellStyle name="20% - Accent2 4 6" xfId="2279" xr:uid="{00000000-0005-0000-0000-00007F030000}"/>
    <cellStyle name="20% - Accent2 4 6 2" xfId="6586" xr:uid="{00000000-0005-0000-0000-000080030000}"/>
    <cellStyle name="20% - Accent2 4 6 2 2" xfId="23456" xr:uid="{00000000-0005-0000-0000-000081030000}"/>
    <cellStyle name="20% - Accent2 4 6 2 2 2" xfId="40324" xr:uid="{D51FBA5F-9F66-46E7-A79B-E17869E776BC}"/>
    <cellStyle name="20% - Accent2 4 6 2 3" xfId="15021" xr:uid="{00000000-0005-0000-0000-000082030000}"/>
    <cellStyle name="20% - Accent2 4 6 2 4" xfId="31890" xr:uid="{CE33D918-DDCC-4F34-8EC8-10D71BC262FB}"/>
    <cellStyle name="20% - Accent2 4 6 3" xfId="19238" xr:uid="{00000000-0005-0000-0000-000083030000}"/>
    <cellStyle name="20% - Accent2 4 6 3 2" xfId="36107" xr:uid="{12FC0F01-CEFF-47AA-9ECB-2A4B473F04FD}"/>
    <cellStyle name="20% - Accent2 4 6 4" xfId="10803" xr:uid="{00000000-0005-0000-0000-000084030000}"/>
    <cellStyle name="20% - Accent2 4 6 5" xfId="27673" xr:uid="{960B999D-07AC-4C61-B559-6856140ED1FD}"/>
    <cellStyle name="20% - Accent2 4 7" xfId="4520" xr:uid="{00000000-0005-0000-0000-000085030000}"/>
    <cellStyle name="20% - Accent2 4 7 2" xfId="21390" xr:uid="{00000000-0005-0000-0000-000086030000}"/>
    <cellStyle name="20% - Accent2 4 7 2 2" xfId="38258" xr:uid="{8AEF3BD3-0CEE-487D-AF79-6BB8E3DC5C52}"/>
    <cellStyle name="20% - Accent2 4 7 3" xfId="12955" xr:uid="{00000000-0005-0000-0000-000087030000}"/>
    <cellStyle name="20% - Accent2 4 7 4" xfId="29824" xr:uid="{829CEEBD-BD29-4A12-B3FB-230ACF2104C6}"/>
    <cellStyle name="20% - Accent2 4 8" xfId="17172" xr:uid="{00000000-0005-0000-0000-000088030000}"/>
    <cellStyle name="20% - Accent2 4 8 2" xfId="34041" xr:uid="{06064662-C371-4F97-8EA9-7AFF1AE0D388}"/>
    <cellStyle name="20% - Accent2 4 9" xfId="8737" xr:uid="{00000000-0005-0000-0000-000089030000}"/>
    <cellStyle name="20% - Accent2 5" xfId="578" xr:uid="{00000000-0005-0000-0000-00008A030000}"/>
    <cellStyle name="20% - Accent2 5 2" xfId="2849" xr:uid="{00000000-0005-0000-0000-00008B030000}"/>
    <cellStyle name="20% - Accent2 5 2 2" xfId="7072" xr:uid="{00000000-0005-0000-0000-00008C030000}"/>
    <cellStyle name="20% - Accent2 5 2 2 2" xfId="23942" xr:uid="{00000000-0005-0000-0000-00008D030000}"/>
    <cellStyle name="20% - Accent2 5 2 2 2 2" xfId="40810" xr:uid="{AD3FBF84-E04C-4032-B116-B33D9D633D4A}"/>
    <cellStyle name="20% - Accent2 5 2 2 3" xfId="15507" xr:uid="{00000000-0005-0000-0000-00008E030000}"/>
    <cellStyle name="20% - Accent2 5 2 2 4" xfId="32376" xr:uid="{857F42C6-E443-4B50-ABD3-FA95846CC3BD}"/>
    <cellStyle name="20% - Accent2 5 2 3" xfId="19724" xr:uid="{00000000-0005-0000-0000-00008F030000}"/>
    <cellStyle name="20% - Accent2 5 2 3 2" xfId="36593" xr:uid="{8430AF5A-9DC7-448A-A905-7514EBC14C1A}"/>
    <cellStyle name="20% - Accent2 5 2 4" xfId="11289" xr:uid="{00000000-0005-0000-0000-000090030000}"/>
    <cellStyle name="20% - Accent2 5 2 5" xfId="28159" xr:uid="{DF5CF3D6-2E7D-4821-A4FB-53B44CC88338}"/>
    <cellStyle name="20% - Accent2 5 3" xfId="4927" xr:uid="{00000000-0005-0000-0000-000091030000}"/>
    <cellStyle name="20% - Accent2 5 3 2" xfId="21797" xr:uid="{00000000-0005-0000-0000-000092030000}"/>
    <cellStyle name="20% - Accent2 5 3 2 2" xfId="38665" xr:uid="{9EF31427-A594-4F19-AFA7-F48E2D9183A9}"/>
    <cellStyle name="20% - Accent2 5 3 3" xfId="13362" xr:uid="{00000000-0005-0000-0000-000093030000}"/>
    <cellStyle name="20% - Accent2 5 3 4" xfId="30231" xr:uid="{E31794D7-0176-488F-87AB-FA3F9F8B2B08}"/>
    <cellStyle name="20% - Accent2 5 4" xfId="17579" xr:uid="{00000000-0005-0000-0000-000094030000}"/>
    <cellStyle name="20% - Accent2 5 4 2" xfId="34448" xr:uid="{EE13B837-EA21-4B78-A7D4-293F2162C357}"/>
    <cellStyle name="20% - Accent2 5 5" xfId="9144" xr:uid="{00000000-0005-0000-0000-000095030000}"/>
    <cellStyle name="20% - Accent2 5 6" xfId="26014" xr:uid="{DCF79F3C-2F3C-4A07-8717-F4AB46647EFE}"/>
    <cellStyle name="20% - Accent2 6" xfId="1031" xr:uid="{00000000-0005-0000-0000-000096030000}"/>
    <cellStyle name="20% - Accent2 6 2" xfId="3262" xr:uid="{00000000-0005-0000-0000-000097030000}"/>
    <cellStyle name="20% - Accent2 6 2 2" xfId="7485" xr:uid="{00000000-0005-0000-0000-000098030000}"/>
    <cellStyle name="20% - Accent2 6 2 2 2" xfId="24355" xr:uid="{00000000-0005-0000-0000-000099030000}"/>
    <cellStyle name="20% - Accent2 6 2 2 2 2" xfId="41223" xr:uid="{A48E15C3-A734-4F33-B694-A65E42121739}"/>
    <cellStyle name="20% - Accent2 6 2 2 3" xfId="15920" xr:uid="{00000000-0005-0000-0000-00009A030000}"/>
    <cellStyle name="20% - Accent2 6 2 2 4" xfId="32789" xr:uid="{F6C18DD7-5242-45DA-97D5-49566EB141A4}"/>
    <cellStyle name="20% - Accent2 6 2 3" xfId="20137" xr:uid="{00000000-0005-0000-0000-00009B030000}"/>
    <cellStyle name="20% - Accent2 6 2 3 2" xfId="37006" xr:uid="{D9BB19AF-B80A-4938-AEDD-FB1773AFC167}"/>
    <cellStyle name="20% - Accent2 6 2 4" xfId="11702" xr:uid="{00000000-0005-0000-0000-00009C030000}"/>
    <cellStyle name="20% - Accent2 6 2 5" xfId="28572" xr:uid="{93546596-FDFF-4860-95E9-D642AC97024F}"/>
    <cellStyle name="20% - Accent2 6 3" xfId="5340" xr:uid="{00000000-0005-0000-0000-00009D030000}"/>
    <cellStyle name="20% - Accent2 6 3 2" xfId="22210" xr:uid="{00000000-0005-0000-0000-00009E030000}"/>
    <cellStyle name="20% - Accent2 6 3 2 2" xfId="39078" xr:uid="{718B4D71-E629-47A4-B24E-9329E88DF689}"/>
    <cellStyle name="20% - Accent2 6 3 3" xfId="13775" xr:uid="{00000000-0005-0000-0000-00009F030000}"/>
    <cellStyle name="20% - Accent2 6 3 4" xfId="30644" xr:uid="{46AA3A95-1EC5-42BC-9A2F-DB74AD2E3B34}"/>
    <cellStyle name="20% - Accent2 6 4" xfId="17992" xr:uid="{00000000-0005-0000-0000-0000A0030000}"/>
    <cellStyle name="20% - Accent2 6 4 2" xfId="34861" xr:uid="{44172707-4A1E-40DC-B495-E4D5AFB7D38D}"/>
    <cellStyle name="20% - Accent2 6 5" xfId="9557" xr:uid="{00000000-0005-0000-0000-0000A1030000}"/>
    <cellStyle name="20% - Accent2 6 6" xfId="26427" xr:uid="{C1EF8775-DF87-40D3-9646-D3EDAA396327}"/>
    <cellStyle name="20% - Accent2 7" xfId="1445" xr:uid="{00000000-0005-0000-0000-0000A2030000}"/>
    <cellStyle name="20% - Accent2 7 2" xfId="3675" xr:uid="{00000000-0005-0000-0000-0000A3030000}"/>
    <cellStyle name="20% - Accent2 7 2 2" xfId="7898" xr:uid="{00000000-0005-0000-0000-0000A4030000}"/>
    <cellStyle name="20% - Accent2 7 2 2 2" xfId="24768" xr:uid="{00000000-0005-0000-0000-0000A5030000}"/>
    <cellStyle name="20% - Accent2 7 2 2 2 2" xfId="41636" xr:uid="{A0D9A696-B649-488A-88CE-3E0904FD0D37}"/>
    <cellStyle name="20% - Accent2 7 2 2 3" xfId="16333" xr:uid="{00000000-0005-0000-0000-0000A6030000}"/>
    <cellStyle name="20% - Accent2 7 2 2 4" xfId="33202" xr:uid="{59CDD483-97C6-4C44-9A52-D3F2F3840FAC}"/>
    <cellStyle name="20% - Accent2 7 2 3" xfId="20550" xr:uid="{00000000-0005-0000-0000-0000A7030000}"/>
    <cellStyle name="20% - Accent2 7 2 3 2" xfId="37419" xr:uid="{37F8540A-11EE-4C34-8ECE-F3AD69F7DCCD}"/>
    <cellStyle name="20% - Accent2 7 2 4" xfId="12115" xr:uid="{00000000-0005-0000-0000-0000A8030000}"/>
    <cellStyle name="20% - Accent2 7 2 5" xfId="28985" xr:uid="{787ACBA0-65C0-423C-8AF3-08A914C22455}"/>
    <cellStyle name="20% - Accent2 7 3" xfId="5753" xr:uid="{00000000-0005-0000-0000-0000A9030000}"/>
    <cellStyle name="20% - Accent2 7 3 2" xfId="22623" xr:uid="{00000000-0005-0000-0000-0000AA030000}"/>
    <cellStyle name="20% - Accent2 7 3 2 2" xfId="39491" xr:uid="{0FE86FEB-64CA-4D4A-BF15-BA669C45F5C4}"/>
    <cellStyle name="20% - Accent2 7 3 3" xfId="14188" xr:uid="{00000000-0005-0000-0000-0000AB030000}"/>
    <cellStyle name="20% - Accent2 7 3 4" xfId="31057" xr:uid="{70EA6ED4-056E-45D1-B49B-5A0B65791137}"/>
    <cellStyle name="20% - Accent2 7 4" xfId="18405" xr:uid="{00000000-0005-0000-0000-0000AC030000}"/>
    <cellStyle name="20% - Accent2 7 4 2" xfId="35274" xr:uid="{9356F415-70AA-4720-9991-F08CDEFB4000}"/>
    <cellStyle name="20% - Accent2 7 5" xfId="9970" xr:uid="{00000000-0005-0000-0000-0000AD030000}"/>
    <cellStyle name="20% - Accent2 7 6" xfId="26840" xr:uid="{09B1880F-A4D3-4FD8-BF3C-45DDA39F7997}"/>
    <cellStyle name="20% - Accent2 8" xfId="1859" xr:uid="{00000000-0005-0000-0000-0000AE030000}"/>
    <cellStyle name="20% - Accent2 8 2" xfId="4088" xr:uid="{00000000-0005-0000-0000-0000AF030000}"/>
    <cellStyle name="20% - Accent2 8 2 2" xfId="8311" xr:uid="{00000000-0005-0000-0000-0000B0030000}"/>
    <cellStyle name="20% - Accent2 8 2 2 2" xfId="25181" xr:uid="{00000000-0005-0000-0000-0000B1030000}"/>
    <cellStyle name="20% - Accent2 8 2 2 2 2" xfId="42049" xr:uid="{F6A5B328-DAB9-4F21-AF05-3F0AD7376E85}"/>
    <cellStyle name="20% - Accent2 8 2 2 3" xfId="16746" xr:uid="{00000000-0005-0000-0000-0000B2030000}"/>
    <cellStyle name="20% - Accent2 8 2 2 4" xfId="33615" xr:uid="{7D1E2CC8-759D-4AA6-8D52-07843F7485AE}"/>
    <cellStyle name="20% - Accent2 8 2 3" xfId="20963" xr:uid="{00000000-0005-0000-0000-0000B3030000}"/>
    <cellStyle name="20% - Accent2 8 2 3 2" xfId="37832" xr:uid="{1E7DDB28-6607-44F9-8E65-4EC6FF9B76BE}"/>
    <cellStyle name="20% - Accent2 8 2 4" xfId="12528" xr:uid="{00000000-0005-0000-0000-0000B4030000}"/>
    <cellStyle name="20% - Accent2 8 2 5" xfId="29398" xr:uid="{DEA3F89A-0DEE-4621-B052-823167B1CBBB}"/>
    <cellStyle name="20% - Accent2 8 3" xfId="6166" xr:uid="{00000000-0005-0000-0000-0000B5030000}"/>
    <cellStyle name="20% - Accent2 8 3 2" xfId="23036" xr:uid="{00000000-0005-0000-0000-0000B6030000}"/>
    <cellStyle name="20% - Accent2 8 3 2 2" xfId="39904" xr:uid="{82E0A482-A01B-4846-8EF6-4FD4E2B775EB}"/>
    <cellStyle name="20% - Accent2 8 3 3" xfId="14601" xr:uid="{00000000-0005-0000-0000-0000B7030000}"/>
    <cellStyle name="20% - Accent2 8 3 4" xfId="31470" xr:uid="{29A82073-BD80-4926-A407-6AFD7A0B2E98}"/>
    <cellStyle name="20% - Accent2 8 4" xfId="18818" xr:uid="{00000000-0005-0000-0000-0000B8030000}"/>
    <cellStyle name="20% - Accent2 8 4 2" xfId="35687" xr:uid="{DB8831A9-1D47-4987-A889-A6ECB01352B2}"/>
    <cellStyle name="20% - Accent2 8 5" xfId="10383" xr:uid="{00000000-0005-0000-0000-0000B9030000}"/>
    <cellStyle name="20% - Accent2 8 6" xfId="27253" xr:uid="{741834E6-E6ED-4C4C-9437-5D286D4628F7}"/>
    <cellStyle name="20% - Accent2 9" xfId="2272" xr:uid="{00000000-0005-0000-0000-0000BA030000}"/>
    <cellStyle name="20% - Accent2 9 2" xfId="6579" xr:uid="{00000000-0005-0000-0000-0000BB030000}"/>
    <cellStyle name="20% - Accent2 9 2 2" xfId="23449" xr:uid="{00000000-0005-0000-0000-0000BC030000}"/>
    <cellStyle name="20% - Accent2 9 2 2 2" xfId="40317" xr:uid="{20D7B1CD-4C88-47AB-B30F-FC3CC9FB9B8D}"/>
    <cellStyle name="20% - Accent2 9 2 3" xfId="15014" xr:uid="{00000000-0005-0000-0000-0000BD030000}"/>
    <cellStyle name="20% - Accent2 9 2 4" xfId="31883" xr:uid="{49038821-901F-4306-835B-7C894A08A125}"/>
    <cellStyle name="20% - Accent2 9 3" xfId="19231" xr:uid="{00000000-0005-0000-0000-0000BE030000}"/>
    <cellStyle name="20% - Accent2 9 3 2" xfId="36100" xr:uid="{89C2334A-890C-458A-9D2F-29F1BBD748AF}"/>
    <cellStyle name="20% - Accent2 9 4" xfId="10796" xr:uid="{00000000-0005-0000-0000-0000BF030000}"/>
    <cellStyle name="20% - Accent2 9 5" xfId="27666" xr:uid="{349539A3-5F64-4C21-984B-1A973F319D5E}"/>
    <cellStyle name="20% - Accent3" xfId="17" builtinId="38" customBuiltin="1"/>
    <cellStyle name="20% - Accent3 10" xfId="4521" xr:uid="{00000000-0005-0000-0000-0000C1030000}"/>
    <cellStyle name="20% - Accent3 10 2" xfId="21391" xr:uid="{00000000-0005-0000-0000-0000C2030000}"/>
    <cellStyle name="20% - Accent3 10 2 2" xfId="38259" xr:uid="{1B4F8766-390B-48A7-9544-1792B6B255F8}"/>
    <cellStyle name="20% - Accent3 10 3" xfId="12956" xr:uid="{00000000-0005-0000-0000-0000C3030000}"/>
    <cellStyle name="20% - Accent3 10 4" xfId="29825" xr:uid="{02DBDB00-31F0-4B46-A070-DD199392BB6F}"/>
    <cellStyle name="20% - Accent3 11" xfId="17173" xr:uid="{00000000-0005-0000-0000-0000C4030000}"/>
    <cellStyle name="20% - Accent3 11 2" xfId="34042" xr:uid="{2BFCC7DC-73DF-4723-8ADA-98A43E2BDA7C}"/>
    <cellStyle name="20% - Accent3 12" xfId="8738" xr:uid="{00000000-0005-0000-0000-0000C5030000}"/>
    <cellStyle name="20% - Accent3 13" xfId="25608" xr:uid="{E73FE927-092E-48F6-ACD3-C4497A5A8F33}"/>
    <cellStyle name="20% - Accent3 2" xfId="18" xr:uid="{00000000-0005-0000-0000-0000C6030000}"/>
    <cellStyle name="20% - Accent3 2 10" xfId="17174" xr:uid="{00000000-0005-0000-0000-0000C7030000}"/>
    <cellStyle name="20% - Accent3 2 10 2" xfId="34043" xr:uid="{C5EBAB8F-1701-411F-BA92-73FE33547F99}"/>
    <cellStyle name="20% - Accent3 2 11" xfId="8739" xr:uid="{00000000-0005-0000-0000-0000C8030000}"/>
    <cellStyle name="20% - Accent3 2 12" xfId="25609" xr:uid="{6C72DBFE-ED14-4B90-8E9D-0A061EDF5246}"/>
    <cellStyle name="20% - Accent3 2 2" xfId="19" xr:uid="{00000000-0005-0000-0000-0000C9030000}"/>
    <cellStyle name="20% - Accent3 2 2 10" xfId="8740" xr:uid="{00000000-0005-0000-0000-0000CA030000}"/>
    <cellStyle name="20% - Accent3 2 2 11" xfId="25610" xr:uid="{35E4306B-BF75-417C-8722-707AD376E746}"/>
    <cellStyle name="20% - Accent3 2 2 2" xfId="20" xr:uid="{00000000-0005-0000-0000-0000CB030000}"/>
    <cellStyle name="20% - Accent3 2 2 2 10" xfId="25611" xr:uid="{BA1E3757-8778-4B17-99A3-394E77869DAA}"/>
    <cellStyle name="20% - Accent3 2 2 2 2" xfId="589" xr:uid="{00000000-0005-0000-0000-0000CC030000}"/>
    <cellStyle name="20% - Accent3 2 2 2 2 2" xfId="2860" xr:uid="{00000000-0005-0000-0000-0000CD030000}"/>
    <cellStyle name="20% - Accent3 2 2 2 2 2 2" xfId="7083" xr:uid="{00000000-0005-0000-0000-0000CE030000}"/>
    <cellStyle name="20% - Accent3 2 2 2 2 2 2 2" xfId="23953" xr:uid="{00000000-0005-0000-0000-0000CF030000}"/>
    <cellStyle name="20% - Accent3 2 2 2 2 2 2 2 2" xfId="40821" xr:uid="{D08EB713-06E7-458B-9FF3-403B3E920489}"/>
    <cellStyle name="20% - Accent3 2 2 2 2 2 2 3" xfId="15518" xr:uid="{00000000-0005-0000-0000-0000D0030000}"/>
    <cellStyle name="20% - Accent3 2 2 2 2 2 2 4" xfId="32387" xr:uid="{16C47E7F-7F30-43B6-A4C8-F06C627CB1CD}"/>
    <cellStyle name="20% - Accent3 2 2 2 2 2 3" xfId="19735" xr:uid="{00000000-0005-0000-0000-0000D1030000}"/>
    <cellStyle name="20% - Accent3 2 2 2 2 2 3 2" xfId="36604" xr:uid="{592EA516-86C6-4C55-BE4F-0556F9B6A486}"/>
    <cellStyle name="20% - Accent3 2 2 2 2 2 4" xfId="11300" xr:uid="{00000000-0005-0000-0000-0000D2030000}"/>
    <cellStyle name="20% - Accent3 2 2 2 2 2 5" xfId="28170" xr:uid="{D3E473F8-3E72-42CA-875A-A1CD46742EF4}"/>
    <cellStyle name="20% - Accent3 2 2 2 2 3" xfId="4938" xr:uid="{00000000-0005-0000-0000-0000D3030000}"/>
    <cellStyle name="20% - Accent3 2 2 2 2 3 2" xfId="21808" xr:uid="{00000000-0005-0000-0000-0000D4030000}"/>
    <cellStyle name="20% - Accent3 2 2 2 2 3 2 2" xfId="38676" xr:uid="{9A979090-0C1C-486B-A3AE-BF3D91F3BC0B}"/>
    <cellStyle name="20% - Accent3 2 2 2 2 3 3" xfId="13373" xr:uid="{00000000-0005-0000-0000-0000D5030000}"/>
    <cellStyle name="20% - Accent3 2 2 2 2 3 4" xfId="30242" xr:uid="{C6E79642-F0F5-427E-909E-68ED9253C0CE}"/>
    <cellStyle name="20% - Accent3 2 2 2 2 4" xfId="17590" xr:uid="{00000000-0005-0000-0000-0000D6030000}"/>
    <cellStyle name="20% - Accent3 2 2 2 2 4 2" xfId="34459" xr:uid="{FD1498AE-5325-477C-8C3D-F96C694A2C99}"/>
    <cellStyle name="20% - Accent3 2 2 2 2 5" xfId="9155" xr:uid="{00000000-0005-0000-0000-0000D7030000}"/>
    <cellStyle name="20% - Accent3 2 2 2 2 6" xfId="26025" xr:uid="{3A2F0298-7F49-4420-9817-A3F0A3F02370}"/>
    <cellStyle name="20% - Accent3 2 2 2 3" xfId="1042" xr:uid="{00000000-0005-0000-0000-0000D8030000}"/>
    <cellStyle name="20% - Accent3 2 2 2 3 2" xfId="3273" xr:uid="{00000000-0005-0000-0000-0000D9030000}"/>
    <cellStyle name="20% - Accent3 2 2 2 3 2 2" xfId="7496" xr:uid="{00000000-0005-0000-0000-0000DA030000}"/>
    <cellStyle name="20% - Accent3 2 2 2 3 2 2 2" xfId="24366" xr:uid="{00000000-0005-0000-0000-0000DB030000}"/>
    <cellStyle name="20% - Accent3 2 2 2 3 2 2 2 2" xfId="41234" xr:uid="{AFF50947-B395-458F-B147-7CDD004A0AEB}"/>
    <cellStyle name="20% - Accent3 2 2 2 3 2 2 3" xfId="15931" xr:uid="{00000000-0005-0000-0000-0000DC030000}"/>
    <cellStyle name="20% - Accent3 2 2 2 3 2 2 4" xfId="32800" xr:uid="{28D7B796-A2F0-4815-B149-1D5FAA76B1F8}"/>
    <cellStyle name="20% - Accent3 2 2 2 3 2 3" xfId="20148" xr:uid="{00000000-0005-0000-0000-0000DD030000}"/>
    <cellStyle name="20% - Accent3 2 2 2 3 2 3 2" xfId="37017" xr:uid="{B36CE0DC-F9D8-4358-82CC-5A8B844F8F2A}"/>
    <cellStyle name="20% - Accent3 2 2 2 3 2 4" xfId="11713" xr:uid="{00000000-0005-0000-0000-0000DE030000}"/>
    <cellStyle name="20% - Accent3 2 2 2 3 2 5" xfId="28583" xr:uid="{225DB6A7-D14E-4FE0-870B-55DE16C9ED32}"/>
    <cellStyle name="20% - Accent3 2 2 2 3 3" xfId="5351" xr:uid="{00000000-0005-0000-0000-0000DF030000}"/>
    <cellStyle name="20% - Accent3 2 2 2 3 3 2" xfId="22221" xr:uid="{00000000-0005-0000-0000-0000E0030000}"/>
    <cellStyle name="20% - Accent3 2 2 2 3 3 2 2" xfId="39089" xr:uid="{465DFB3D-0BD5-459A-8076-3697C4A07DE3}"/>
    <cellStyle name="20% - Accent3 2 2 2 3 3 3" xfId="13786" xr:uid="{00000000-0005-0000-0000-0000E1030000}"/>
    <cellStyle name="20% - Accent3 2 2 2 3 3 4" xfId="30655" xr:uid="{CDEAD82A-9604-460E-854F-38929AA539D8}"/>
    <cellStyle name="20% - Accent3 2 2 2 3 4" xfId="18003" xr:uid="{00000000-0005-0000-0000-0000E2030000}"/>
    <cellStyle name="20% - Accent3 2 2 2 3 4 2" xfId="34872" xr:uid="{4B793350-C910-4CF8-ADC5-AD190E39A8F4}"/>
    <cellStyle name="20% - Accent3 2 2 2 3 5" xfId="9568" xr:uid="{00000000-0005-0000-0000-0000E3030000}"/>
    <cellStyle name="20% - Accent3 2 2 2 3 6" xfId="26438" xr:uid="{5670A3D1-679C-41B0-878A-500642F176A2}"/>
    <cellStyle name="20% - Accent3 2 2 2 4" xfId="1456" xr:uid="{00000000-0005-0000-0000-0000E4030000}"/>
    <cellStyle name="20% - Accent3 2 2 2 4 2" xfId="3686" xr:uid="{00000000-0005-0000-0000-0000E5030000}"/>
    <cellStyle name="20% - Accent3 2 2 2 4 2 2" xfId="7909" xr:uid="{00000000-0005-0000-0000-0000E6030000}"/>
    <cellStyle name="20% - Accent3 2 2 2 4 2 2 2" xfId="24779" xr:uid="{00000000-0005-0000-0000-0000E7030000}"/>
    <cellStyle name="20% - Accent3 2 2 2 4 2 2 2 2" xfId="41647" xr:uid="{F8B7CED3-C781-4FCC-834E-C551E6E750DF}"/>
    <cellStyle name="20% - Accent3 2 2 2 4 2 2 3" xfId="16344" xr:uid="{00000000-0005-0000-0000-0000E8030000}"/>
    <cellStyle name="20% - Accent3 2 2 2 4 2 2 4" xfId="33213" xr:uid="{601BAEBB-A006-47EC-8681-45168FD31DF6}"/>
    <cellStyle name="20% - Accent3 2 2 2 4 2 3" xfId="20561" xr:uid="{00000000-0005-0000-0000-0000E9030000}"/>
    <cellStyle name="20% - Accent3 2 2 2 4 2 3 2" xfId="37430" xr:uid="{4EA7DAD6-0851-4DD0-8A95-B0EE5C45FF6C}"/>
    <cellStyle name="20% - Accent3 2 2 2 4 2 4" xfId="12126" xr:uid="{00000000-0005-0000-0000-0000EA030000}"/>
    <cellStyle name="20% - Accent3 2 2 2 4 2 5" xfId="28996" xr:uid="{E9D6605D-90DB-4542-83E3-E72442D76FCB}"/>
    <cellStyle name="20% - Accent3 2 2 2 4 3" xfId="5764" xr:uid="{00000000-0005-0000-0000-0000EB030000}"/>
    <cellStyle name="20% - Accent3 2 2 2 4 3 2" xfId="22634" xr:uid="{00000000-0005-0000-0000-0000EC030000}"/>
    <cellStyle name="20% - Accent3 2 2 2 4 3 2 2" xfId="39502" xr:uid="{1191211A-5521-4636-80F1-5652FEE4B886}"/>
    <cellStyle name="20% - Accent3 2 2 2 4 3 3" xfId="14199" xr:uid="{00000000-0005-0000-0000-0000ED030000}"/>
    <cellStyle name="20% - Accent3 2 2 2 4 3 4" xfId="31068" xr:uid="{7367F59A-A909-414F-B793-FEAD49659795}"/>
    <cellStyle name="20% - Accent3 2 2 2 4 4" xfId="18416" xr:uid="{00000000-0005-0000-0000-0000EE030000}"/>
    <cellStyle name="20% - Accent3 2 2 2 4 4 2" xfId="35285" xr:uid="{175F2627-F5F1-47B6-A8A3-EBBB1667DA6A}"/>
    <cellStyle name="20% - Accent3 2 2 2 4 5" xfId="9981" xr:uid="{00000000-0005-0000-0000-0000EF030000}"/>
    <cellStyle name="20% - Accent3 2 2 2 4 6" xfId="26851" xr:uid="{C0E9B871-AFA8-4B48-8A5E-02024B5B770B}"/>
    <cellStyle name="20% - Accent3 2 2 2 5" xfId="1870" xr:uid="{00000000-0005-0000-0000-0000F0030000}"/>
    <cellStyle name="20% - Accent3 2 2 2 5 2" xfId="4099" xr:uid="{00000000-0005-0000-0000-0000F1030000}"/>
    <cellStyle name="20% - Accent3 2 2 2 5 2 2" xfId="8322" xr:uid="{00000000-0005-0000-0000-0000F2030000}"/>
    <cellStyle name="20% - Accent3 2 2 2 5 2 2 2" xfId="25192" xr:uid="{00000000-0005-0000-0000-0000F3030000}"/>
    <cellStyle name="20% - Accent3 2 2 2 5 2 2 2 2" xfId="42060" xr:uid="{82BA0DB5-4BAC-473B-BF7E-F960D88A0174}"/>
    <cellStyle name="20% - Accent3 2 2 2 5 2 2 3" xfId="16757" xr:uid="{00000000-0005-0000-0000-0000F4030000}"/>
    <cellStyle name="20% - Accent3 2 2 2 5 2 2 4" xfId="33626" xr:uid="{F0F0BFE8-FFCE-4CFA-B3E5-A7B520C1C1FC}"/>
    <cellStyle name="20% - Accent3 2 2 2 5 2 3" xfId="20974" xr:uid="{00000000-0005-0000-0000-0000F5030000}"/>
    <cellStyle name="20% - Accent3 2 2 2 5 2 3 2" xfId="37843" xr:uid="{4BB23EDF-F12C-4706-8B59-8701D08E6C44}"/>
    <cellStyle name="20% - Accent3 2 2 2 5 2 4" xfId="12539" xr:uid="{00000000-0005-0000-0000-0000F6030000}"/>
    <cellStyle name="20% - Accent3 2 2 2 5 2 5" xfId="29409" xr:uid="{9EEC1D89-615B-4267-A998-5EB365FAFD22}"/>
    <cellStyle name="20% - Accent3 2 2 2 5 3" xfId="6177" xr:uid="{00000000-0005-0000-0000-0000F7030000}"/>
    <cellStyle name="20% - Accent3 2 2 2 5 3 2" xfId="23047" xr:uid="{00000000-0005-0000-0000-0000F8030000}"/>
    <cellStyle name="20% - Accent3 2 2 2 5 3 2 2" xfId="39915" xr:uid="{CCCF6D44-FA05-4FD8-9A9F-14F8DC871DFA}"/>
    <cellStyle name="20% - Accent3 2 2 2 5 3 3" xfId="14612" xr:uid="{00000000-0005-0000-0000-0000F9030000}"/>
    <cellStyle name="20% - Accent3 2 2 2 5 3 4" xfId="31481" xr:uid="{F85402E8-1702-4E69-AFB2-651574D112DE}"/>
    <cellStyle name="20% - Accent3 2 2 2 5 4" xfId="18829" xr:uid="{00000000-0005-0000-0000-0000FA030000}"/>
    <cellStyle name="20% - Accent3 2 2 2 5 4 2" xfId="35698" xr:uid="{0DC9863D-7F5C-4AAC-9514-67EED9D06307}"/>
    <cellStyle name="20% - Accent3 2 2 2 5 5" xfId="10394" xr:uid="{00000000-0005-0000-0000-0000FB030000}"/>
    <cellStyle name="20% - Accent3 2 2 2 5 6" xfId="27264" xr:uid="{8F547429-C3E3-43EA-BAA7-1307B3D39505}"/>
    <cellStyle name="20% - Accent3 2 2 2 6" xfId="2283" xr:uid="{00000000-0005-0000-0000-0000FC030000}"/>
    <cellStyle name="20% - Accent3 2 2 2 6 2" xfId="6590" xr:uid="{00000000-0005-0000-0000-0000FD030000}"/>
    <cellStyle name="20% - Accent3 2 2 2 6 2 2" xfId="23460" xr:uid="{00000000-0005-0000-0000-0000FE030000}"/>
    <cellStyle name="20% - Accent3 2 2 2 6 2 2 2" xfId="40328" xr:uid="{7850C604-6679-4577-954E-A2271B6F80F6}"/>
    <cellStyle name="20% - Accent3 2 2 2 6 2 3" xfId="15025" xr:uid="{00000000-0005-0000-0000-0000FF030000}"/>
    <cellStyle name="20% - Accent3 2 2 2 6 2 4" xfId="31894" xr:uid="{9D974B52-772A-4848-905C-67E49A112868}"/>
    <cellStyle name="20% - Accent3 2 2 2 6 3" xfId="19242" xr:uid="{00000000-0005-0000-0000-000000040000}"/>
    <cellStyle name="20% - Accent3 2 2 2 6 3 2" xfId="36111" xr:uid="{452A6817-6F61-4C11-BDCA-970F727B77C7}"/>
    <cellStyle name="20% - Accent3 2 2 2 6 4" xfId="10807" xr:uid="{00000000-0005-0000-0000-000001040000}"/>
    <cellStyle name="20% - Accent3 2 2 2 6 5" xfId="27677" xr:uid="{486CDAD1-B718-486B-B0A7-DD0ADA480CC2}"/>
    <cellStyle name="20% - Accent3 2 2 2 7" xfId="4524" xr:uid="{00000000-0005-0000-0000-000002040000}"/>
    <cellStyle name="20% - Accent3 2 2 2 7 2" xfId="21394" xr:uid="{00000000-0005-0000-0000-000003040000}"/>
    <cellStyle name="20% - Accent3 2 2 2 7 2 2" xfId="38262" xr:uid="{569CEDB9-3815-4D62-AE15-2E5631A2DD68}"/>
    <cellStyle name="20% - Accent3 2 2 2 7 3" xfId="12959" xr:uid="{00000000-0005-0000-0000-000004040000}"/>
    <cellStyle name="20% - Accent3 2 2 2 7 4" xfId="29828" xr:uid="{1996E48A-77A8-4400-A36C-55B8E91195A0}"/>
    <cellStyle name="20% - Accent3 2 2 2 8" xfId="17176" xr:uid="{00000000-0005-0000-0000-000005040000}"/>
    <cellStyle name="20% - Accent3 2 2 2 8 2" xfId="34045" xr:uid="{4F1107C6-5AED-4F1B-917E-2EDB5BA6B814}"/>
    <cellStyle name="20% - Accent3 2 2 2 9" xfId="8741" xr:uid="{00000000-0005-0000-0000-000006040000}"/>
    <cellStyle name="20% - Accent3 2 2 3" xfId="588" xr:uid="{00000000-0005-0000-0000-000007040000}"/>
    <cellStyle name="20% - Accent3 2 2 3 2" xfId="2859" xr:uid="{00000000-0005-0000-0000-000008040000}"/>
    <cellStyle name="20% - Accent3 2 2 3 2 2" xfId="7082" xr:uid="{00000000-0005-0000-0000-000009040000}"/>
    <cellStyle name="20% - Accent3 2 2 3 2 2 2" xfId="23952" xr:uid="{00000000-0005-0000-0000-00000A040000}"/>
    <cellStyle name="20% - Accent3 2 2 3 2 2 2 2" xfId="40820" xr:uid="{DB407F3A-528A-4415-B5F0-174DEF423798}"/>
    <cellStyle name="20% - Accent3 2 2 3 2 2 3" xfId="15517" xr:uid="{00000000-0005-0000-0000-00000B040000}"/>
    <cellStyle name="20% - Accent3 2 2 3 2 2 4" xfId="32386" xr:uid="{02214523-15FA-42F3-9FF8-0D950C876F54}"/>
    <cellStyle name="20% - Accent3 2 2 3 2 3" xfId="19734" xr:uid="{00000000-0005-0000-0000-00000C040000}"/>
    <cellStyle name="20% - Accent3 2 2 3 2 3 2" xfId="36603" xr:uid="{B2FBF8A4-24D7-4C81-9EB5-09F76D521F98}"/>
    <cellStyle name="20% - Accent3 2 2 3 2 4" xfId="11299" xr:uid="{00000000-0005-0000-0000-00000D040000}"/>
    <cellStyle name="20% - Accent3 2 2 3 2 5" xfId="28169" xr:uid="{9EE0CB52-675E-4F11-BA32-513584EB7D24}"/>
    <cellStyle name="20% - Accent3 2 2 3 3" xfId="4937" xr:uid="{00000000-0005-0000-0000-00000E040000}"/>
    <cellStyle name="20% - Accent3 2 2 3 3 2" xfId="21807" xr:uid="{00000000-0005-0000-0000-00000F040000}"/>
    <cellStyle name="20% - Accent3 2 2 3 3 2 2" xfId="38675" xr:uid="{C7804BAE-3D78-4205-B8EF-CED15C547577}"/>
    <cellStyle name="20% - Accent3 2 2 3 3 3" xfId="13372" xr:uid="{00000000-0005-0000-0000-000010040000}"/>
    <cellStyle name="20% - Accent3 2 2 3 3 4" xfId="30241" xr:uid="{E221D5F3-705A-4C28-94CC-EC919D0B7158}"/>
    <cellStyle name="20% - Accent3 2 2 3 4" xfId="17589" xr:uid="{00000000-0005-0000-0000-000011040000}"/>
    <cellStyle name="20% - Accent3 2 2 3 4 2" xfId="34458" xr:uid="{7F2653CC-F5EE-40EC-9F8E-D0B867816936}"/>
    <cellStyle name="20% - Accent3 2 2 3 5" xfId="9154" xr:uid="{00000000-0005-0000-0000-000012040000}"/>
    <cellStyle name="20% - Accent3 2 2 3 6" xfId="26024" xr:uid="{156A0DF6-556E-4D61-839A-D8E3458ADF77}"/>
    <cellStyle name="20% - Accent3 2 2 4" xfId="1041" xr:uid="{00000000-0005-0000-0000-000013040000}"/>
    <cellStyle name="20% - Accent3 2 2 4 2" xfId="3272" xr:uid="{00000000-0005-0000-0000-000014040000}"/>
    <cellStyle name="20% - Accent3 2 2 4 2 2" xfId="7495" xr:uid="{00000000-0005-0000-0000-000015040000}"/>
    <cellStyle name="20% - Accent3 2 2 4 2 2 2" xfId="24365" xr:uid="{00000000-0005-0000-0000-000016040000}"/>
    <cellStyle name="20% - Accent3 2 2 4 2 2 2 2" xfId="41233" xr:uid="{790CEC65-CA95-4A46-815A-5DC709DDE6BB}"/>
    <cellStyle name="20% - Accent3 2 2 4 2 2 3" xfId="15930" xr:uid="{00000000-0005-0000-0000-000017040000}"/>
    <cellStyle name="20% - Accent3 2 2 4 2 2 4" xfId="32799" xr:uid="{F12EC5F2-ECF1-44FD-99BF-1100B842B288}"/>
    <cellStyle name="20% - Accent3 2 2 4 2 3" xfId="20147" xr:uid="{00000000-0005-0000-0000-000018040000}"/>
    <cellStyle name="20% - Accent3 2 2 4 2 3 2" xfId="37016" xr:uid="{5965C8C1-D0F3-4518-993B-A3A288C62431}"/>
    <cellStyle name="20% - Accent3 2 2 4 2 4" xfId="11712" xr:uid="{00000000-0005-0000-0000-000019040000}"/>
    <cellStyle name="20% - Accent3 2 2 4 2 5" xfId="28582" xr:uid="{4F795B97-F21C-4DB2-9C2F-306A35E446EE}"/>
    <cellStyle name="20% - Accent3 2 2 4 3" xfId="5350" xr:uid="{00000000-0005-0000-0000-00001A040000}"/>
    <cellStyle name="20% - Accent3 2 2 4 3 2" xfId="22220" xr:uid="{00000000-0005-0000-0000-00001B040000}"/>
    <cellStyle name="20% - Accent3 2 2 4 3 2 2" xfId="39088" xr:uid="{30885841-5870-486B-AA94-6192AAA614EE}"/>
    <cellStyle name="20% - Accent3 2 2 4 3 3" xfId="13785" xr:uid="{00000000-0005-0000-0000-00001C040000}"/>
    <cellStyle name="20% - Accent3 2 2 4 3 4" xfId="30654" xr:uid="{B6D8FB07-5F16-47CD-89FA-B80439393272}"/>
    <cellStyle name="20% - Accent3 2 2 4 4" xfId="18002" xr:uid="{00000000-0005-0000-0000-00001D040000}"/>
    <cellStyle name="20% - Accent3 2 2 4 4 2" xfId="34871" xr:uid="{31B1DB67-4FEF-4B37-961B-8E5BBE012752}"/>
    <cellStyle name="20% - Accent3 2 2 4 5" xfId="9567" xr:uid="{00000000-0005-0000-0000-00001E040000}"/>
    <cellStyle name="20% - Accent3 2 2 4 6" xfId="26437" xr:uid="{04084C86-E7B8-43E5-8517-859FB797EBFE}"/>
    <cellStyle name="20% - Accent3 2 2 5" xfId="1455" xr:uid="{00000000-0005-0000-0000-00001F040000}"/>
    <cellStyle name="20% - Accent3 2 2 5 2" xfId="3685" xr:uid="{00000000-0005-0000-0000-000020040000}"/>
    <cellStyle name="20% - Accent3 2 2 5 2 2" xfId="7908" xr:uid="{00000000-0005-0000-0000-000021040000}"/>
    <cellStyle name="20% - Accent3 2 2 5 2 2 2" xfId="24778" xr:uid="{00000000-0005-0000-0000-000022040000}"/>
    <cellStyle name="20% - Accent3 2 2 5 2 2 2 2" xfId="41646" xr:uid="{80E9E03C-D041-4654-84A6-F44F7613209B}"/>
    <cellStyle name="20% - Accent3 2 2 5 2 2 3" xfId="16343" xr:uid="{00000000-0005-0000-0000-000023040000}"/>
    <cellStyle name="20% - Accent3 2 2 5 2 2 4" xfId="33212" xr:uid="{9E6F6B2E-8F54-4E9D-BACA-9B579F7EE00F}"/>
    <cellStyle name="20% - Accent3 2 2 5 2 3" xfId="20560" xr:uid="{00000000-0005-0000-0000-000024040000}"/>
    <cellStyle name="20% - Accent3 2 2 5 2 3 2" xfId="37429" xr:uid="{08C5F54D-8DE2-438C-9E9E-AE3640EFF60C}"/>
    <cellStyle name="20% - Accent3 2 2 5 2 4" xfId="12125" xr:uid="{00000000-0005-0000-0000-000025040000}"/>
    <cellStyle name="20% - Accent3 2 2 5 2 5" xfId="28995" xr:uid="{972A3A24-AC9E-4281-A089-084E4D65DF7D}"/>
    <cellStyle name="20% - Accent3 2 2 5 3" xfId="5763" xr:uid="{00000000-0005-0000-0000-000026040000}"/>
    <cellStyle name="20% - Accent3 2 2 5 3 2" xfId="22633" xr:uid="{00000000-0005-0000-0000-000027040000}"/>
    <cellStyle name="20% - Accent3 2 2 5 3 2 2" xfId="39501" xr:uid="{FD61515D-2ADC-4BF9-9F31-C44DABA7DB7F}"/>
    <cellStyle name="20% - Accent3 2 2 5 3 3" xfId="14198" xr:uid="{00000000-0005-0000-0000-000028040000}"/>
    <cellStyle name="20% - Accent3 2 2 5 3 4" xfId="31067" xr:uid="{9F51CE1A-0C9B-4D65-A2C8-C74D2B505259}"/>
    <cellStyle name="20% - Accent3 2 2 5 4" xfId="18415" xr:uid="{00000000-0005-0000-0000-000029040000}"/>
    <cellStyle name="20% - Accent3 2 2 5 4 2" xfId="35284" xr:uid="{A2E85467-5463-4693-9661-A01A70388D5C}"/>
    <cellStyle name="20% - Accent3 2 2 5 5" xfId="9980" xr:uid="{00000000-0005-0000-0000-00002A040000}"/>
    <cellStyle name="20% - Accent3 2 2 5 6" xfId="26850" xr:uid="{A856D6F9-3D78-438B-BEFD-238AD823C1B8}"/>
    <cellStyle name="20% - Accent3 2 2 6" xfId="1869" xr:uid="{00000000-0005-0000-0000-00002B040000}"/>
    <cellStyle name="20% - Accent3 2 2 6 2" xfId="4098" xr:uid="{00000000-0005-0000-0000-00002C040000}"/>
    <cellStyle name="20% - Accent3 2 2 6 2 2" xfId="8321" xr:uid="{00000000-0005-0000-0000-00002D040000}"/>
    <cellStyle name="20% - Accent3 2 2 6 2 2 2" xfId="25191" xr:uid="{00000000-0005-0000-0000-00002E040000}"/>
    <cellStyle name="20% - Accent3 2 2 6 2 2 2 2" xfId="42059" xr:uid="{819AE9EE-EC03-4AFE-AEEF-11E96CEDDAC9}"/>
    <cellStyle name="20% - Accent3 2 2 6 2 2 3" xfId="16756" xr:uid="{00000000-0005-0000-0000-00002F040000}"/>
    <cellStyle name="20% - Accent3 2 2 6 2 2 4" xfId="33625" xr:uid="{54FD600D-5726-4AB9-8A31-F6A1EC419158}"/>
    <cellStyle name="20% - Accent3 2 2 6 2 3" xfId="20973" xr:uid="{00000000-0005-0000-0000-000030040000}"/>
    <cellStyle name="20% - Accent3 2 2 6 2 3 2" xfId="37842" xr:uid="{E4F3EBFD-6C45-469A-A157-01B191659084}"/>
    <cellStyle name="20% - Accent3 2 2 6 2 4" xfId="12538" xr:uid="{00000000-0005-0000-0000-000031040000}"/>
    <cellStyle name="20% - Accent3 2 2 6 2 5" xfId="29408" xr:uid="{E2BBC1BA-5F6A-46B0-BA13-F9A37E74FA7C}"/>
    <cellStyle name="20% - Accent3 2 2 6 3" xfId="6176" xr:uid="{00000000-0005-0000-0000-000032040000}"/>
    <cellStyle name="20% - Accent3 2 2 6 3 2" xfId="23046" xr:uid="{00000000-0005-0000-0000-000033040000}"/>
    <cellStyle name="20% - Accent3 2 2 6 3 2 2" xfId="39914" xr:uid="{AEA31DAE-F9E3-4E31-AB55-FC96FC091297}"/>
    <cellStyle name="20% - Accent3 2 2 6 3 3" xfId="14611" xr:uid="{00000000-0005-0000-0000-000034040000}"/>
    <cellStyle name="20% - Accent3 2 2 6 3 4" xfId="31480" xr:uid="{9EBADDBA-4C1E-4B6D-93ED-9C64F6D08900}"/>
    <cellStyle name="20% - Accent3 2 2 6 4" xfId="18828" xr:uid="{00000000-0005-0000-0000-000035040000}"/>
    <cellStyle name="20% - Accent3 2 2 6 4 2" xfId="35697" xr:uid="{CF35D914-5EA1-4A69-9E17-08C72F4BA54D}"/>
    <cellStyle name="20% - Accent3 2 2 6 5" xfId="10393" xr:uid="{00000000-0005-0000-0000-000036040000}"/>
    <cellStyle name="20% - Accent3 2 2 6 6" xfId="27263" xr:uid="{06C2341B-9990-4F42-86E6-919B287C5FCD}"/>
    <cellStyle name="20% - Accent3 2 2 7" xfId="2282" xr:uid="{00000000-0005-0000-0000-000037040000}"/>
    <cellStyle name="20% - Accent3 2 2 7 2" xfId="6589" xr:uid="{00000000-0005-0000-0000-000038040000}"/>
    <cellStyle name="20% - Accent3 2 2 7 2 2" xfId="23459" xr:uid="{00000000-0005-0000-0000-000039040000}"/>
    <cellStyle name="20% - Accent3 2 2 7 2 2 2" xfId="40327" xr:uid="{F797F8C7-F7FC-4BE2-B093-EFB9B98682DE}"/>
    <cellStyle name="20% - Accent3 2 2 7 2 3" xfId="15024" xr:uid="{00000000-0005-0000-0000-00003A040000}"/>
    <cellStyle name="20% - Accent3 2 2 7 2 4" xfId="31893" xr:uid="{9DF16258-F956-4D6C-8A56-FF68BADFF66B}"/>
    <cellStyle name="20% - Accent3 2 2 7 3" xfId="19241" xr:uid="{00000000-0005-0000-0000-00003B040000}"/>
    <cellStyle name="20% - Accent3 2 2 7 3 2" xfId="36110" xr:uid="{45499FD8-0402-4E71-8845-FEE6A7041960}"/>
    <cellStyle name="20% - Accent3 2 2 7 4" xfId="10806" xr:uid="{00000000-0005-0000-0000-00003C040000}"/>
    <cellStyle name="20% - Accent3 2 2 7 5" xfId="27676" xr:uid="{052301BE-4695-42E9-9D3C-6C830B4F07F8}"/>
    <cellStyle name="20% - Accent3 2 2 8" xfId="4523" xr:uid="{00000000-0005-0000-0000-00003D040000}"/>
    <cellStyle name="20% - Accent3 2 2 8 2" xfId="21393" xr:uid="{00000000-0005-0000-0000-00003E040000}"/>
    <cellStyle name="20% - Accent3 2 2 8 2 2" xfId="38261" xr:uid="{42718680-BFC8-4A26-83D3-992E857EE554}"/>
    <cellStyle name="20% - Accent3 2 2 8 3" xfId="12958" xr:uid="{00000000-0005-0000-0000-00003F040000}"/>
    <cellStyle name="20% - Accent3 2 2 8 4" xfId="29827" xr:uid="{AD38FF03-9967-486B-B7FD-D39DB8789062}"/>
    <cellStyle name="20% - Accent3 2 2 9" xfId="17175" xr:uid="{00000000-0005-0000-0000-000040040000}"/>
    <cellStyle name="20% - Accent3 2 2 9 2" xfId="34044" xr:uid="{86D487D4-3B8A-42D4-8315-D7C88D442CF3}"/>
    <cellStyle name="20% - Accent3 2 3" xfId="21" xr:uid="{00000000-0005-0000-0000-000041040000}"/>
    <cellStyle name="20% - Accent3 2 3 10" xfId="25612" xr:uid="{18DA711D-9EC9-468D-9BBC-EF00721D02DD}"/>
    <cellStyle name="20% - Accent3 2 3 2" xfId="590" xr:uid="{00000000-0005-0000-0000-000042040000}"/>
    <cellStyle name="20% - Accent3 2 3 2 2" xfId="2861" xr:uid="{00000000-0005-0000-0000-000043040000}"/>
    <cellStyle name="20% - Accent3 2 3 2 2 2" xfId="7084" xr:uid="{00000000-0005-0000-0000-000044040000}"/>
    <cellStyle name="20% - Accent3 2 3 2 2 2 2" xfId="23954" xr:uid="{00000000-0005-0000-0000-000045040000}"/>
    <cellStyle name="20% - Accent3 2 3 2 2 2 2 2" xfId="40822" xr:uid="{554CC104-500D-4100-9482-3422BD16C0F1}"/>
    <cellStyle name="20% - Accent3 2 3 2 2 2 3" xfId="15519" xr:uid="{00000000-0005-0000-0000-000046040000}"/>
    <cellStyle name="20% - Accent3 2 3 2 2 2 4" xfId="32388" xr:uid="{C6F172FB-922B-49B1-80A0-60C8A91B277F}"/>
    <cellStyle name="20% - Accent3 2 3 2 2 3" xfId="19736" xr:uid="{00000000-0005-0000-0000-000047040000}"/>
    <cellStyle name="20% - Accent3 2 3 2 2 3 2" xfId="36605" xr:uid="{532F110B-7251-4992-A3A9-7DCF0EC32A20}"/>
    <cellStyle name="20% - Accent3 2 3 2 2 4" xfId="11301" xr:uid="{00000000-0005-0000-0000-000048040000}"/>
    <cellStyle name="20% - Accent3 2 3 2 2 5" xfId="28171" xr:uid="{79904099-898D-4DE6-9FAC-9CCD93D97BBA}"/>
    <cellStyle name="20% - Accent3 2 3 2 3" xfId="4939" xr:uid="{00000000-0005-0000-0000-000049040000}"/>
    <cellStyle name="20% - Accent3 2 3 2 3 2" xfId="21809" xr:uid="{00000000-0005-0000-0000-00004A040000}"/>
    <cellStyle name="20% - Accent3 2 3 2 3 2 2" xfId="38677" xr:uid="{5ABF72FE-38C6-465B-AE8F-743D2CFB2D75}"/>
    <cellStyle name="20% - Accent3 2 3 2 3 3" xfId="13374" xr:uid="{00000000-0005-0000-0000-00004B040000}"/>
    <cellStyle name="20% - Accent3 2 3 2 3 4" xfId="30243" xr:uid="{B8B68DD7-2F9D-4FF6-A473-9B6D7ED8DBAF}"/>
    <cellStyle name="20% - Accent3 2 3 2 4" xfId="17591" xr:uid="{00000000-0005-0000-0000-00004C040000}"/>
    <cellStyle name="20% - Accent3 2 3 2 4 2" xfId="34460" xr:uid="{0A180F99-4E56-4A90-88F3-412F0C38E23D}"/>
    <cellStyle name="20% - Accent3 2 3 2 5" xfId="9156" xr:uid="{00000000-0005-0000-0000-00004D040000}"/>
    <cellStyle name="20% - Accent3 2 3 2 6" xfId="26026" xr:uid="{A2BF30B2-2C25-46C3-89EA-CE6EA8BB08CE}"/>
    <cellStyle name="20% - Accent3 2 3 3" xfId="1043" xr:uid="{00000000-0005-0000-0000-00004E040000}"/>
    <cellStyle name="20% - Accent3 2 3 3 2" xfId="3274" xr:uid="{00000000-0005-0000-0000-00004F040000}"/>
    <cellStyle name="20% - Accent3 2 3 3 2 2" xfId="7497" xr:uid="{00000000-0005-0000-0000-000050040000}"/>
    <cellStyle name="20% - Accent3 2 3 3 2 2 2" xfId="24367" xr:uid="{00000000-0005-0000-0000-000051040000}"/>
    <cellStyle name="20% - Accent3 2 3 3 2 2 2 2" xfId="41235" xr:uid="{82CA3065-045D-4A30-9C9A-15C61F75CDA8}"/>
    <cellStyle name="20% - Accent3 2 3 3 2 2 3" xfId="15932" xr:uid="{00000000-0005-0000-0000-000052040000}"/>
    <cellStyle name="20% - Accent3 2 3 3 2 2 4" xfId="32801" xr:uid="{B43C165A-CA1D-4ED5-99DF-1B5186FF5124}"/>
    <cellStyle name="20% - Accent3 2 3 3 2 3" xfId="20149" xr:uid="{00000000-0005-0000-0000-000053040000}"/>
    <cellStyle name="20% - Accent3 2 3 3 2 3 2" xfId="37018" xr:uid="{4FE162F0-19BE-4859-B8FB-E6CCC16F8828}"/>
    <cellStyle name="20% - Accent3 2 3 3 2 4" xfId="11714" xr:uid="{00000000-0005-0000-0000-000054040000}"/>
    <cellStyle name="20% - Accent3 2 3 3 2 5" xfId="28584" xr:uid="{E2F4F365-8D31-4A09-95A0-D57ECB541463}"/>
    <cellStyle name="20% - Accent3 2 3 3 3" xfId="5352" xr:uid="{00000000-0005-0000-0000-000055040000}"/>
    <cellStyle name="20% - Accent3 2 3 3 3 2" xfId="22222" xr:uid="{00000000-0005-0000-0000-000056040000}"/>
    <cellStyle name="20% - Accent3 2 3 3 3 2 2" xfId="39090" xr:uid="{8994BC78-1C71-419E-9B9E-C8E0490E0DF4}"/>
    <cellStyle name="20% - Accent3 2 3 3 3 3" xfId="13787" xr:uid="{00000000-0005-0000-0000-000057040000}"/>
    <cellStyle name="20% - Accent3 2 3 3 3 4" xfId="30656" xr:uid="{4B67DB20-1C0C-48C6-B3FC-7BCFDEEA8446}"/>
    <cellStyle name="20% - Accent3 2 3 3 4" xfId="18004" xr:uid="{00000000-0005-0000-0000-000058040000}"/>
    <cellStyle name="20% - Accent3 2 3 3 4 2" xfId="34873" xr:uid="{1236EB1A-6338-4EA4-9476-4EC108A4B0DA}"/>
    <cellStyle name="20% - Accent3 2 3 3 5" xfId="9569" xr:uid="{00000000-0005-0000-0000-000059040000}"/>
    <cellStyle name="20% - Accent3 2 3 3 6" xfId="26439" xr:uid="{DD629F36-A325-4576-BDBE-E1F9D26BF04D}"/>
    <cellStyle name="20% - Accent3 2 3 4" xfId="1457" xr:uid="{00000000-0005-0000-0000-00005A040000}"/>
    <cellStyle name="20% - Accent3 2 3 4 2" xfId="3687" xr:uid="{00000000-0005-0000-0000-00005B040000}"/>
    <cellStyle name="20% - Accent3 2 3 4 2 2" xfId="7910" xr:uid="{00000000-0005-0000-0000-00005C040000}"/>
    <cellStyle name="20% - Accent3 2 3 4 2 2 2" xfId="24780" xr:uid="{00000000-0005-0000-0000-00005D040000}"/>
    <cellStyle name="20% - Accent3 2 3 4 2 2 2 2" xfId="41648" xr:uid="{07136379-99E1-4B7A-A415-D52D77B76DE5}"/>
    <cellStyle name="20% - Accent3 2 3 4 2 2 3" xfId="16345" xr:uid="{00000000-0005-0000-0000-00005E040000}"/>
    <cellStyle name="20% - Accent3 2 3 4 2 2 4" xfId="33214" xr:uid="{6658E865-7B97-4A7F-8139-41851AFFD41A}"/>
    <cellStyle name="20% - Accent3 2 3 4 2 3" xfId="20562" xr:uid="{00000000-0005-0000-0000-00005F040000}"/>
    <cellStyle name="20% - Accent3 2 3 4 2 3 2" xfId="37431" xr:uid="{669C1F59-E22A-4731-807F-94A7A25AF6EB}"/>
    <cellStyle name="20% - Accent3 2 3 4 2 4" xfId="12127" xr:uid="{00000000-0005-0000-0000-000060040000}"/>
    <cellStyle name="20% - Accent3 2 3 4 2 5" xfId="28997" xr:uid="{70CCD980-D3ED-4852-A654-6D228B3CD2B6}"/>
    <cellStyle name="20% - Accent3 2 3 4 3" xfId="5765" xr:uid="{00000000-0005-0000-0000-000061040000}"/>
    <cellStyle name="20% - Accent3 2 3 4 3 2" xfId="22635" xr:uid="{00000000-0005-0000-0000-000062040000}"/>
    <cellStyle name="20% - Accent3 2 3 4 3 2 2" xfId="39503" xr:uid="{91FFCC0E-6CE3-480E-8062-A03831268252}"/>
    <cellStyle name="20% - Accent3 2 3 4 3 3" xfId="14200" xr:uid="{00000000-0005-0000-0000-000063040000}"/>
    <cellStyle name="20% - Accent3 2 3 4 3 4" xfId="31069" xr:uid="{081F74BB-47F0-4948-93E6-7BA22D14FCBF}"/>
    <cellStyle name="20% - Accent3 2 3 4 4" xfId="18417" xr:uid="{00000000-0005-0000-0000-000064040000}"/>
    <cellStyle name="20% - Accent3 2 3 4 4 2" xfId="35286" xr:uid="{9951F972-E81A-4F35-824A-FD7613729EA1}"/>
    <cellStyle name="20% - Accent3 2 3 4 5" xfId="9982" xr:uid="{00000000-0005-0000-0000-000065040000}"/>
    <cellStyle name="20% - Accent3 2 3 4 6" xfId="26852" xr:uid="{97CC38B1-7098-4E30-90A9-8DD60E92E6B1}"/>
    <cellStyle name="20% - Accent3 2 3 5" xfId="1871" xr:uid="{00000000-0005-0000-0000-000066040000}"/>
    <cellStyle name="20% - Accent3 2 3 5 2" xfId="4100" xr:uid="{00000000-0005-0000-0000-000067040000}"/>
    <cellStyle name="20% - Accent3 2 3 5 2 2" xfId="8323" xr:uid="{00000000-0005-0000-0000-000068040000}"/>
    <cellStyle name="20% - Accent3 2 3 5 2 2 2" xfId="25193" xr:uid="{00000000-0005-0000-0000-000069040000}"/>
    <cellStyle name="20% - Accent3 2 3 5 2 2 2 2" xfId="42061" xr:uid="{39D0FC28-0257-40C8-A50F-110BA3CFE294}"/>
    <cellStyle name="20% - Accent3 2 3 5 2 2 3" xfId="16758" xr:uid="{00000000-0005-0000-0000-00006A040000}"/>
    <cellStyle name="20% - Accent3 2 3 5 2 2 4" xfId="33627" xr:uid="{CF50A315-9B35-495A-B819-A7EA3D3657E9}"/>
    <cellStyle name="20% - Accent3 2 3 5 2 3" xfId="20975" xr:uid="{00000000-0005-0000-0000-00006B040000}"/>
    <cellStyle name="20% - Accent3 2 3 5 2 3 2" xfId="37844" xr:uid="{8BB5D2B7-6EA1-4D9F-A6B1-52408F4395CB}"/>
    <cellStyle name="20% - Accent3 2 3 5 2 4" xfId="12540" xr:uid="{00000000-0005-0000-0000-00006C040000}"/>
    <cellStyle name="20% - Accent3 2 3 5 2 5" xfId="29410" xr:uid="{4B451D13-D5FE-480A-8EDB-3EC40BC507ED}"/>
    <cellStyle name="20% - Accent3 2 3 5 3" xfId="6178" xr:uid="{00000000-0005-0000-0000-00006D040000}"/>
    <cellStyle name="20% - Accent3 2 3 5 3 2" xfId="23048" xr:uid="{00000000-0005-0000-0000-00006E040000}"/>
    <cellStyle name="20% - Accent3 2 3 5 3 2 2" xfId="39916" xr:uid="{987098C2-4423-4E49-BA4D-D1269D07983F}"/>
    <cellStyle name="20% - Accent3 2 3 5 3 3" xfId="14613" xr:uid="{00000000-0005-0000-0000-00006F040000}"/>
    <cellStyle name="20% - Accent3 2 3 5 3 4" xfId="31482" xr:uid="{1FF9B87C-64FA-4590-9FF4-269B494BB828}"/>
    <cellStyle name="20% - Accent3 2 3 5 4" xfId="18830" xr:uid="{00000000-0005-0000-0000-000070040000}"/>
    <cellStyle name="20% - Accent3 2 3 5 4 2" xfId="35699" xr:uid="{7045E222-A5EC-4FA2-8D0D-F4C767E2E299}"/>
    <cellStyle name="20% - Accent3 2 3 5 5" xfId="10395" xr:uid="{00000000-0005-0000-0000-000071040000}"/>
    <cellStyle name="20% - Accent3 2 3 5 6" xfId="27265" xr:uid="{8180D0C0-DEEC-4F69-87C4-CA206F2034C5}"/>
    <cellStyle name="20% - Accent3 2 3 6" xfId="2284" xr:uid="{00000000-0005-0000-0000-000072040000}"/>
    <cellStyle name="20% - Accent3 2 3 6 2" xfId="6591" xr:uid="{00000000-0005-0000-0000-000073040000}"/>
    <cellStyle name="20% - Accent3 2 3 6 2 2" xfId="23461" xr:uid="{00000000-0005-0000-0000-000074040000}"/>
    <cellStyle name="20% - Accent3 2 3 6 2 2 2" xfId="40329" xr:uid="{08D8ECAD-A2EB-4132-ACF4-AF3539813AAE}"/>
    <cellStyle name="20% - Accent3 2 3 6 2 3" xfId="15026" xr:uid="{00000000-0005-0000-0000-000075040000}"/>
    <cellStyle name="20% - Accent3 2 3 6 2 4" xfId="31895" xr:uid="{3ED80256-1D05-44C2-8FC7-10ABDECDCE02}"/>
    <cellStyle name="20% - Accent3 2 3 6 3" xfId="19243" xr:uid="{00000000-0005-0000-0000-000076040000}"/>
    <cellStyle name="20% - Accent3 2 3 6 3 2" xfId="36112" xr:uid="{1E0A4975-E706-49DB-95C2-58F71876F2C6}"/>
    <cellStyle name="20% - Accent3 2 3 6 4" xfId="10808" xr:uid="{00000000-0005-0000-0000-000077040000}"/>
    <cellStyle name="20% - Accent3 2 3 6 5" xfId="27678" xr:uid="{77B5AB94-BBDF-4C57-B1BF-5CBFCD1C46B8}"/>
    <cellStyle name="20% - Accent3 2 3 7" xfId="4525" xr:uid="{00000000-0005-0000-0000-000078040000}"/>
    <cellStyle name="20% - Accent3 2 3 7 2" xfId="21395" xr:uid="{00000000-0005-0000-0000-000079040000}"/>
    <cellStyle name="20% - Accent3 2 3 7 2 2" xfId="38263" xr:uid="{D50F84B8-C60F-4C47-89F2-DAB4995330E5}"/>
    <cellStyle name="20% - Accent3 2 3 7 3" xfId="12960" xr:uid="{00000000-0005-0000-0000-00007A040000}"/>
    <cellStyle name="20% - Accent3 2 3 7 4" xfId="29829" xr:uid="{418C21AA-1423-4698-B299-68E524BA69D7}"/>
    <cellStyle name="20% - Accent3 2 3 8" xfId="17177" xr:uid="{00000000-0005-0000-0000-00007B040000}"/>
    <cellStyle name="20% - Accent3 2 3 8 2" xfId="34046" xr:uid="{F9C18978-2650-41FD-93DB-2810C2499822}"/>
    <cellStyle name="20% - Accent3 2 3 9" xfId="8742" xr:uid="{00000000-0005-0000-0000-00007C040000}"/>
    <cellStyle name="20% - Accent3 2 4" xfId="587" xr:uid="{00000000-0005-0000-0000-00007D040000}"/>
    <cellStyle name="20% - Accent3 2 4 2" xfId="2858" xr:uid="{00000000-0005-0000-0000-00007E040000}"/>
    <cellStyle name="20% - Accent3 2 4 2 2" xfId="7081" xr:uid="{00000000-0005-0000-0000-00007F040000}"/>
    <cellStyle name="20% - Accent3 2 4 2 2 2" xfId="23951" xr:uid="{00000000-0005-0000-0000-000080040000}"/>
    <cellStyle name="20% - Accent3 2 4 2 2 2 2" xfId="40819" xr:uid="{06DD3129-C3D7-4ADE-9892-FA377D5D57F5}"/>
    <cellStyle name="20% - Accent3 2 4 2 2 3" xfId="15516" xr:uid="{00000000-0005-0000-0000-000081040000}"/>
    <cellStyle name="20% - Accent3 2 4 2 2 4" xfId="32385" xr:uid="{7D8E11C3-8AAE-43DD-A014-1DAA235D4CB8}"/>
    <cellStyle name="20% - Accent3 2 4 2 3" xfId="19733" xr:uid="{00000000-0005-0000-0000-000082040000}"/>
    <cellStyle name="20% - Accent3 2 4 2 3 2" xfId="36602" xr:uid="{9C218A90-3326-470F-B2FB-A3571A1709BC}"/>
    <cellStyle name="20% - Accent3 2 4 2 4" xfId="11298" xr:uid="{00000000-0005-0000-0000-000083040000}"/>
    <cellStyle name="20% - Accent3 2 4 2 5" xfId="28168" xr:uid="{ADB42441-3B25-4EE8-A698-18871FD2492A}"/>
    <cellStyle name="20% - Accent3 2 4 3" xfId="4936" xr:uid="{00000000-0005-0000-0000-000084040000}"/>
    <cellStyle name="20% - Accent3 2 4 3 2" xfId="21806" xr:uid="{00000000-0005-0000-0000-000085040000}"/>
    <cellStyle name="20% - Accent3 2 4 3 2 2" xfId="38674" xr:uid="{DB9DD02D-77CD-4A87-BC33-75725F435C5B}"/>
    <cellStyle name="20% - Accent3 2 4 3 3" xfId="13371" xr:uid="{00000000-0005-0000-0000-000086040000}"/>
    <cellStyle name="20% - Accent3 2 4 3 4" xfId="30240" xr:uid="{7A4214CE-6DE3-40E1-AEAC-1AD5603749D1}"/>
    <cellStyle name="20% - Accent3 2 4 4" xfId="17588" xr:uid="{00000000-0005-0000-0000-000087040000}"/>
    <cellStyle name="20% - Accent3 2 4 4 2" xfId="34457" xr:uid="{90495C2D-1584-4558-BEC8-D5857EE3ADD0}"/>
    <cellStyle name="20% - Accent3 2 4 5" xfId="9153" xr:uid="{00000000-0005-0000-0000-000088040000}"/>
    <cellStyle name="20% - Accent3 2 4 6" xfId="26023" xr:uid="{A330E991-8985-4133-8FC8-009005F19A29}"/>
    <cellStyle name="20% - Accent3 2 5" xfId="1040" xr:uid="{00000000-0005-0000-0000-000089040000}"/>
    <cellStyle name="20% - Accent3 2 5 2" xfId="3271" xr:uid="{00000000-0005-0000-0000-00008A040000}"/>
    <cellStyle name="20% - Accent3 2 5 2 2" xfId="7494" xr:uid="{00000000-0005-0000-0000-00008B040000}"/>
    <cellStyle name="20% - Accent3 2 5 2 2 2" xfId="24364" xr:uid="{00000000-0005-0000-0000-00008C040000}"/>
    <cellStyle name="20% - Accent3 2 5 2 2 2 2" xfId="41232" xr:uid="{2CAA6FB7-4947-4109-A52E-8C3B3133D7A9}"/>
    <cellStyle name="20% - Accent3 2 5 2 2 3" xfId="15929" xr:uid="{00000000-0005-0000-0000-00008D040000}"/>
    <cellStyle name="20% - Accent3 2 5 2 2 4" xfId="32798" xr:uid="{F9E89035-17A1-42EF-BE64-92140C309CD2}"/>
    <cellStyle name="20% - Accent3 2 5 2 3" xfId="20146" xr:uid="{00000000-0005-0000-0000-00008E040000}"/>
    <cellStyle name="20% - Accent3 2 5 2 3 2" xfId="37015" xr:uid="{891EF92D-52D0-465C-81B8-1504F4C19491}"/>
    <cellStyle name="20% - Accent3 2 5 2 4" xfId="11711" xr:uid="{00000000-0005-0000-0000-00008F040000}"/>
    <cellStyle name="20% - Accent3 2 5 2 5" xfId="28581" xr:uid="{B6680A7D-7EE2-4184-811F-0499CF01AE20}"/>
    <cellStyle name="20% - Accent3 2 5 3" xfId="5349" xr:uid="{00000000-0005-0000-0000-000090040000}"/>
    <cellStyle name="20% - Accent3 2 5 3 2" xfId="22219" xr:uid="{00000000-0005-0000-0000-000091040000}"/>
    <cellStyle name="20% - Accent3 2 5 3 2 2" xfId="39087" xr:uid="{7F82D5B3-E34E-486D-9649-E192BE9E11B3}"/>
    <cellStyle name="20% - Accent3 2 5 3 3" xfId="13784" xr:uid="{00000000-0005-0000-0000-000092040000}"/>
    <cellStyle name="20% - Accent3 2 5 3 4" xfId="30653" xr:uid="{F4819358-6541-4C0A-A60F-BC2A98429463}"/>
    <cellStyle name="20% - Accent3 2 5 4" xfId="18001" xr:uid="{00000000-0005-0000-0000-000093040000}"/>
    <cellStyle name="20% - Accent3 2 5 4 2" xfId="34870" xr:uid="{A397078A-532F-4B95-8B67-76BF9FC88946}"/>
    <cellStyle name="20% - Accent3 2 5 5" xfId="9566" xr:uid="{00000000-0005-0000-0000-000094040000}"/>
    <cellStyle name="20% - Accent3 2 5 6" xfId="26436" xr:uid="{C9E2FB43-253B-4EA1-A685-249B793FA729}"/>
    <cellStyle name="20% - Accent3 2 6" xfId="1454" xr:uid="{00000000-0005-0000-0000-000095040000}"/>
    <cellStyle name="20% - Accent3 2 6 2" xfId="3684" xr:uid="{00000000-0005-0000-0000-000096040000}"/>
    <cellStyle name="20% - Accent3 2 6 2 2" xfId="7907" xr:uid="{00000000-0005-0000-0000-000097040000}"/>
    <cellStyle name="20% - Accent3 2 6 2 2 2" xfId="24777" xr:uid="{00000000-0005-0000-0000-000098040000}"/>
    <cellStyle name="20% - Accent3 2 6 2 2 2 2" xfId="41645" xr:uid="{0A81C7DE-7E4B-4C7A-9460-282BF2DBF69A}"/>
    <cellStyle name="20% - Accent3 2 6 2 2 3" xfId="16342" xr:uid="{00000000-0005-0000-0000-000099040000}"/>
    <cellStyle name="20% - Accent3 2 6 2 2 4" xfId="33211" xr:uid="{FEACF886-ADC5-4BC3-9EC2-4A7BC2B90ED8}"/>
    <cellStyle name="20% - Accent3 2 6 2 3" xfId="20559" xr:uid="{00000000-0005-0000-0000-00009A040000}"/>
    <cellStyle name="20% - Accent3 2 6 2 3 2" xfId="37428" xr:uid="{2BE39F9A-1729-42C9-85CC-3F41269812DB}"/>
    <cellStyle name="20% - Accent3 2 6 2 4" xfId="12124" xr:uid="{00000000-0005-0000-0000-00009B040000}"/>
    <cellStyle name="20% - Accent3 2 6 2 5" xfId="28994" xr:uid="{A91A191B-3C2B-4002-8713-1CDFDA634281}"/>
    <cellStyle name="20% - Accent3 2 6 3" xfId="5762" xr:uid="{00000000-0005-0000-0000-00009C040000}"/>
    <cellStyle name="20% - Accent3 2 6 3 2" xfId="22632" xr:uid="{00000000-0005-0000-0000-00009D040000}"/>
    <cellStyle name="20% - Accent3 2 6 3 2 2" xfId="39500" xr:uid="{FE48FC5F-B007-4D07-AF8F-2A6A79439814}"/>
    <cellStyle name="20% - Accent3 2 6 3 3" xfId="14197" xr:uid="{00000000-0005-0000-0000-00009E040000}"/>
    <cellStyle name="20% - Accent3 2 6 3 4" xfId="31066" xr:uid="{0A3F159F-DD65-4C8B-B553-5D9C20120304}"/>
    <cellStyle name="20% - Accent3 2 6 4" xfId="18414" xr:uid="{00000000-0005-0000-0000-00009F040000}"/>
    <cellStyle name="20% - Accent3 2 6 4 2" xfId="35283" xr:uid="{B3DAEB49-83EA-4DB4-A0E5-A4F0EFDF2599}"/>
    <cellStyle name="20% - Accent3 2 6 5" xfId="9979" xr:uid="{00000000-0005-0000-0000-0000A0040000}"/>
    <cellStyle name="20% - Accent3 2 6 6" xfId="26849" xr:uid="{3ADD216E-6AC1-484A-B859-0B42D4AAA2BF}"/>
    <cellStyle name="20% - Accent3 2 7" xfId="1868" xr:uid="{00000000-0005-0000-0000-0000A1040000}"/>
    <cellStyle name="20% - Accent3 2 7 2" xfId="4097" xr:uid="{00000000-0005-0000-0000-0000A2040000}"/>
    <cellStyle name="20% - Accent3 2 7 2 2" xfId="8320" xr:uid="{00000000-0005-0000-0000-0000A3040000}"/>
    <cellStyle name="20% - Accent3 2 7 2 2 2" xfId="25190" xr:uid="{00000000-0005-0000-0000-0000A4040000}"/>
    <cellStyle name="20% - Accent3 2 7 2 2 2 2" xfId="42058" xr:uid="{678FB547-2F9E-4CA5-8042-31FA55D2A16B}"/>
    <cellStyle name="20% - Accent3 2 7 2 2 3" xfId="16755" xr:uid="{00000000-0005-0000-0000-0000A5040000}"/>
    <cellStyle name="20% - Accent3 2 7 2 2 4" xfId="33624" xr:uid="{EC725FF9-1760-4E9D-951A-43089000E20B}"/>
    <cellStyle name="20% - Accent3 2 7 2 3" xfId="20972" xr:uid="{00000000-0005-0000-0000-0000A6040000}"/>
    <cellStyle name="20% - Accent3 2 7 2 3 2" xfId="37841" xr:uid="{DE54551A-F3FF-4CBE-B27F-9889C4F58E0B}"/>
    <cellStyle name="20% - Accent3 2 7 2 4" xfId="12537" xr:uid="{00000000-0005-0000-0000-0000A7040000}"/>
    <cellStyle name="20% - Accent3 2 7 2 5" xfId="29407" xr:uid="{B0FE89D8-E42B-4576-86A0-C9EAD34ECD54}"/>
    <cellStyle name="20% - Accent3 2 7 3" xfId="6175" xr:uid="{00000000-0005-0000-0000-0000A8040000}"/>
    <cellStyle name="20% - Accent3 2 7 3 2" xfId="23045" xr:uid="{00000000-0005-0000-0000-0000A9040000}"/>
    <cellStyle name="20% - Accent3 2 7 3 2 2" xfId="39913" xr:uid="{8071FC38-DB8E-48E3-B72F-B327F9B024E1}"/>
    <cellStyle name="20% - Accent3 2 7 3 3" xfId="14610" xr:uid="{00000000-0005-0000-0000-0000AA040000}"/>
    <cellStyle name="20% - Accent3 2 7 3 4" xfId="31479" xr:uid="{02216E92-D492-4119-A7CF-04549308D501}"/>
    <cellStyle name="20% - Accent3 2 7 4" xfId="18827" xr:uid="{00000000-0005-0000-0000-0000AB040000}"/>
    <cellStyle name="20% - Accent3 2 7 4 2" xfId="35696" xr:uid="{4BC38271-1753-4C2E-A82F-A7EA6F8F1CA7}"/>
    <cellStyle name="20% - Accent3 2 7 5" xfId="10392" xr:uid="{00000000-0005-0000-0000-0000AC040000}"/>
    <cellStyle name="20% - Accent3 2 7 6" xfId="27262" xr:uid="{42421549-2BB8-4EF7-AE54-79BA90AE027B}"/>
    <cellStyle name="20% - Accent3 2 8" xfId="2281" xr:uid="{00000000-0005-0000-0000-0000AD040000}"/>
    <cellStyle name="20% - Accent3 2 8 2" xfId="6588" xr:uid="{00000000-0005-0000-0000-0000AE040000}"/>
    <cellStyle name="20% - Accent3 2 8 2 2" xfId="23458" xr:uid="{00000000-0005-0000-0000-0000AF040000}"/>
    <cellStyle name="20% - Accent3 2 8 2 2 2" xfId="40326" xr:uid="{82FD0FBA-24AB-4EC4-AE30-4634CB414162}"/>
    <cellStyle name="20% - Accent3 2 8 2 3" xfId="15023" xr:uid="{00000000-0005-0000-0000-0000B0040000}"/>
    <cellStyle name="20% - Accent3 2 8 2 4" xfId="31892" xr:uid="{97E91A03-0A2C-4D0D-9B7D-42AB653F4277}"/>
    <cellStyle name="20% - Accent3 2 8 3" xfId="19240" xr:uid="{00000000-0005-0000-0000-0000B1040000}"/>
    <cellStyle name="20% - Accent3 2 8 3 2" xfId="36109" xr:uid="{F6AAAC1E-EA45-40F6-9A4C-EB0ACFD51086}"/>
    <cellStyle name="20% - Accent3 2 8 4" xfId="10805" xr:uid="{00000000-0005-0000-0000-0000B2040000}"/>
    <cellStyle name="20% - Accent3 2 8 5" xfId="27675" xr:uid="{D8306A62-2BF7-4D2F-A2AA-A43F04AB5CE3}"/>
    <cellStyle name="20% - Accent3 2 9" xfId="4522" xr:uid="{00000000-0005-0000-0000-0000B3040000}"/>
    <cellStyle name="20% - Accent3 2 9 2" xfId="21392" xr:uid="{00000000-0005-0000-0000-0000B4040000}"/>
    <cellStyle name="20% - Accent3 2 9 2 2" xfId="38260" xr:uid="{BA10ED3A-BD35-4B5E-B5B1-728AFC5523FA}"/>
    <cellStyle name="20% - Accent3 2 9 3" xfId="12957" xr:uid="{00000000-0005-0000-0000-0000B5040000}"/>
    <cellStyle name="20% - Accent3 2 9 4" xfId="29826" xr:uid="{E321969B-71C3-4465-818A-5A7E4BE5F740}"/>
    <cellStyle name="20% - Accent3 3" xfId="22" xr:uid="{00000000-0005-0000-0000-0000B6040000}"/>
    <cellStyle name="20% - Accent3 3 10" xfId="8743" xr:uid="{00000000-0005-0000-0000-0000B7040000}"/>
    <cellStyle name="20% - Accent3 3 11" xfId="25613" xr:uid="{FF4953B0-6524-45BF-B7A9-CCC4683912F9}"/>
    <cellStyle name="20% - Accent3 3 2" xfId="23" xr:uid="{00000000-0005-0000-0000-0000B8040000}"/>
    <cellStyle name="20% - Accent3 3 2 10" xfId="25614" xr:uid="{4DBBDCF1-A285-4FFF-B936-83AE2C1846AD}"/>
    <cellStyle name="20% - Accent3 3 2 2" xfId="592" xr:uid="{00000000-0005-0000-0000-0000B9040000}"/>
    <cellStyle name="20% - Accent3 3 2 2 2" xfId="2863" xr:uid="{00000000-0005-0000-0000-0000BA040000}"/>
    <cellStyle name="20% - Accent3 3 2 2 2 2" xfId="7086" xr:uid="{00000000-0005-0000-0000-0000BB040000}"/>
    <cellStyle name="20% - Accent3 3 2 2 2 2 2" xfId="23956" xr:uid="{00000000-0005-0000-0000-0000BC040000}"/>
    <cellStyle name="20% - Accent3 3 2 2 2 2 2 2" xfId="40824" xr:uid="{FADD758B-E02C-474F-83B0-4884D472ECE1}"/>
    <cellStyle name="20% - Accent3 3 2 2 2 2 3" xfId="15521" xr:uid="{00000000-0005-0000-0000-0000BD040000}"/>
    <cellStyle name="20% - Accent3 3 2 2 2 2 4" xfId="32390" xr:uid="{CAF3C9EC-F4E1-443D-B36F-06589E05FB85}"/>
    <cellStyle name="20% - Accent3 3 2 2 2 3" xfId="19738" xr:uid="{00000000-0005-0000-0000-0000BE040000}"/>
    <cellStyle name="20% - Accent3 3 2 2 2 3 2" xfId="36607" xr:uid="{4AEB5DC6-A5CA-4B2B-BC36-4FE1B4AAA6DC}"/>
    <cellStyle name="20% - Accent3 3 2 2 2 4" xfId="11303" xr:uid="{00000000-0005-0000-0000-0000BF040000}"/>
    <cellStyle name="20% - Accent3 3 2 2 2 5" xfId="28173" xr:uid="{F871B9AF-3B14-41C7-926A-60671C94E5E4}"/>
    <cellStyle name="20% - Accent3 3 2 2 3" xfId="4941" xr:uid="{00000000-0005-0000-0000-0000C0040000}"/>
    <cellStyle name="20% - Accent3 3 2 2 3 2" xfId="21811" xr:uid="{00000000-0005-0000-0000-0000C1040000}"/>
    <cellStyle name="20% - Accent3 3 2 2 3 2 2" xfId="38679" xr:uid="{9B797369-846E-4B87-8CD7-583240C1ED7E}"/>
    <cellStyle name="20% - Accent3 3 2 2 3 3" xfId="13376" xr:uid="{00000000-0005-0000-0000-0000C2040000}"/>
    <cellStyle name="20% - Accent3 3 2 2 3 4" xfId="30245" xr:uid="{AF921E71-F586-4C71-9363-C6E18D075BD6}"/>
    <cellStyle name="20% - Accent3 3 2 2 4" xfId="17593" xr:uid="{00000000-0005-0000-0000-0000C3040000}"/>
    <cellStyle name="20% - Accent3 3 2 2 4 2" xfId="34462" xr:uid="{AF2FDBA8-76CA-4F01-A7DF-C37A2E8BA03B}"/>
    <cellStyle name="20% - Accent3 3 2 2 5" xfId="9158" xr:uid="{00000000-0005-0000-0000-0000C4040000}"/>
    <cellStyle name="20% - Accent3 3 2 2 6" xfId="26028" xr:uid="{8C335446-959B-4282-8715-F37AD4E72FFB}"/>
    <cellStyle name="20% - Accent3 3 2 3" xfId="1045" xr:uid="{00000000-0005-0000-0000-0000C5040000}"/>
    <cellStyle name="20% - Accent3 3 2 3 2" xfId="3276" xr:uid="{00000000-0005-0000-0000-0000C6040000}"/>
    <cellStyle name="20% - Accent3 3 2 3 2 2" xfId="7499" xr:uid="{00000000-0005-0000-0000-0000C7040000}"/>
    <cellStyle name="20% - Accent3 3 2 3 2 2 2" xfId="24369" xr:uid="{00000000-0005-0000-0000-0000C8040000}"/>
    <cellStyle name="20% - Accent3 3 2 3 2 2 2 2" xfId="41237" xr:uid="{ECD4A3B8-F92E-4B31-A2D7-28EB26C37DDC}"/>
    <cellStyle name="20% - Accent3 3 2 3 2 2 3" xfId="15934" xr:uid="{00000000-0005-0000-0000-0000C9040000}"/>
    <cellStyle name="20% - Accent3 3 2 3 2 2 4" xfId="32803" xr:uid="{7191BC0C-EB07-4AE2-B1AE-7564D97CAF96}"/>
    <cellStyle name="20% - Accent3 3 2 3 2 3" xfId="20151" xr:uid="{00000000-0005-0000-0000-0000CA040000}"/>
    <cellStyle name="20% - Accent3 3 2 3 2 3 2" xfId="37020" xr:uid="{84AD0761-56A1-4ABB-8463-88F4B866CD70}"/>
    <cellStyle name="20% - Accent3 3 2 3 2 4" xfId="11716" xr:uid="{00000000-0005-0000-0000-0000CB040000}"/>
    <cellStyle name="20% - Accent3 3 2 3 2 5" xfId="28586" xr:uid="{20C5BDCD-9FD3-4E11-BBC0-AC9851D26274}"/>
    <cellStyle name="20% - Accent3 3 2 3 3" xfId="5354" xr:uid="{00000000-0005-0000-0000-0000CC040000}"/>
    <cellStyle name="20% - Accent3 3 2 3 3 2" xfId="22224" xr:uid="{00000000-0005-0000-0000-0000CD040000}"/>
    <cellStyle name="20% - Accent3 3 2 3 3 2 2" xfId="39092" xr:uid="{E09BE868-FCDB-4C0C-8896-F4060C772335}"/>
    <cellStyle name="20% - Accent3 3 2 3 3 3" xfId="13789" xr:uid="{00000000-0005-0000-0000-0000CE040000}"/>
    <cellStyle name="20% - Accent3 3 2 3 3 4" xfId="30658" xr:uid="{F169B01A-6592-4FF0-B671-C8FB28A415BB}"/>
    <cellStyle name="20% - Accent3 3 2 3 4" xfId="18006" xr:uid="{00000000-0005-0000-0000-0000CF040000}"/>
    <cellStyle name="20% - Accent3 3 2 3 4 2" xfId="34875" xr:uid="{97137D1B-87F6-49F7-8985-6241A803B82D}"/>
    <cellStyle name="20% - Accent3 3 2 3 5" xfId="9571" xr:uid="{00000000-0005-0000-0000-0000D0040000}"/>
    <cellStyle name="20% - Accent3 3 2 3 6" xfId="26441" xr:uid="{E50A4B0B-E54B-48B9-8367-1EF9927F799C}"/>
    <cellStyle name="20% - Accent3 3 2 4" xfId="1459" xr:uid="{00000000-0005-0000-0000-0000D1040000}"/>
    <cellStyle name="20% - Accent3 3 2 4 2" xfId="3689" xr:uid="{00000000-0005-0000-0000-0000D2040000}"/>
    <cellStyle name="20% - Accent3 3 2 4 2 2" xfId="7912" xr:uid="{00000000-0005-0000-0000-0000D3040000}"/>
    <cellStyle name="20% - Accent3 3 2 4 2 2 2" xfId="24782" xr:uid="{00000000-0005-0000-0000-0000D4040000}"/>
    <cellStyle name="20% - Accent3 3 2 4 2 2 2 2" xfId="41650" xr:uid="{4A10D25A-D51E-4B7B-AB3E-09910408B699}"/>
    <cellStyle name="20% - Accent3 3 2 4 2 2 3" xfId="16347" xr:uid="{00000000-0005-0000-0000-0000D5040000}"/>
    <cellStyle name="20% - Accent3 3 2 4 2 2 4" xfId="33216" xr:uid="{7992B661-A213-4349-AA2F-74735DF47CDE}"/>
    <cellStyle name="20% - Accent3 3 2 4 2 3" xfId="20564" xr:uid="{00000000-0005-0000-0000-0000D6040000}"/>
    <cellStyle name="20% - Accent3 3 2 4 2 3 2" xfId="37433" xr:uid="{4339D3AE-D564-464E-B472-9873862EC083}"/>
    <cellStyle name="20% - Accent3 3 2 4 2 4" xfId="12129" xr:uid="{00000000-0005-0000-0000-0000D7040000}"/>
    <cellStyle name="20% - Accent3 3 2 4 2 5" xfId="28999" xr:uid="{8A8F6386-9184-46C9-96C0-7848C8F37DDC}"/>
    <cellStyle name="20% - Accent3 3 2 4 3" xfId="5767" xr:uid="{00000000-0005-0000-0000-0000D8040000}"/>
    <cellStyle name="20% - Accent3 3 2 4 3 2" xfId="22637" xr:uid="{00000000-0005-0000-0000-0000D9040000}"/>
    <cellStyle name="20% - Accent3 3 2 4 3 2 2" xfId="39505" xr:uid="{92ABBA2D-9679-4ECA-A5BE-0AF9F45DAD15}"/>
    <cellStyle name="20% - Accent3 3 2 4 3 3" xfId="14202" xr:uid="{00000000-0005-0000-0000-0000DA040000}"/>
    <cellStyle name="20% - Accent3 3 2 4 3 4" xfId="31071" xr:uid="{0F6B002B-31E1-4255-828E-2EC3E066C502}"/>
    <cellStyle name="20% - Accent3 3 2 4 4" xfId="18419" xr:uid="{00000000-0005-0000-0000-0000DB040000}"/>
    <cellStyle name="20% - Accent3 3 2 4 4 2" xfId="35288" xr:uid="{688F82FC-403E-4F61-983F-674C2D9205B8}"/>
    <cellStyle name="20% - Accent3 3 2 4 5" xfId="9984" xr:uid="{00000000-0005-0000-0000-0000DC040000}"/>
    <cellStyle name="20% - Accent3 3 2 4 6" xfId="26854" xr:uid="{2613E8E8-75AA-4AF6-9F17-CD748310F356}"/>
    <cellStyle name="20% - Accent3 3 2 5" xfId="1873" xr:uid="{00000000-0005-0000-0000-0000DD040000}"/>
    <cellStyle name="20% - Accent3 3 2 5 2" xfId="4102" xr:uid="{00000000-0005-0000-0000-0000DE040000}"/>
    <cellStyle name="20% - Accent3 3 2 5 2 2" xfId="8325" xr:uid="{00000000-0005-0000-0000-0000DF040000}"/>
    <cellStyle name="20% - Accent3 3 2 5 2 2 2" xfId="25195" xr:uid="{00000000-0005-0000-0000-0000E0040000}"/>
    <cellStyle name="20% - Accent3 3 2 5 2 2 2 2" xfId="42063" xr:uid="{69A6C010-A7A7-4906-A35A-66D5C4B08A78}"/>
    <cellStyle name="20% - Accent3 3 2 5 2 2 3" xfId="16760" xr:uid="{00000000-0005-0000-0000-0000E1040000}"/>
    <cellStyle name="20% - Accent3 3 2 5 2 2 4" xfId="33629" xr:uid="{85C6E4F1-6C63-42C0-8F9E-9DC1B70120C0}"/>
    <cellStyle name="20% - Accent3 3 2 5 2 3" xfId="20977" xr:uid="{00000000-0005-0000-0000-0000E2040000}"/>
    <cellStyle name="20% - Accent3 3 2 5 2 3 2" xfId="37846" xr:uid="{46B16ACF-EDED-485D-A34F-E5C8C3CA627B}"/>
    <cellStyle name="20% - Accent3 3 2 5 2 4" xfId="12542" xr:uid="{00000000-0005-0000-0000-0000E3040000}"/>
    <cellStyle name="20% - Accent3 3 2 5 2 5" xfId="29412" xr:uid="{DA32A7E1-0F60-4D4D-BA40-2A6E987911DF}"/>
    <cellStyle name="20% - Accent3 3 2 5 3" xfId="6180" xr:uid="{00000000-0005-0000-0000-0000E4040000}"/>
    <cellStyle name="20% - Accent3 3 2 5 3 2" xfId="23050" xr:uid="{00000000-0005-0000-0000-0000E5040000}"/>
    <cellStyle name="20% - Accent3 3 2 5 3 2 2" xfId="39918" xr:uid="{7197EFAE-C821-41C0-A4C7-7C1DE92830BA}"/>
    <cellStyle name="20% - Accent3 3 2 5 3 3" xfId="14615" xr:uid="{00000000-0005-0000-0000-0000E6040000}"/>
    <cellStyle name="20% - Accent3 3 2 5 3 4" xfId="31484" xr:uid="{5AFF3E05-9551-41C4-868B-AA2CA7E99B29}"/>
    <cellStyle name="20% - Accent3 3 2 5 4" xfId="18832" xr:uid="{00000000-0005-0000-0000-0000E7040000}"/>
    <cellStyle name="20% - Accent3 3 2 5 4 2" xfId="35701" xr:uid="{0087B799-E1D6-473A-B512-216720F29BF2}"/>
    <cellStyle name="20% - Accent3 3 2 5 5" xfId="10397" xr:uid="{00000000-0005-0000-0000-0000E8040000}"/>
    <cellStyle name="20% - Accent3 3 2 5 6" xfId="27267" xr:uid="{B17AE6A1-862C-479A-841A-F72FCBE2CD5B}"/>
    <cellStyle name="20% - Accent3 3 2 6" xfId="2286" xr:uid="{00000000-0005-0000-0000-0000E9040000}"/>
    <cellStyle name="20% - Accent3 3 2 6 2" xfId="6593" xr:uid="{00000000-0005-0000-0000-0000EA040000}"/>
    <cellStyle name="20% - Accent3 3 2 6 2 2" xfId="23463" xr:uid="{00000000-0005-0000-0000-0000EB040000}"/>
    <cellStyle name="20% - Accent3 3 2 6 2 2 2" xfId="40331" xr:uid="{EFB02FC5-1DC6-4123-8C72-A6F5C125EE6B}"/>
    <cellStyle name="20% - Accent3 3 2 6 2 3" xfId="15028" xr:uid="{00000000-0005-0000-0000-0000EC040000}"/>
    <cellStyle name="20% - Accent3 3 2 6 2 4" xfId="31897" xr:uid="{86549572-22C0-4066-B748-ADFC5ECEC8C2}"/>
    <cellStyle name="20% - Accent3 3 2 6 3" xfId="19245" xr:uid="{00000000-0005-0000-0000-0000ED040000}"/>
    <cellStyle name="20% - Accent3 3 2 6 3 2" xfId="36114" xr:uid="{571B8FBF-2100-4602-A175-E382B0F1AE1D}"/>
    <cellStyle name="20% - Accent3 3 2 6 4" xfId="10810" xr:uid="{00000000-0005-0000-0000-0000EE040000}"/>
    <cellStyle name="20% - Accent3 3 2 6 5" xfId="27680" xr:uid="{14612C8B-E7C7-4093-BA21-A65AF7AC49AB}"/>
    <cellStyle name="20% - Accent3 3 2 7" xfId="4527" xr:uid="{00000000-0005-0000-0000-0000EF040000}"/>
    <cellStyle name="20% - Accent3 3 2 7 2" xfId="21397" xr:uid="{00000000-0005-0000-0000-0000F0040000}"/>
    <cellStyle name="20% - Accent3 3 2 7 2 2" xfId="38265" xr:uid="{23334DD4-DA23-42A1-8426-84644CE22C84}"/>
    <cellStyle name="20% - Accent3 3 2 7 3" xfId="12962" xr:uid="{00000000-0005-0000-0000-0000F1040000}"/>
    <cellStyle name="20% - Accent3 3 2 7 4" xfId="29831" xr:uid="{5F128047-B85D-48D7-9F06-1655971F28D5}"/>
    <cellStyle name="20% - Accent3 3 2 8" xfId="17179" xr:uid="{00000000-0005-0000-0000-0000F2040000}"/>
    <cellStyle name="20% - Accent3 3 2 8 2" xfId="34048" xr:uid="{48BE55E2-1BD2-4FA5-A8FF-0C6C39354DA1}"/>
    <cellStyle name="20% - Accent3 3 2 9" xfId="8744" xr:uid="{00000000-0005-0000-0000-0000F3040000}"/>
    <cellStyle name="20% - Accent3 3 3" xfId="591" xr:uid="{00000000-0005-0000-0000-0000F4040000}"/>
    <cellStyle name="20% - Accent3 3 3 2" xfId="2862" xr:uid="{00000000-0005-0000-0000-0000F5040000}"/>
    <cellStyle name="20% - Accent3 3 3 2 2" xfId="7085" xr:uid="{00000000-0005-0000-0000-0000F6040000}"/>
    <cellStyle name="20% - Accent3 3 3 2 2 2" xfId="23955" xr:uid="{00000000-0005-0000-0000-0000F7040000}"/>
    <cellStyle name="20% - Accent3 3 3 2 2 2 2" xfId="40823" xr:uid="{3D76BF30-2D15-497F-AD45-17C5E860AF90}"/>
    <cellStyle name="20% - Accent3 3 3 2 2 3" xfId="15520" xr:uid="{00000000-0005-0000-0000-0000F8040000}"/>
    <cellStyle name="20% - Accent3 3 3 2 2 4" xfId="32389" xr:uid="{FB019CE1-94E4-4229-93EC-101248120F02}"/>
    <cellStyle name="20% - Accent3 3 3 2 3" xfId="19737" xr:uid="{00000000-0005-0000-0000-0000F9040000}"/>
    <cellStyle name="20% - Accent3 3 3 2 3 2" xfId="36606" xr:uid="{6E79FA57-B2EC-41BF-9726-67BC165D0796}"/>
    <cellStyle name="20% - Accent3 3 3 2 4" xfId="11302" xr:uid="{00000000-0005-0000-0000-0000FA040000}"/>
    <cellStyle name="20% - Accent3 3 3 2 5" xfId="28172" xr:uid="{8BF8C48F-733E-438D-A78F-1D9C8B4152A3}"/>
    <cellStyle name="20% - Accent3 3 3 3" xfId="4940" xr:uid="{00000000-0005-0000-0000-0000FB040000}"/>
    <cellStyle name="20% - Accent3 3 3 3 2" xfId="21810" xr:uid="{00000000-0005-0000-0000-0000FC040000}"/>
    <cellStyle name="20% - Accent3 3 3 3 2 2" xfId="38678" xr:uid="{C12BBCD3-C514-45B1-AB8E-006C0E6CEA1C}"/>
    <cellStyle name="20% - Accent3 3 3 3 3" xfId="13375" xr:uid="{00000000-0005-0000-0000-0000FD040000}"/>
    <cellStyle name="20% - Accent3 3 3 3 4" xfId="30244" xr:uid="{BFA3BA83-C0FB-4504-98A4-C150992FFC54}"/>
    <cellStyle name="20% - Accent3 3 3 4" xfId="17592" xr:uid="{00000000-0005-0000-0000-0000FE040000}"/>
    <cellStyle name="20% - Accent3 3 3 4 2" xfId="34461" xr:uid="{A73C47E9-9988-4928-BB84-43D0EF4C11C8}"/>
    <cellStyle name="20% - Accent3 3 3 5" xfId="9157" xr:uid="{00000000-0005-0000-0000-0000FF040000}"/>
    <cellStyle name="20% - Accent3 3 3 6" xfId="26027" xr:uid="{1B6F88E4-0716-45D8-8158-28CDD050ABA0}"/>
    <cellStyle name="20% - Accent3 3 4" xfId="1044" xr:uid="{00000000-0005-0000-0000-000000050000}"/>
    <cellStyle name="20% - Accent3 3 4 2" xfId="3275" xr:uid="{00000000-0005-0000-0000-000001050000}"/>
    <cellStyle name="20% - Accent3 3 4 2 2" xfId="7498" xr:uid="{00000000-0005-0000-0000-000002050000}"/>
    <cellStyle name="20% - Accent3 3 4 2 2 2" xfId="24368" xr:uid="{00000000-0005-0000-0000-000003050000}"/>
    <cellStyle name="20% - Accent3 3 4 2 2 2 2" xfId="41236" xr:uid="{3D7AF3B6-4BC1-49CA-BA89-EFDC136B272E}"/>
    <cellStyle name="20% - Accent3 3 4 2 2 3" xfId="15933" xr:uid="{00000000-0005-0000-0000-000004050000}"/>
    <cellStyle name="20% - Accent3 3 4 2 2 4" xfId="32802" xr:uid="{1076D0E2-F286-4822-80C2-9EE8396170EF}"/>
    <cellStyle name="20% - Accent3 3 4 2 3" xfId="20150" xr:uid="{00000000-0005-0000-0000-000005050000}"/>
    <cellStyle name="20% - Accent3 3 4 2 3 2" xfId="37019" xr:uid="{F6917DCF-433A-44D7-86FD-1A8B95CC990B}"/>
    <cellStyle name="20% - Accent3 3 4 2 4" xfId="11715" xr:uid="{00000000-0005-0000-0000-000006050000}"/>
    <cellStyle name="20% - Accent3 3 4 2 5" xfId="28585" xr:uid="{43080057-BF5A-4908-9760-199EB8FA904B}"/>
    <cellStyle name="20% - Accent3 3 4 3" xfId="5353" xr:uid="{00000000-0005-0000-0000-000007050000}"/>
    <cellStyle name="20% - Accent3 3 4 3 2" xfId="22223" xr:uid="{00000000-0005-0000-0000-000008050000}"/>
    <cellStyle name="20% - Accent3 3 4 3 2 2" xfId="39091" xr:uid="{8C9BEBB2-56D2-4312-8184-982ED740148B}"/>
    <cellStyle name="20% - Accent3 3 4 3 3" xfId="13788" xr:uid="{00000000-0005-0000-0000-000009050000}"/>
    <cellStyle name="20% - Accent3 3 4 3 4" xfId="30657" xr:uid="{22D7A2C8-4757-4511-895C-3C7B2AE1D295}"/>
    <cellStyle name="20% - Accent3 3 4 4" xfId="18005" xr:uid="{00000000-0005-0000-0000-00000A050000}"/>
    <cellStyle name="20% - Accent3 3 4 4 2" xfId="34874" xr:uid="{D3DB7E7D-7BFC-432D-A9F2-E1A7AAF1115F}"/>
    <cellStyle name="20% - Accent3 3 4 5" xfId="9570" xr:uid="{00000000-0005-0000-0000-00000B050000}"/>
    <cellStyle name="20% - Accent3 3 4 6" xfId="26440" xr:uid="{243BCB0F-6A95-4FD8-81DF-DA01A5A15F64}"/>
    <cellStyle name="20% - Accent3 3 5" xfId="1458" xr:uid="{00000000-0005-0000-0000-00000C050000}"/>
    <cellStyle name="20% - Accent3 3 5 2" xfId="3688" xr:uid="{00000000-0005-0000-0000-00000D050000}"/>
    <cellStyle name="20% - Accent3 3 5 2 2" xfId="7911" xr:uid="{00000000-0005-0000-0000-00000E050000}"/>
    <cellStyle name="20% - Accent3 3 5 2 2 2" xfId="24781" xr:uid="{00000000-0005-0000-0000-00000F050000}"/>
    <cellStyle name="20% - Accent3 3 5 2 2 2 2" xfId="41649" xr:uid="{36C0A10D-4A2C-4134-B17C-B67718BBEF96}"/>
    <cellStyle name="20% - Accent3 3 5 2 2 3" xfId="16346" xr:uid="{00000000-0005-0000-0000-000010050000}"/>
    <cellStyle name="20% - Accent3 3 5 2 2 4" xfId="33215" xr:uid="{92D81937-A274-444F-A302-FAEC84628441}"/>
    <cellStyle name="20% - Accent3 3 5 2 3" xfId="20563" xr:uid="{00000000-0005-0000-0000-000011050000}"/>
    <cellStyle name="20% - Accent3 3 5 2 3 2" xfId="37432" xr:uid="{C4AFFABA-8D5F-4C02-BE0B-8328059CDD65}"/>
    <cellStyle name="20% - Accent3 3 5 2 4" xfId="12128" xr:uid="{00000000-0005-0000-0000-000012050000}"/>
    <cellStyle name="20% - Accent3 3 5 2 5" xfId="28998" xr:uid="{9FA9EF06-33CD-41BD-BE84-D2FC9FEDC463}"/>
    <cellStyle name="20% - Accent3 3 5 3" xfId="5766" xr:uid="{00000000-0005-0000-0000-000013050000}"/>
    <cellStyle name="20% - Accent3 3 5 3 2" xfId="22636" xr:uid="{00000000-0005-0000-0000-000014050000}"/>
    <cellStyle name="20% - Accent3 3 5 3 2 2" xfId="39504" xr:uid="{6509F18E-612E-44E5-8EA2-D8BFEA43A30A}"/>
    <cellStyle name="20% - Accent3 3 5 3 3" xfId="14201" xr:uid="{00000000-0005-0000-0000-000015050000}"/>
    <cellStyle name="20% - Accent3 3 5 3 4" xfId="31070" xr:uid="{33E30915-2B40-4866-8990-59934DDFBCF6}"/>
    <cellStyle name="20% - Accent3 3 5 4" xfId="18418" xr:uid="{00000000-0005-0000-0000-000016050000}"/>
    <cellStyle name="20% - Accent3 3 5 4 2" xfId="35287" xr:uid="{31F30E17-9848-492C-AEB2-AF5D411E316E}"/>
    <cellStyle name="20% - Accent3 3 5 5" xfId="9983" xr:uid="{00000000-0005-0000-0000-000017050000}"/>
    <cellStyle name="20% - Accent3 3 5 6" xfId="26853" xr:uid="{41DF4EBB-DDBB-413D-84F0-B88568F7EC6D}"/>
    <cellStyle name="20% - Accent3 3 6" xfId="1872" xr:uid="{00000000-0005-0000-0000-000018050000}"/>
    <cellStyle name="20% - Accent3 3 6 2" xfId="4101" xr:uid="{00000000-0005-0000-0000-000019050000}"/>
    <cellStyle name="20% - Accent3 3 6 2 2" xfId="8324" xr:uid="{00000000-0005-0000-0000-00001A050000}"/>
    <cellStyle name="20% - Accent3 3 6 2 2 2" xfId="25194" xr:uid="{00000000-0005-0000-0000-00001B050000}"/>
    <cellStyle name="20% - Accent3 3 6 2 2 2 2" xfId="42062" xr:uid="{8EC66C05-5B74-468C-BE63-1D95F5F94F8E}"/>
    <cellStyle name="20% - Accent3 3 6 2 2 3" xfId="16759" xr:uid="{00000000-0005-0000-0000-00001C050000}"/>
    <cellStyle name="20% - Accent3 3 6 2 2 4" xfId="33628" xr:uid="{62CB4029-B3EC-4C50-A724-627488AFE46F}"/>
    <cellStyle name="20% - Accent3 3 6 2 3" xfId="20976" xr:uid="{00000000-0005-0000-0000-00001D050000}"/>
    <cellStyle name="20% - Accent3 3 6 2 3 2" xfId="37845" xr:uid="{87D84B3E-149A-4170-8F65-EAD60ED704C2}"/>
    <cellStyle name="20% - Accent3 3 6 2 4" xfId="12541" xr:uid="{00000000-0005-0000-0000-00001E050000}"/>
    <cellStyle name="20% - Accent3 3 6 2 5" xfId="29411" xr:uid="{D6BB78ED-2133-4431-B0EC-9A60EBF082A2}"/>
    <cellStyle name="20% - Accent3 3 6 3" xfId="6179" xr:uid="{00000000-0005-0000-0000-00001F050000}"/>
    <cellStyle name="20% - Accent3 3 6 3 2" xfId="23049" xr:uid="{00000000-0005-0000-0000-000020050000}"/>
    <cellStyle name="20% - Accent3 3 6 3 2 2" xfId="39917" xr:uid="{9746E36B-FC3E-4E46-ABB9-B3766D7E23BB}"/>
    <cellStyle name="20% - Accent3 3 6 3 3" xfId="14614" xr:uid="{00000000-0005-0000-0000-000021050000}"/>
    <cellStyle name="20% - Accent3 3 6 3 4" xfId="31483" xr:uid="{091310C5-7BDC-4EEE-8068-866764FE864B}"/>
    <cellStyle name="20% - Accent3 3 6 4" xfId="18831" xr:uid="{00000000-0005-0000-0000-000022050000}"/>
    <cellStyle name="20% - Accent3 3 6 4 2" xfId="35700" xr:uid="{4118A910-61E1-435D-905E-09CE3643EFCF}"/>
    <cellStyle name="20% - Accent3 3 6 5" xfId="10396" xr:uid="{00000000-0005-0000-0000-000023050000}"/>
    <cellStyle name="20% - Accent3 3 6 6" xfId="27266" xr:uid="{A86A3992-63A4-4DAD-AB91-659F5DB6601C}"/>
    <cellStyle name="20% - Accent3 3 7" xfId="2285" xr:uid="{00000000-0005-0000-0000-000024050000}"/>
    <cellStyle name="20% - Accent3 3 7 2" xfId="6592" xr:uid="{00000000-0005-0000-0000-000025050000}"/>
    <cellStyle name="20% - Accent3 3 7 2 2" xfId="23462" xr:uid="{00000000-0005-0000-0000-000026050000}"/>
    <cellStyle name="20% - Accent3 3 7 2 2 2" xfId="40330" xr:uid="{7F8CCD4A-99B3-489E-A1A1-F095FD60BAC8}"/>
    <cellStyle name="20% - Accent3 3 7 2 3" xfId="15027" xr:uid="{00000000-0005-0000-0000-000027050000}"/>
    <cellStyle name="20% - Accent3 3 7 2 4" xfId="31896" xr:uid="{5CC111AF-7C0B-496B-AF57-123C83DD3ECA}"/>
    <cellStyle name="20% - Accent3 3 7 3" xfId="19244" xr:uid="{00000000-0005-0000-0000-000028050000}"/>
    <cellStyle name="20% - Accent3 3 7 3 2" xfId="36113" xr:uid="{EA1A7617-D9A3-4FE4-AD2A-6150928549EF}"/>
    <cellStyle name="20% - Accent3 3 7 4" xfId="10809" xr:uid="{00000000-0005-0000-0000-000029050000}"/>
    <cellStyle name="20% - Accent3 3 7 5" xfId="27679" xr:uid="{4D667AAB-C98C-4ED5-BC6B-3ED633B70F62}"/>
    <cellStyle name="20% - Accent3 3 8" xfId="4526" xr:uid="{00000000-0005-0000-0000-00002A050000}"/>
    <cellStyle name="20% - Accent3 3 8 2" xfId="21396" xr:uid="{00000000-0005-0000-0000-00002B050000}"/>
    <cellStyle name="20% - Accent3 3 8 2 2" xfId="38264" xr:uid="{18C82797-C10C-49C0-B4D4-12E679D72D19}"/>
    <cellStyle name="20% - Accent3 3 8 3" xfId="12961" xr:uid="{00000000-0005-0000-0000-00002C050000}"/>
    <cellStyle name="20% - Accent3 3 8 4" xfId="29830" xr:uid="{86239B0C-5270-4A58-A3B9-8CCE5DD469BE}"/>
    <cellStyle name="20% - Accent3 3 9" xfId="17178" xr:uid="{00000000-0005-0000-0000-00002D050000}"/>
    <cellStyle name="20% - Accent3 3 9 2" xfId="34047" xr:uid="{9D549EF5-25E2-4151-B1D7-CFA579B2EE4F}"/>
    <cellStyle name="20% - Accent3 4" xfId="24" xr:uid="{00000000-0005-0000-0000-00002E050000}"/>
    <cellStyle name="20% - Accent3 4 10" xfId="25615" xr:uid="{6BC620EF-0DF0-438C-98D8-225C57C233FA}"/>
    <cellStyle name="20% - Accent3 4 2" xfId="593" xr:uid="{00000000-0005-0000-0000-00002F050000}"/>
    <cellStyle name="20% - Accent3 4 2 2" xfId="2864" xr:uid="{00000000-0005-0000-0000-000030050000}"/>
    <cellStyle name="20% - Accent3 4 2 2 2" xfId="7087" xr:uid="{00000000-0005-0000-0000-000031050000}"/>
    <cellStyle name="20% - Accent3 4 2 2 2 2" xfId="23957" xr:uid="{00000000-0005-0000-0000-000032050000}"/>
    <cellStyle name="20% - Accent3 4 2 2 2 2 2" xfId="40825" xr:uid="{F0C801D8-BDFF-4883-81AB-71DF5AB265DB}"/>
    <cellStyle name="20% - Accent3 4 2 2 2 3" xfId="15522" xr:uid="{00000000-0005-0000-0000-000033050000}"/>
    <cellStyle name="20% - Accent3 4 2 2 2 4" xfId="32391" xr:uid="{EC31C61E-B0E7-44C4-B1E1-A7EF9D1F79EC}"/>
    <cellStyle name="20% - Accent3 4 2 2 3" xfId="19739" xr:uid="{00000000-0005-0000-0000-000034050000}"/>
    <cellStyle name="20% - Accent3 4 2 2 3 2" xfId="36608" xr:uid="{3159AF1C-C69F-4D8C-AE4F-69258BD839E2}"/>
    <cellStyle name="20% - Accent3 4 2 2 4" xfId="11304" xr:uid="{00000000-0005-0000-0000-000035050000}"/>
    <cellStyle name="20% - Accent3 4 2 2 5" xfId="28174" xr:uid="{91520E3D-6A20-4AAC-B395-2AF9CC000A02}"/>
    <cellStyle name="20% - Accent3 4 2 3" xfId="4942" xr:uid="{00000000-0005-0000-0000-000036050000}"/>
    <cellStyle name="20% - Accent3 4 2 3 2" xfId="21812" xr:uid="{00000000-0005-0000-0000-000037050000}"/>
    <cellStyle name="20% - Accent3 4 2 3 2 2" xfId="38680" xr:uid="{52FA49E1-92F3-45FA-BD39-E04360008429}"/>
    <cellStyle name="20% - Accent3 4 2 3 3" xfId="13377" xr:uid="{00000000-0005-0000-0000-000038050000}"/>
    <cellStyle name="20% - Accent3 4 2 3 4" xfId="30246" xr:uid="{D087C34F-201E-45F8-8195-C33459306186}"/>
    <cellStyle name="20% - Accent3 4 2 4" xfId="17594" xr:uid="{00000000-0005-0000-0000-000039050000}"/>
    <cellStyle name="20% - Accent3 4 2 4 2" xfId="34463" xr:uid="{C6BDCFCB-0E0C-499B-919C-1854BBBE8E5D}"/>
    <cellStyle name="20% - Accent3 4 2 5" xfId="9159" xr:uid="{00000000-0005-0000-0000-00003A050000}"/>
    <cellStyle name="20% - Accent3 4 2 6" xfId="26029" xr:uid="{2875B5C9-14FE-489A-BFA1-7C6167E6D539}"/>
    <cellStyle name="20% - Accent3 4 3" xfId="1046" xr:uid="{00000000-0005-0000-0000-00003B050000}"/>
    <cellStyle name="20% - Accent3 4 3 2" xfId="3277" xr:uid="{00000000-0005-0000-0000-00003C050000}"/>
    <cellStyle name="20% - Accent3 4 3 2 2" xfId="7500" xr:uid="{00000000-0005-0000-0000-00003D050000}"/>
    <cellStyle name="20% - Accent3 4 3 2 2 2" xfId="24370" xr:uid="{00000000-0005-0000-0000-00003E050000}"/>
    <cellStyle name="20% - Accent3 4 3 2 2 2 2" xfId="41238" xr:uid="{83FB89A0-8EC0-49AC-9C29-F040CEC30DF2}"/>
    <cellStyle name="20% - Accent3 4 3 2 2 3" xfId="15935" xr:uid="{00000000-0005-0000-0000-00003F050000}"/>
    <cellStyle name="20% - Accent3 4 3 2 2 4" xfId="32804" xr:uid="{C497E0B7-81C8-408E-8974-3930DDBC8C81}"/>
    <cellStyle name="20% - Accent3 4 3 2 3" xfId="20152" xr:uid="{00000000-0005-0000-0000-000040050000}"/>
    <cellStyle name="20% - Accent3 4 3 2 3 2" xfId="37021" xr:uid="{0AB610DE-5D6B-4084-904A-3FD1CBBCF2A6}"/>
    <cellStyle name="20% - Accent3 4 3 2 4" xfId="11717" xr:uid="{00000000-0005-0000-0000-000041050000}"/>
    <cellStyle name="20% - Accent3 4 3 2 5" xfId="28587" xr:uid="{5C11B59A-CB9B-4EDC-9F75-41FFD408A4A3}"/>
    <cellStyle name="20% - Accent3 4 3 3" xfId="5355" xr:uid="{00000000-0005-0000-0000-000042050000}"/>
    <cellStyle name="20% - Accent3 4 3 3 2" xfId="22225" xr:uid="{00000000-0005-0000-0000-000043050000}"/>
    <cellStyle name="20% - Accent3 4 3 3 2 2" xfId="39093" xr:uid="{D6FFFFA9-8E96-43FB-857E-F02A65B8A6EE}"/>
    <cellStyle name="20% - Accent3 4 3 3 3" xfId="13790" xr:uid="{00000000-0005-0000-0000-000044050000}"/>
    <cellStyle name="20% - Accent3 4 3 3 4" xfId="30659" xr:uid="{098CEA7A-66EB-473E-B21A-6D461944D284}"/>
    <cellStyle name="20% - Accent3 4 3 4" xfId="18007" xr:uid="{00000000-0005-0000-0000-000045050000}"/>
    <cellStyle name="20% - Accent3 4 3 4 2" xfId="34876" xr:uid="{0721376C-6EC6-463D-8711-96C02E4E1F39}"/>
    <cellStyle name="20% - Accent3 4 3 5" xfId="9572" xr:uid="{00000000-0005-0000-0000-000046050000}"/>
    <cellStyle name="20% - Accent3 4 3 6" xfId="26442" xr:uid="{ACBB90A4-F573-4C44-82A9-40D02D31F729}"/>
    <cellStyle name="20% - Accent3 4 4" xfId="1460" xr:uid="{00000000-0005-0000-0000-000047050000}"/>
    <cellStyle name="20% - Accent3 4 4 2" xfId="3690" xr:uid="{00000000-0005-0000-0000-000048050000}"/>
    <cellStyle name="20% - Accent3 4 4 2 2" xfId="7913" xr:uid="{00000000-0005-0000-0000-000049050000}"/>
    <cellStyle name="20% - Accent3 4 4 2 2 2" xfId="24783" xr:uid="{00000000-0005-0000-0000-00004A050000}"/>
    <cellStyle name="20% - Accent3 4 4 2 2 2 2" xfId="41651" xr:uid="{E005851F-483B-493A-B55A-4B0981602C89}"/>
    <cellStyle name="20% - Accent3 4 4 2 2 3" xfId="16348" xr:uid="{00000000-0005-0000-0000-00004B050000}"/>
    <cellStyle name="20% - Accent3 4 4 2 2 4" xfId="33217" xr:uid="{E9174AF1-DACD-4338-AE1D-ED7E222E65F4}"/>
    <cellStyle name="20% - Accent3 4 4 2 3" xfId="20565" xr:uid="{00000000-0005-0000-0000-00004C050000}"/>
    <cellStyle name="20% - Accent3 4 4 2 3 2" xfId="37434" xr:uid="{E3C84293-9F19-4D47-A999-EFA96BC5A3B2}"/>
    <cellStyle name="20% - Accent3 4 4 2 4" xfId="12130" xr:uid="{00000000-0005-0000-0000-00004D050000}"/>
    <cellStyle name="20% - Accent3 4 4 2 5" xfId="29000" xr:uid="{5846E2BA-3D60-459F-883E-6E16780910F7}"/>
    <cellStyle name="20% - Accent3 4 4 3" xfId="5768" xr:uid="{00000000-0005-0000-0000-00004E050000}"/>
    <cellStyle name="20% - Accent3 4 4 3 2" xfId="22638" xr:uid="{00000000-0005-0000-0000-00004F050000}"/>
    <cellStyle name="20% - Accent3 4 4 3 2 2" xfId="39506" xr:uid="{1610D17F-A1CB-411D-93C1-B558757530F9}"/>
    <cellStyle name="20% - Accent3 4 4 3 3" xfId="14203" xr:uid="{00000000-0005-0000-0000-000050050000}"/>
    <cellStyle name="20% - Accent3 4 4 3 4" xfId="31072" xr:uid="{71D817CE-5CB3-4E83-8BB7-B072871248A0}"/>
    <cellStyle name="20% - Accent3 4 4 4" xfId="18420" xr:uid="{00000000-0005-0000-0000-000051050000}"/>
    <cellStyle name="20% - Accent3 4 4 4 2" xfId="35289" xr:uid="{2BE7ADAE-5F2E-491B-8D97-4E1E9728CDCA}"/>
    <cellStyle name="20% - Accent3 4 4 5" xfId="9985" xr:uid="{00000000-0005-0000-0000-000052050000}"/>
    <cellStyle name="20% - Accent3 4 4 6" xfId="26855" xr:uid="{5B437984-896D-470C-8987-69DD079A4335}"/>
    <cellStyle name="20% - Accent3 4 5" xfId="1874" xr:uid="{00000000-0005-0000-0000-000053050000}"/>
    <cellStyle name="20% - Accent3 4 5 2" xfId="4103" xr:uid="{00000000-0005-0000-0000-000054050000}"/>
    <cellStyle name="20% - Accent3 4 5 2 2" xfId="8326" xr:uid="{00000000-0005-0000-0000-000055050000}"/>
    <cellStyle name="20% - Accent3 4 5 2 2 2" xfId="25196" xr:uid="{00000000-0005-0000-0000-000056050000}"/>
    <cellStyle name="20% - Accent3 4 5 2 2 2 2" xfId="42064" xr:uid="{18FFD4E3-3C9F-4998-8235-990E9F819BAB}"/>
    <cellStyle name="20% - Accent3 4 5 2 2 3" xfId="16761" xr:uid="{00000000-0005-0000-0000-000057050000}"/>
    <cellStyle name="20% - Accent3 4 5 2 2 4" xfId="33630" xr:uid="{F7E101E9-690B-46F6-A95C-C13E9F319587}"/>
    <cellStyle name="20% - Accent3 4 5 2 3" xfId="20978" xr:uid="{00000000-0005-0000-0000-000058050000}"/>
    <cellStyle name="20% - Accent3 4 5 2 3 2" xfId="37847" xr:uid="{2716C915-1509-4D31-A75A-40B1E5A9C1BD}"/>
    <cellStyle name="20% - Accent3 4 5 2 4" xfId="12543" xr:uid="{00000000-0005-0000-0000-000059050000}"/>
    <cellStyle name="20% - Accent3 4 5 2 5" xfId="29413" xr:uid="{F7508091-052B-448A-9861-CB5777D59D15}"/>
    <cellStyle name="20% - Accent3 4 5 3" xfId="6181" xr:uid="{00000000-0005-0000-0000-00005A050000}"/>
    <cellStyle name="20% - Accent3 4 5 3 2" xfId="23051" xr:uid="{00000000-0005-0000-0000-00005B050000}"/>
    <cellStyle name="20% - Accent3 4 5 3 2 2" xfId="39919" xr:uid="{4BEDAECC-B6CE-4A7C-97BE-5C018C4AB67B}"/>
    <cellStyle name="20% - Accent3 4 5 3 3" xfId="14616" xr:uid="{00000000-0005-0000-0000-00005C050000}"/>
    <cellStyle name="20% - Accent3 4 5 3 4" xfId="31485" xr:uid="{902B8B13-71FB-4C38-B6D9-06AD82B58AB9}"/>
    <cellStyle name="20% - Accent3 4 5 4" xfId="18833" xr:uid="{00000000-0005-0000-0000-00005D050000}"/>
    <cellStyle name="20% - Accent3 4 5 4 2" xfId="35702" xr:uid="{B89CE08C-3D0E-4370-9ABC-23E0897A1B4F}"/>
    <cellStyle name="20% - Accent3 4 5 5" xfId="10398" xr:uid="{00000000-0005-0000-0000-00005E050000}"/>
    <cellStyle name="20% - Accent3 4 5 6" xfId="27268" xr:uid="{5168D452-1CC2-4692-81BA-C76436EDE317}"/>
    <cellStyle name="20% - Accent3 4 6" xfId="2287" xr:uid="{00000000-0005-0000-0000-00005F050000}"/>
    <cellStyle name="20% - Accent3 4 6 2" xfId="6594" xr:uid="{00000000-0005-0000-0000-000060050000}"/>
    <cellStyle name="20% - Accent3 4 6 2 2" xfId="23464" xr:uid="{00000000-0005-0000-0000-000061050000}"/>
    <cellStyle name="20% - Accent3 4 6 2 2 2" xfId="40332" xr:uid="{C7DA3EC6-2AEC-4367-BB2E-6298DE23F922}"/>
    <cellStyle name="20% - Accent3 4 6 2 3" xfId="15029" xr:uid="{00000000-0005-0000-0000-000062050000}"/>
    <cellStyle name="20% - Accent3 4 6 2 4" xfId="31898" xr:uid="{89686E0C-9486-4ED1-8748-F3B08D499E43}"/>
    <cellStyle name="20% - Accent3 4 6 3" xfId="19246" xr:uid="{00000000-0005-0000-0000-000063050000}"/>
    <cellStyle name="20% - Accent3 4 6 3 2" xfId="36115" xr:uid="{F950FB72-9D04-440D-97E6-4682D00A6873}"/>
    <cellStyle name="20% - Accent3 4 6 4" xfId="10811" xr:uid="{00000000-0005-0000-0000-000064050000}"/>
    <cellStyle name="20% - Accent3 4 6 5" xfId="27681" xr:uid="{D28EB48D-A4DA-4644-AE0E-E5F5816FE9D7}"/>
    <cellStyle name="20% - Accent3 4 7" xfId="4528" xr:uid="{00000000-0005-0000-0000-000065050000}"/>
    <cellStyle name="20% - Accent3 4 7 2" xfId="21398" xr:uid="{00000000-0005-0000-0000-000066050000}"/>
    <cellStyle name="20% - Accent3 4 7 2 2" xfId="38266" xr:uid="{C74CC168-691A-452E-A145-A6453FC632F8}"/>
    <cellStyle name="20% - Accent3 4 7 3" xfId="12963" xr:uid="{00000000-0005-0000-0000-000067050000}"/>
    <cellStyle name="20% - Accent3 4 7 4" xfId="29832" xr:uid="{809029C5-FBB0-4C52-9A4C-843F799FCF9A}"/>
    <cellStyle name="20% - Accent3 4 8" xfId="17180" xr:uid="{00000000-0005-0000-0000-000068050000}"/>
    <cellStyle name="20% - Accent3 4 8 2" xfId="34049" xr:uid="{1BEC6CBC-F8B6-4016-B37E-3944AF0C9C9A}"/>
    <cellStyle name="20% - Accent3 4 9" xfId="8745" xr:uid="{00000000-0005-0000-0000-000069050000}"/>
    <cellStyle name="20% - Accent3 5" xfId="586" xr:uid="{00000000-0005-0000-0000-00006A050000}"/>
    <cellStyle name="20% - Accent3 5 2" xfId="2857" xr:uid="{00000000-0005-0000-0000-00006B050000}"/>
    <cellStyle name="20% - Accent3 5 2 2" xfId="7080" xr:uid="{00000000-0005-0000-0000-00006C050000}"/>
    <cellStyle name="20% - Accent3 5 2 2 2" xfId="23950" xr:uid="{00000000-0005-0000-0000-00006D050000}"/>
    <cellStyle name="20% - Accent3 5 2 2 2 2" xfId="40818" xr:uid="{6E368CCB-9C4A-4CF0-9050-131CCE346A09}"/>
    <cellStyle name="20% - Accent3 5 2 2 3" xfId="15515" xr:uid="{00000000-0005-0000-0000-00006E050000}"/>
    <cellStyle name="20% - Accent3 5 2 2 4" xfId="32384" xr:uid="{3B7DA142-771E-4AC6-9445-B067948C57AD}"/>
    <cellStyle name="20% - Accent3 5 2 3" xfId="19732" xr:uid="{00000000-0005-0000-0000-00006F050000}"/>
    <cellStyle name="20% - Accent3 5 2 3 2" xfId="36601" xr:uid="{8E202BFA-EBCA-4BD2-811A-37DC34238471}"/>
    <cellStyle name="20% - Accent3 5 2 4" xfId="11297" xr:uid="{00000000-0005-0000-0000-000070050000}"/>
    <cellStyle name="20% - Accent3 5 2 5" xfId="28167" xr:uid="{4C0439DD-C5B9-43A0-B0B3-1514E574F176}"/>
    <cellStyle name="20% - Accent3 5 3" xfId="4935" xr:uid="{00000000-0005-0000-0000-000071050000}"/>
    <cellStyle name="20% - Accent3 5 3 2" xfId="21805" xr:uid="{00000000-0005-0000-0000-000072050000}"/>
    <cellStyle name="20% - Accent3 5 3 2 2" xfId="38673" xr:uid="{0F020158-9B80-4061-BD80-7AF4207388C6}"/>
    <cellStyle name="20% - Accent3 5 3 3" xfId="13370" xr:uid="{00000000-0005-0000-0000-000073050000}"/>
    <cellStyle name="20% - Accent3 5 3 4" xfId="30239" xr:uid="{814B624C-07C1-48F5-BCBD-C4493E7F6F36}"/>
    <cellStyle name="20% - Accent3 5 4" xfId="17587" xr:uid="{00000000-0005-0000-0000-000074050000}"/>
    <cellStyle name="20% - Accent3 5 4 2" xfId="34456" xr:uid="{F9D79813-D654-4417-8153-95925C745DA4}"/>
    <cellStyle name="20% - Accent3 5 5" xfId="9152" xr:uid="{00000000-0005-0000-0000-000075050000}"/>
    <cellStyle name="20% - Accent3 5 6" xfId="26022" xr:uid="{B81B876B-FA24-4138-9444-7B87AF52F622}"/>
    <cellStyle name="20% - Accent3 6" xfId="1039" xr:uid="{00000000-0005-0000-0000-000076050000}"/>
    <cellStyle name="20% - Accent3 6 2" xfId="3270" xr:uid="{00000000-0005-0000-0000-000077050000}"/>
    <cellStyle name="20% - Accent3 6 2 2" xfId="7493" xr:uid="{00000000-0005-0000-0000-000078050000}"/>
    <cellStyle name="20% - Accent3 6 2 2 2" xfId="24363" xr:uid="{00000000-0005-0000-0000-000079050000}"/>
    <cellStyle name="20% - Accent3 6 2 2 2 2" xfId="41231" xr:uid="{4F967EA3-FE5B-4CDC-9253-ECF97A8E9510}"/>
    <cellStyle name="20% - Accent3 6 2 2 3" xfId="15928" xr:uid="{00000000-0005-0000-0000-00007A050000}"/>
    <cellStyle name="20% - Accent3 6 2 2 4" xfId="32797" xr:uid="{E0F62AA6-E5F1-4B6C-8E38-3F0D2B4BEC0B}"/>
    <cellStyle name="20% - Accent3 6 2 3" xfId="20145" xr:uid="{00000000-0005-0000-0000-00007B050000}"/>
    <cellStyle name="20% - Accent3 6 2 3 2" xfId="37014" xr:uid="{5DB1B8BE-EDFC-486E-BD73-8B22E7A1BCF0}"/>
    <cellStyle name="20% - Accent3 6 2 4" xfId="11710" xr:uid="{00000000-0005-0000-0000-00007C050000}"/>
    <cellStyle name="20% - Accent3 6 2 5" xfId="28580" xr:uid="{FF8D3A12-F174-4791-936A-B9FD7C548F3A}"/>
    <cellStyle name="20% - Accent3 6 3" xfId="5348" xr:uid="{00000000-0005-0000-0000-00007D050000}"/>
    <cellStyle name="20% - Accent3 6 3 2" xfId="22218" xr:uid="{00000000-0005-0000-0000-00007E050000}"/>
    <cellStyle name="20% - Accent3 6 3 2 2" xfId="39086" xr:uid="{0672CD31-EACE-4832-8D20-FD269FEDD5A9}"/>
    <cellStyle name="20% - Accent3 6 3 3" xfId="13783" xr:uid="{00000000-0005-0000-0000-00007F050000}"/>
    <cellStyle name="20% - Accent3 6 3 4" xfId="30652" xr:uid="{F4E8EB97-A372-4893-A371-E7341D130982}"/>
    <cellStyle name="20% - Accent3 6 4" xfId="18000" xr:uid="{00000000-0005-0000-0000-000080050000}"/>
    <cellStyle name="20% - Accent3 6 4 2" xfId="34869" xr:uid="{3DCAD0C6-FA3F-43DC-AF18-71ECF736B3AE}"/>
    <cellStyle name="20% - Accent3 6 5" xfId="9565" xr:uid="{00000000-0005-0000-0000-000081050000}"/>
    <cellStyle name="20% - Accent3 6 6" xfId="26435" xr:uid="{B0659D75-81BB-4439-B62C-2C22403686C6}"/>
    <cellStyle name="20% - Accent3 7" xfId="1453" xr:uid="{00000000-0005-0000-0000-000082050000}"/>
    <cellStyle name="20% - Accent3 7 2" xfId="3683" xr:uid="{00000000-0005-0000-0000-000083050000}"/>
    <cellStyle name="20% - Accent3 7 2 2" xfId="7906" xr:uid="{00000000-0005-0000-0000-000084050000}"/>
    <cellStyle name="20% - Accent3 7 2 2 2" xfId="24776" xr:uid="{00000000-0005-0000-0000-000085050000}"/>
    <cellStyle name="20% - Accent3 7 2 2 2 2" xfId="41644" xr:uid="{97222630-D9E7-4880-ACFA-4ECEF141ED50}"/>
    <cellStyle name="20% - Accent3 7 2 2 3" xfId="16341" xr:uid="{00000000-0005-0000-0000-000086050000}"/>
    <cellStyle name="20% - Accent3 7 2 2 4" xfId="33210" xr:uid="{546CB854-6778-408E-B643-968503F2EBC4}"/>
    <cellStyle name="20% - Accent3 7 2 3" xfId="20558" xr:uid="{00000000-0005-0000-0000-000087050000}"/>
    <cellStyle name="20% - Accent3 7 2 3 2" xfId="37427" xr:uid="{2E71257B-54A0-48FF-BB6A-257BD7F743B0}"/>
    <cellStyle name="20% - Accent3 7 2 4" xfId="12123" xr:uid="{00000000-0005-0000-0000-000088050000}"/>
    <cellStyle name="20% - Accent3 7 2 5" xfId="28993" xr:uid="{D7370FC4-CFA2-4EFA-87D6-4C81D3ED2BD7}"/>
    <cellStyle name="20% - Accent3 7 3" xfId="5761" xr:uid="{00000000-0005-0000-0000-000089050000}"/>
    <cellStyle name="20% - Accent3 7 3 2" xfId="22631" xr:uid="{00000000-0005-0000-0000-00008A050000}"/>
    <cellStyle name="20% - Accent3 7 3 2 2" xfId="39499" xr:uid="{530D15C1-56FF-4085-BBF8-F8A80D573576}"/>
    <cellStyle name="20% - Accent3 7 3 3" xfId="14196" xr:uid="{00000000-0005-0000-0000-00008B050000}"/>
    <cellStyle name="20% - Accent3 7 3 4" xfId="31065" xr:uid="{0416949C-0ADC-4CA8-82D3-C4B9090A5C28}"/>
    <cellStyle name="20% - Accent3 7 4" xfId="18413" xr:uid="{00000000-0005-0000-0000-00008C050000}"/>
    <cellStyle name="20% - Accent3 7 4 2" xfId="35282" xr:uid="{2F22806F-D56F-4ACA-B448-BF30D4BB3F12}"/>
    <cellStyle name="20% - Accent3 7 5" xfId="9978" xr:uid="{00000000-0005-0000-0000-00008D050000}"/>
    <cellStyle name="20% - Accent3 7 6" xfId="26848" xr:uid="{EA25F296-4692-4C9D-9243-3587F0BCBDA2}"/>
    <cellStyle name="20% - Accent3 8" xfId="1867" xr:uid="{00000000-0005-0000-0000-00008E050000}"/>
    <cellStyle name="20% - Accent3 8 2" xfId="4096" xr:uid="{00000000-0005-0000-0000-00008F050000}"/>
    <cellStyle name="20% - Accent3 8 2 2" xfId="8319" xr:uid="{00000000-0005-0000-0000-000090050000}"/>
    <cellStyle name="20% - Accent3 8 2 2 2" xfId="25189" xr:uid="{00000000-0005-0000-0000-000091050000}"/>
    <cellStyle name="20% - Accent3 8 2 2 2 2" xfId="42057" xr:uid="{D91BC5CF-6EFA-4549-B086-B4374C59B24F}"/>
    <cellStyle name="20% - Accent3 8 2 2 3" xfId="16754" xr:uid="{00000000-0005-0000-0000-000092050000}"/>
    <cellStyle name="20% - Accent3 8 2 2 4" xfId="33623" xr:uid="{DA23E20B-972E-4755-9C9B-0390230F00A5}"/>
    <cellStyle name="20% - Accent3 8 2 3" xfId="20971" xr:uid="{00000000-0005-0000-0000-000093050000}"/>
    <cellStyle name="20% - Accent3 8 2 3 2" xfId="37840" xr:uid="{1205EF6C-6ACE-4E2C-8ADD-D76EBBCFADAF}"/>
    <cellStyle name="20% - Accent3 8 2 4" xfId="12536" xr:uid="{00000000-0005-0000-0000-000094050000}"/>
    <cellStyle name="20% - Accent3 8 2 5" xfId="29406" xr:uid="{1C4B3512-4903-4BF7-94C6-99D900142D09}"/>
    <cellStyle name="20% - Accent3 8 3" xfId="6174" xr:uid="{00000000-0005-0000-0000-000095050000}"/>
    <cellStyle name="20% - Accent3 8 3 2" xfId="23044" xr:uid="{00000000-0005-0000-0000-000096050000}"/>
    <cellStyle name="20% - Accent3 8 3 2 2" xfId="39912" xr:uid="{29CB7B8E-6601-47F9-99F7-6070366C2631}"/>
    <cellStyle name="20% - Accent3 8 3 3" xfId="14609" xr:uid="{00000000-0005-0000-0000-000097050000}"/>
    <cellStyle name="20% - Accent3 8 3 4" xfId="31478" xr:uid="{28DA4E4E-ADBF-49AC-9137-EBD168553A4E}"/>
    <cellStyle name="20% - Accent3 8 4" xfId="18826" xr:uid="{00000000-0005-0000-0000-000098050000}"/>
    <cellStyle name="20% - Accent3 8 4 2" xfId="35695" xr:uid="{0531B4EC-BAAE-4CBA-8101-BE6D576CEEBC}"/>
    <cellStyle name="20% - Accent3 8 5" xfId="10391" xr:uid="{00000000-0005-0000-0000-000099050000}"/>
    <cellStyle name="20% - Accent3 8 6" xfId="27261" xr:uid="{2BEB51D0-930E-41D0-A871-8917679FF3BE}"/>
    <cellStyle name="20% - Accent3 9" xfId="2280" xr:uid="{00000000-0005-0000-0000-00009A050000}"/>
    <cellStyle name="20% - Accent3 9 2" xfId="6587" xr:uid="{00000000-0005-0000-0000-00009B050000}"/>
    <cellStyle name="20% - Accent3 9 2 2" xfId="23457" xr:uid="{00000000-0005-0000-0000-00009C050000}"/>
    <cellStyle name="20% - Accent3 9 2 2 2" xfId="40325" xr:uid="{48871209-9B11-45AB-AEAF-1BFBD5A7F9D1}"/>
    <cellStyle name="20% - Accent3 9 2 3" xfId="15022" xr:uid="{00000000-0005-0000-0000-00009D050000}"/>
    <cellStyle name="20% - Accent3 9 2 4" xfId="31891" xr:uid="{D39EA0F5-58F3-4C73-91EC-0B556F6A2090}"/>
    <cellStyle name="20% - Accent3 9 3" xfId="19239" xr:uid="{00000000-0005-0000-0000-00009E050000}"/>
    <cellStyle name="20% - Accent3 9 3 2" xfId="36108" xr:uid="{51AD6D78-A99B-4148-8BB4-620D53498A69}"/>
    <cellStyle name="20% - Accent3 9 4" xfId="10804" xr:uid="{00000000-0005-0000-0000-00009F050000}"/>
    <cellStyle name="20% - Accent3 9 5" xfId="27674" xr:uid="{3D767B0C-BAFE-4540-847D-41D24CA21FB2}"/>
    <cellStyle name="20% - Accent4" xfId="25" builtinId="42" customBuiltin="1"/>
    <cellStyle name="20% - Accent4 10" xfId="4529" xr:uid="{00000000-0005-0000-0000-0000A1050000}"/>
    <cellStyle name="20% - Accent4 10 2" xfId="21399" xr:uid="{00000000-0005-0000-0000-0000A2050000}"/>
    <cellStyle name="20% - Accent4 10 2 2" xfId="38267" xr:uid="{9DD0F8E3-371D-4A8B-A296-C99E9214C28D}"/>
    <cellStyle name="20% - Accent4 10 3" xfId="12964" xr:uid="{00000000-0005-0000-0000-0000A3050000}"/>
    <cellStyle name="20% - Accent4 10 4" xfId="29833" xr:uid="{9FB4E51D-8B47-486E-A82A-BF25A2FBCB2F}"/>
    <cellStyle name="20% - Accent4 11" xfId="17181" xr:uid="{00000000-0005-0000-0000-0000A4050000}"/>
    <cellStyle name="20% - Accent4 11 2" xfId="34050" xr:uid="{9CB32F03-A335-4AC6-8317-DE3AF27DBEFD}"/>
    <cellStyle name="20% - Accent4 12" xfId="8746" xr:uid="{00000000-0005-0000-0000-0000A5050000}"/>
    <cellStyle name="20% - Accent4 13" xfId="25616" xr:uid="{829EC7E0-AD0C-490F-AA04-B3AA3219594A}"/>
    <cellStyle name="20% - Accent4 2" xfId="26" xr:uid="{00000000-0005-0000-0000-0000A6050000}"/>
    <cellStyle name="20% - Accent4 2 10" xfId="17182" xr:uid="{00000000-0005-0000-0000-0000A7050000}"/>
    <cellStyle name="20% - Accent4 2 10 2" xfId="34051" xr:uid="{62951625-DE13-4A03-B39B-D4A887D9DE8D}"/>
    <cellStyle name="20% - Accent4 2 11" xfId="8747" xr:uid="{00000000-0005-0000-0000-0000A8050000}"/>
    <cellStyle name="20% - Accent4 2 12" xfId="25617" xr:uid="{47E7C5BC-8F6E-4C43-9D7D-4FF5A4D911A0}"/>
    <cellStyle name="20% - Accent4 2 2" xfId="27" xr:uid="{00000000-0005-0000-0000-0000A9050000}"/>
    <cellStyle name="20% - Accent4 2 2 10" xfId="8748" xr:uid="{00000000-0005-0000-0000-0000AA050000}"/>
    <cellStyle name="20% - Accent4 2 2 11" xfId="25618" xr:uid="{97F4BA84-4C08-4E64-8361-ABBFB5434B6F}"/>
    <cellStyle name="20% - Accent4 2 2 2" xfId="28" xr:uid="{00000000-0005-0000-0000-0000AB050000}"/>
    <cellStyle name="20% - Accent4 2 2 2 10" xfId="25619" xr:uid="{1EE9AD96-85BB-4E4E-9040-4ED94B85BA99}"/>
    <cellStyle name="20% - Accent4 2 2 2 2" xfId="597" xr:uid="{00000000-0005-0000-0000-0000AC050000}"/>
    <cellStyle name="20% - Accent4 2 2 2 2 2" xfId="2868" xr:uid="{00000000-0005-0000-0000-0000AD050000}"/>
    <cellStyle name="20% - Accent4 2 2 2 2 2 2" xfId="7091" xr:uid="{00000000-0005-0000-0000-0000AE050000}"/>
    <cellStyle name="20% - Accent4 2 2 2 2 2 2 2" xfId="23961" xr:uid="{00000000-0005-0000-0000-0000AF050000}"/>
    <cellStyle name="20% - Accent4 2 2 2 2 2 2 2 2" xfId="40829" xr:uid="{B5FD2EB5-0DAF-4C53-AA23-F3E05D2CDD88}"/>
    <cellStyle name="20% - Accent4 2 2 2 2 2 2 3" xfId="15526" xr:uid="{00000000-0005-0000-0000-0000B0050000}"/>
    <cellStyle name="20% - Accent4 2 2 2 2 2 2 4" xfId="32395" xr:uid="{7A2CA09A-2A17-4DAD-8DA4-C6BD402904B5}"/>
    <cellStyle name="20% - Accent4 2 2 2 2 2 3" xfId="19743" xr:uid="{00000000-0005-0000-0000-0000B1050000}"/>
    <cellStyle name="20% - Accent4 2 2 2 2 2 3 2" xfId="36612" xr:uid="{0BDE7459-ED1A-46DB-9F2F-6A17158EF0F8}"/>
    <cellStyle name="20% - Accent4 2 2 2 2 2 4" xfId="11308" xr:uid="{00000000-0005-0000-0000-0000B2050000}"/>
    <cellStyle name="20% - Accent4 2 2 2 2 2 5" xfId="28178" xr:uid="{0E5E3025-A11E-490B-BA24-100D9FF459A2}"/>
    <cellStyle name="20% - Accent4 2 2 2 2 3" xfId="4946" xr:uid="{00000000-0005-0000-0000-0000B3050000}"/>
    <cellStyle name="20% - Accent4 2 2 2 2 3 2" xfId="21816" xr:uid="{00000000-0005-0000-0000-0000B4050000}"/>
    <cellStyle name="20% - Accent4 2 2 2 2 3 2 2" xfId="38684" xr:uid="{0D1F3D06-50F2-4DC8-B7BD-03E9A615B9C7}"/>
    <cellStyle name="20% - Accent4 2 2 2 2 3 3" xfId="13381" xr:uid="{00000000-0005-0000-0000-0000B5050000}"/>
    <cellStyle name="20% - Accent4 2 2 2 2 3 4" xfId="30250" xr:uid="{323C5A2A-F24C-421A-9836-DEEE46099AEB}"/>
    <cellStyle name="20% - Accent4 2 2 2 2 4" xfId="17598" xr:uid="{00000000-0005-0000-0000-0000B6050000}"/>
    <cellStyle name="20% - Accent4 2 2 2 2 4 2" xfId="34467" xr:uid="{12BFA890-CE8E-4143-BEFF-DF811981F1CB}"/>
    <cellStyle name="20% - Accent4 2 2 2 2 5" xfId="9163" xr:uid="{00000000-0005-0000-0000-0000B7050000}"/>
    <cellStyle name="20% - Accent4 2 2 2 2 6" xfId="26033" xr:uid="{5BEEB6FF-A66F-477F-9D40-FA13B6841DB9}"/>
    <cellStyle name="20% - Accent4 2 2 2 3" xfId="1050" xr:uid="{00000000-0005-0000-0000-0000B8050000}"/>
    <cellStyle name="20% - Accent4 2 2 2 3 2" xfId="3281" xr:uid="{00000000-0005-0000-0000-0000B9050000}"/>
    <cellStyle name="20% - Accent4 2 2 2 3 2 2" xfId="7504" xr:uid="{00000000-0005-0000-0000-0000BA050000}"/>
    <cellStyle name="20% - Accent4 2 2 2 3 2 2 2" xfId="24374" xr:uid="{00000000-0005-0000-0000-0000BB050000}"/>
    <cellStyle name="20% - Accent4 2 2 2 3 2 2 2 2" xfId="41242" xr:uid="{A62B033B-AF98-473A-9155-3FF25BB6BBE1}"/>
    <cellStyle name="20% - Accent4 2 2 2 3 2 2 3" xfId="15939" xr:uid="{00000000-0005-0000-0000-0000BC050000}"/>
    <cellStyle name="20% - Accent4 2 2 2 3 2 2 4" xfId="32808" xr:uid="{8FDBF305-3289-42B4-A60B-3DA6DC4C2BA9}"/>
    <cellStyle name="20% - Accent4 2 2 2 3 2 3" xfId="20156" xr:uid="{00000000-0005-0000-0000-0000BD050000}"/>
    <cellStyle name="20% - Accent4 2 2 2 3 2 3 2" xfId="37025" xr:uid="{BDF5C9BC-5E82-4215-91B8-FBC8A3C4AF80}"/>
    <cellStyle name="20% - Accent4 2 2 2 3 2 4" xfId="11721" xr:uid="{00000000-0005-0000-0000-0000BE050000}"/>
    <cellStyle name="20% - Accent4 2 2 2 3 2 5" xfId="28591" xr:uid="{4502343E-15F1-4DFF-A18B-3AC2C6D2A867}"/>
    <cellStyle name="20% - Accent4 2 2 2 3 3" xfId="5359" xr:uid="{00000000-0005-0000-0000-0000BF050000}"/>
    <cellStyle name="20% - Accent4 2 2 2 3 3 2" xfId="22229" xr:uid="{00000000-0005-0000-0000-0000C0050000}"/>
    <cellStyle name="20% - Accent4 2 2 2 3 3 2 2" xfId="39097" xr:uid="{36E6B336-9C28-4430-AD0D-7A4BE5DE720B}"/>
    <cellStyle name="20% - Accent4 2 2 2 3 3 3" xfId="13794" xr:uid="{00000000-0005-0000-0000-0000C1050000}"/>
    <cellStyle name="20% - Accent4 2 2 2 3 3 4" xfId="30663" xr:uid="{4AB40942-0F4C-4D04-9894-76711E9558ED}"/>
    <cellStyle name="20% - Accent4 2 2 2 3 4" xfId="18011" xr:uid="{00000000-0005-0000-0000-0000C2050000}"/>
    <cellStyle name="20% - Accent4 2 2 2 3 4 2" xfId="34880" xr:uid="{4BB1493E-07F2-4D7F-9513-B9265E753112}"/>
    <cellStyle name="20% - Accent4 2 2 2 3 5" xfId="9576" xr:uid="{00000000-0005-0000-0000-0000C3050000}"/>
    <cellStyle name="20% - Accent4 2 2 2 3 6" xfId="26446" xr:uid="{E85AB17C-046B-4933-87D6-907A1079AD74}"/>
    <cellStyle name="20% - Accent4 2 2 2 4" xfId="1464" xr:uid="{00000000-0005-0000-0000-0000C4050000}"/>
    <cellStyle name="20% - Accent4 2 2 2 4 2" xfId="3694" xr:uid="{00000000-0005-0000-0000-0000C5050000}"/>
    <cellStyle name="20% - Accent4 2 2 2 4 2 2" xfId="7917" xr:uid="{00000000-0005-0000-0000-0000C6050000}"/>
    <cellStyle name="20% - Accent4 2 2 2 4 2 2 2" xfId="24787" xr:uid="{00000000-0005-0000-0000-0000C7050000}"/>
    <cellStyle name="20% - Accent4 2 2 2 4 2 2 2 2" xfId="41655" xr:uid="{437FA629-BB8C-4FC3-9C6C-3AF05983AFF3}"/>
    <cellStyle name="20% - Accent4 2 2 2 4 2 2 3" xfId="16352" xr:uid="{00000000-0005-0000-0000-0000C8050000}"/>
    <cellStyle name="20% - Accent4 2 2 2 4 2 2 4" xfId="33221" xr:uid="{122B316C-5542-4AF3-A219-8623988CF6FB}"/>
    <cellStyle name="20% - Accent4 2 2 2 4 2 3" xfId="20569" xr:uid="{00000000-0005-0000-0000-0000C9050000}"/>
    <cellStyle name="20% - Accent4 2 2 2 4 2 3 2" xfId="37438" xr:uid="{02C52A0D-CAC3-45B7-B925-C7A20A13C57F}"/>
    <cellStyle name="20% - Accent4 2 2 2 4 2 4" xfId="12134" xr:uid="{00000000-0005-0000-0000-0000CA050000}"/>
    <cellStyle name="20% - Accent4 2 2 2 4 2 5" xfId="29004" xr:uid="{CD7ED736-07B8-4A91-8737-0B5B8015C346}"/>
    <cellStyle name="20% - Accent4 2 2 2 4 3" xfId="5772" xr:uid="{00000000-0005-0000-0000-0000CB050000}"/>
    <cellStyle name="20% - Accent4 2 2 2 4 3 2" xfId="22642" xr:uid="{00000000-0005-0000-0000-0000CC050000}"/>
    <cellStyle name="20% - Accent4 2 2 2 4 3 2 2" xfId="39510" xr:uid="{90D84E4A-AB6A-45CE-AC07-5A4FC3F765D2}"/>
    <cellStyle name="20% - Accent4 2 2 2 4 3 3" xfId="14207" xr:uid="{00000000-0005-0000-0000-0000CD050000}"/>
    <cellStyle name="20% - Accent4 2 2 2 4 3 4" xfId="31076" xr:uid="{7A69E269-2051-4EBB-BB3F-BF6C2355C7C6}"/>
    <cellStyle name="20% - Accent4 2 2 2 4 4" xfId="18424" xr:uid="{00000000-0005-0000-0000-0000CE050000}"/>
    <cellStyle name="20% - Accent4 2 2 2 4 4 2" xfId="35293" xr:uid="{7BB8D46D-0D0C-413E-8C19-DF0D3DA0AD50}"/>
    <cellStyle name="20% - Accent4 2 2 2 4 5" xfId="9989" xr:uid="{00000000-0005-0000-0000-0000CF050000}"/>
    <cellStyle name="20% - Accent4 2 2 2 4 6" xfId="26859" xr:uid="{4FC007BC-FA51-45D2-898C-EF8E45692D7C}"/>
    <cellStyle name="20% - Accent4 2 2 2 5" xfId="1878" xr:uid="{00000000-0005-0000-0000-0000D0050000}"/>
    <cellStyle name="20% - Accent4 2 2 2 5 2" xfId="4107" xr:uid="{00000000-0005-0000-0000-0000D1050000}"/>
    <cellStyle name="20% - Accent4 2 2 2 5 2 2" xfId="8330" xr:uid="{00000000-0005-0000-0000-0000D2050000}"/>
    <cellStyle name="20% - Accent4 2 2 2 5 2 2 2" xfId="25200" xr:uid="{00000000-0005-0000-0000-0000D3050000}"/>
    <cellStyle name="20% - Accent4 2 2 2 5 2 2 2 2" xfId="42068" xr:uid="{8926A626-186B-4B38-928F-3A9573E7295E}"/>
    <cellStyle name="20% - Accent4 2 2 2 5 2 2 3" xfId="16765" xr:uid="{00000000-0005-0000-0000-0000D4050000}"/>
    <cellStyle name="20% - Accent4 2 2 2 5 2 2 4" xfId="33634" xr:uid="{9CC8EFF1-42FE-45ED-A64B-5719F6D4D479}"/>
    <cellStyle name="20% - Accent4 2 2 2 5 2 3" xfId="20982" xr:uid="{00000000-0005-0000-0000-0000D5050000}"/>
    <cellStyle name="20% - Accent4 2 2 2 5 2 3 2" xfId="37851" xr:uid="{912EDF5B-953B-4982-9BA5-41C5C2A13BE9}"/>
    <cellStyle name="20% - Accent4 2 2 2 5 2 4" xfId="12547" xr:uid="{00000000-0005-0000-0000-0000D6050000}"/>
    <cellStyle name="20% - Accent4 2 2 2 5 2 5" xfId="29417" xr:uid="{A32E1E68-721A-4428-8BEF-596E9B4A01CB}"/>
    <cellStyle name="20% - Accent4 2 2 2 5 3" xfId="6185" xr:uid="{00000000-0005-0000-0000-0000D7050000}"/>
    <cellStyle name="20% - Accent4 2 2 2 5 3 2" xfId="23055" xr:uid="{00000000-0005-0000-0000-0000D8050000}"/>
    <cellStyle name="20% - Accent4 2 2 2 5 3 2 2" xfId="39923" xr:uid="{7A2BB616-85F5-4C63-9730-D654BACC27A3}"/>
    <cellStyle name="20% - Accent4 2 2 2 5 3 3" xfId="14620" xr:uid="{00000000-0005-0000-0000-0000D9050000}"/>
    <cellStyle name="20% - Accent4 2 2 2 5 3 4" xfId="31489" xr:uid="{4D265F71-8A65-4379-B8D9-EF543B6DBCDD}"/>
    <cellStyle name="20% - Accent4 2 2 2 5 4" xfId="18837" xr:uid="{00000000-0005-0000-0000-0000DA050000}"/>
    <cellStyle name="20% - Accent4 2 2 2 5 4 2" xfId="35706" xr:uid="{FC67222F-1A58-4676-84E4-054AEEA4284A}"/>
    <cellStyle name="20% - Accent4 2 2 2 5 5" xfId="10402" xr:uid="{00000000-0005-0000-0000-0000DB050000}"/>
    <cellStyle name="20% - Accent4 2 2 2 5 6" xfId="27272" xr:uid="{BEC48B38-CDAE-4AF8-964E-91BDC727948C}"/>
    <cellStyle name="20% - Accent4 2 2 2 6" xfId="2291" xr:uid="{00000000-0005-0000-0000-0000DC050000}"/>
    <cellStyle name="20% - Accent4 2 2 2 6 2" xfId="6598" xr:uid="{00000000-0005-0000-0000-0000DD050000}"/>
    <cellStyle name="20% - Accent4 2 2 2 6 2 2" xfId="23468" xr:uid="{00000000-0005-0000-0000-0000DE050000}"/>
    <cellStyle name="20% - Accent4 2 2 2 6 2 2 2" xfId="40336" xr:uid="{CD6BFE27-4793-4A82-95DF-47D59005C203}"/>
    <cellStyle name="20% - Accent4 2 2 2 6 2 3" xfId="15033" xr:uid="{00000000-0005-0000-0000-0000DF050000}"/>
    <cellStyle name="20% - Accent4 2 2 2 6 2 4" xfId="31902" xr:uid="{28AF6EA9-BA82-4D49-99C9-718DF877C921}"/>
    <cellStyle name="20% - Accent4 2 2 2 6 3" xfId="19250" xr:uid="{00000000-0005-0000-0000-0000E0050000}"/>
    <cellStyle name="20% - Accent4 2 2 2 6 3 2" xfId="36119" xr:uid="{BBA99727-F8D7-4AF8-806F-84E94066A921}"/>
    <cellStyle name="20% - Accent4 2 2 2 6 4" xfId="10815" xr:uid="{00000000-0005-0000-0000-0000E1050000}"/>
    <cellStyle name="20% - Accent4 2 2 2 6 5" xfId="27685" xr:uid="{5380BB3A-9319-49CF-981B-14783893C322}"/>
    <cellStyle name="20% - Accent4 2 2 2 7" xfId="4532" xr:uid="{00000000-0005-0000-0000-0000E2050000}"/>
    <cellStyle name="20% - Accent4 2 2 2 7 2" xfId="21402" xr:uid="{00000000-0005-0000-0000-0000E3050000}"/>
    <cellStyle name="20% - Accent4 2 2 2 7 2 2" xfId="38270" xr:uid="{A3558F36-E99E-4E4D-9E7A-29860D2FEDFF}"/>
    <cellStyle name="20% - Accent4 2 2 2 7 3" xfId="12967" xr:uid="{00000000-0005-0000-0000-0000E4050000}"/>
    <cellStyle name="20% - Accent4 2 2 2 7 4" xfId="29836" xr:uid="{5B3365FF-D9BE-4E98-8A24-740F99141E9E}"/>
    <cellStyle name="20% - Accent4 2 2 2 8" xfId="17184" xr:uid="{00000000-0005-0000-0000-0000E5050000}"/>
    <cellStyle name="20% - Accent4 2 2 2 8 2" xfId="34053" xr:uid="{BA031B22-D871-463D-9E69-F780C0BC3B4E}"/>
    <cellStyle name="20% - Accent4 2 2 2 9" xfId="8749" xr:uid="{00000000-0005-0000-0000-0000E6050000}"/>
    <cellStyle name="20% - Accent4 2 2 3" xfId="596" xr:uid="{00000000-0005-0000-0000-0000E7050000}"/>
    <cellStyle name="20% - Accent4 2 2 3 2" xfId="2867" xr:uid="{00000000-0005-0000-0000-0000E8050000}"/>
    <cellStyle name="20% - Accent4 2 2 3 2 2" xfId="7090" xr:uid="{00000000-0005-0000-0000-0000E9050000}"/>
    <cellStyle name="20% - Accent4 2 2 3 2 2 2" xfId="23960" xr:uid="{00000000-0005-0000-0000-0000EA050000}"/>
    <cellStyle name="20% - Accent4 2 2 3 2 2 2 2" xfId="40828" xr:uid="{9CECEC0C-C433-43A3-ACC3-DB86C6209F27}"/>
    <cellStyle name="20% - Accent4 2 2 3 2 2 3" xfId="15525" xr:uid="{00000000-0005-0000-0000-0000EB050000}"/>
    <cellStyle name="20% - Accent4 2 2 3 2 2 4" xfId="32394" xr:uid="{B1BC9107-3F4B-4BD5-B333-5B9221240966}"/>
    <cellStyle name="20% - Accent4 2 2 3 2 3" xfId="19742" xr:uid="{00000000-0005-0000-0000-0000EC050000}"/>
    <cellStyle name="20% - Accent4 2 2 3 2 3 2" xfId="36611" xr:uid="{12AC3BDD-9307-4D71-8352-10B2E8B0EFC8}"/>
    <cellStyle name="20% - Accent4 2 2 3 2 4" xfId="11307" xr:uid="{00000000-0005-0000-0000-0000ED050000}"/>
    <cellStyle name="20% - Accent4 2 2 3 2 5" xfId="28177" xr:uid="{DCB0F923-CA4A-43E7-BFBB-20D1A6888FE7}"/>
    <cellStyle name="20% - Accent4 2 2 3 3" xfId="4945" xr:uid="{00000000-0005-0000-0000-0000EE050000}"/>
    <cellStyle name="20% - Accent4 2 2 3 3 2" xfId="21815" xr:uid="{00000000-0005-0000-0000-0000EF050000}"/>
    <cellStyle name="20% - Accent4 2 2 3 3 2 2" xfId="38683" xr:uid="{B114F996-B39E-4B0A-B8C8-31325572D195}"/>
    <cellStyle name="20% - Accent4 2 2 3 3 3" xfId="13380" xr:uid="{00000000-0005-0000-0000-0000F0050000}"/>
    <cellStyle name="20% - Accent4 2 2 3 3 4" xfId="30249" xr:uid="{175BB410-FDE5-4727-A89E-1710DF08389A}"/>
    <cellStyle name="20% - Accent4 2 2 3 4" xfId="17597" xr:uid="{00000000-0005-0000-0000-0000F1050000}"/>
    <cellStyle name="20% - Accent4 2 2 3 4 2" xfId="34466" xr:uid="{D8F12523-DBCF-40CD-B535-8820E967C437}"/>
    <cellStyle name="20% - Accent4 2 2 3 5" xfId="9162" xr:uid="{00000000-0005-0000-0000-0000F2050000}"/>
    <cellStyle name="20% - Accent4 2 2 3 6" xfId="26032" xr:uid="{E4161AA0-B3A9-4540-A7AD-409B6A59DEB7}"/>
    <cellStyle name="20% - Accent4 2 2 4" xfId="1049" xr:uid="{00000000-0005-0000-0000-0000F3050000}"/>
    <cellStyle name="20% - Accent4 2 2 4 2" xfId="3280" xr:uid="{00000000-0005-0000-0000-0000F4050000}"/>
    <cellStyle name="20% - Accent4 2 2 4 2 2" xfId="7503" xr:uid="{00000000-0005-0000-0000-0000F5050000}"/>
    <cellStyle name="20% - Accent4 2 2 4 2 2 2" xfId="24373" xr:uid="{00000000-0005-0000-0000-0000F6050000}"/>
    <cellStyle name="20% - Accent4 2 2 4 2 2 2 2" xfId="41241" xr:uid="{F25B4D5B-F80C-4E4C-8AF3-CBFAD07204EF}"/>
    <cellStyle name="20% - Accent4 2 2 4 2 2 3" xfId="15938" xr:uid="{00000000-0005-0000-0000-0000F7050000}"/>
    <cellStyle name="20% - Accent4 2 2 4 2 2 4" xfId="32807" xr:uid="{9AB3CF5C-7B25-42DF-BDBD-B42D8AB89985}"/>
    <cellStyle name="20% - Accent4 2 2 4 2 3" xfId="20155" xr:uid="{00000000-0005-0000-0000-0000F8050000}"/>
    <cellStyle name="20% - Accent4 2 2 4 2 3 2" xfId="37024" xr:uid="{A674CE0C-8375-47AC-B9D2-66984B7B2307}"/>
    <cellStyle name="20% - Accent4 2 2 4 2 4" xfId="11720" xr:uid="{00000000-0005-0000-0000-0000F9050000}"/>
    <cellStyle name="20% - Accent4 2 2 4 2 5" xfId="28590" xr:uid="{9B580B2F-1D7D-4B51-A137-1578070C29B0}"/>
    <cellStyle name="20% - Accent4 2 2 4 3" xfId="5358" xr:uid="{00000000-0005-0000-0000-0000FA050000}"/>
    <cellStyle name="20% - Accent4 2 2 4 3 2" xfId="22228" xr:uid="{00000000-0005-0000-0000-0000FB050000}"/>
    <cellStyle name="20% - Accent4 2 2 4 3 2 2" xfId="39096" xr:uid="{D2A19BF8-4876-43DC-BE4D-7F068AE257CE}"/>
    <cellStyle name="20% - Accent4 2 2 4 3 3" xfId="13793" xr:uid="{00000000-0005-0000-0000-0000FC050000}"/>
    <cellStyle name="20% - Accent4 2 2 4 3 4" xfId="30662" xr:uid="{95E1C42C-4B40-4FCE-8A8F-1020EAF2275B}"/>
    <cellStyle name="20% - Accent4 2 2 4 4" xfId="18010" xr:uid="{00000000-0005-0000-0000-0000FD050000}"/>
    <cellStyle name="20% - Accent4 2 2 4 4 2" xfId="34879" xr:uid="{099820A3-9957-45BB-BACB-76244A30D977}"/>
    <cellStyle name="20% - Accent4 2 2 4 5" xfId="9575" xr:uid="{00000000-0005-0000-0000-0000FE050000}"/>
    <cellStyle name="20% - Accent4 2 2 4 6" xfId="26445" xr:uid="{DB999749-AB92-4E1D-9ACB-4F28D568A48A}"/>
    <cellStyle name="20% - Accent4 2 2 5" xfId="1463" xr:uid="{00000000-0005-0000-0000-0000FF050000}"/>
    <cellStyle name="20% - Accent4 2 2 5 2" xfId="3693" xr:uid="{00000000-0005-0000-0000-000000060000}"/>
    <cellStyle name="20% - Accent4 2 2 5 2 2" xfId="7916" xr:uid="{00000000-0005-0000-0000-000001060000}"/>
    <cellStyle name="20% - Accent4 2 2 5 2 2 2" xfId="24786" xr:uid="{00000000-0005-0000-0000-000002060000}"/>
    <cellStyle name="20% - Accent4 2 2 5 2 2 2 2" xfId="41654" xr:uid="{7471B9A7-073A-40C8-890E-329BABC7A145}"/>
    <cellStyle name="20% - Accent4 2 2 5 2 2 3" xfId="16351" xr:uid="{00000000-0005-0000-0000-000003060000}"/>
    <cellStyle name="20% - Accent4 2 2 5 2 2 4" xfId="33220" xr:uid="{8B0532DD-D5C9-45CD-B913-FC84929F5722}"/>
    <cellStyle name="20% - Accent4 2 2 5 2 3" xfId="20568" xr:uid="{00000000-0005-0000-0000-000004060000}"/>
    <cellStyle name="20% - Accent4 2 2 5 2 3 2" xfId="37437" xr:uid="{80C815BB-3E43-4A82-B6E4-1D0E868E0ADE}"/>
    <cellStyle name="20% - Accent4 2 2 5 2 4" xfId="12133" xr:uid="{00000000-0005-0000-0000-000005060000}"/>
    <cellStyle name="20% - Accent4 2 2 5 2 5" xfId="29003" xr:uid="{B84DA4A9-DCDA-4EE0-B767-396AA354B7FD}"/>
    <cellStyle name="20% - Accent4 2 2 5 3" xfId="5771" xr:uid="{00000000-0005-0000-0000-000006060000}"/>
    <cellStyle name="20% - Accent4 2 2 5 3 2" xfId="22641" xr:uid="{00000000-0005-0000-0000-000007060000}"/>
    <cellStyle name="20% - Accent4 2 2 5 3 2 2" xfId="39509" xr:uid="{25DA5A27-EB37-48F6-873D-203D6DEA0AC5}"/>
    <cellStyle name="20% - Accent4 2 2 5 3 3" xfId="14206" xr:uid="{00000000-0005-0000-0000-000008060000}"/>
    <cellStyle name="20% - Accent4 2 2 5 3 4" xfId="31075" xr:uid="{A045671B-311C-41B7-AA31-098E19942F2C}"/>
    <cellStyle name="20% - Accent4 2 2 5 4" xfId="18423" xr:uid="{00000000-0005-0000-0000-000009060000}"/>
    <cellStyle name="20% - Accent4 2 2 5 4 2" xfId="35292" xr:uid="{07223455-1CB1-4EB9-8535-F76112C7A5C0}"/>
    <cellStyle name="20% - Accent4 2 2 5 5" xfId="9988" xr:uid="{00000000-0005-0000-0000-00000A060000}"/>
    <cellStyle name="20% - Accent4 2 2 5 6" xfId="26858" xr:uid="{830FC01E-12A9-4A2A-B0AB-6F91B77482E6}"/>
    <cellStyle name="20% - Accent4 2 2 6" xfId="1877" xr:uid="{00000000-0005-0000-0000-00000B060000}"/>
    <cellStyle name="20% - Accent4 2 2 6 2" xfId="4106" xr:uid="{00000000-0005-0000-0000-00000C060000}"/>
    <cellStyle name="20% - Accent4 2 2 6 2 2" xfId="8329" xr:uid="{00000000-0005-0000-0000-00000D060000}"/>
    <cellStyle name="20% - Accent4 2 2 6 2 2 2" xfId="25199" xr:uid="{00000000-0005-0000-0000-00000E060000}"/>
    <cellStyle name="20% - Accent4 2 2 6 2 2 2 2" xfId="42067" xr:uid="{BFED5FAB-24E1-423F-9CA5-E9CC2651D439}"/>
    <cellStyle name="20% - Accent4 2 2 6 2 2 3" xfId="16764" xr:uid="{00000000-0005-0000-0000-00000F060000}"/>
    <cellStyle name="20% - Accent4 2 2 6 2 2 4" xfId="33633" xr:uid="{D3A6075B-9701-423D-ADFB-B64C7CD72247}"/>
    <cellStyle name="20% - Accent4 2 2 6 2 3" xfId="20981" xr:uid="{00000000-0005-0000-0000-000010060000}"/>
    <cellStyle name="20% - Accent4 2 2 6 2 3 2" xfId="37850" xr:uid="{10BFB2C8-50EC-4786-8F1F-DAB2155CC2B3}"/>
    <cellStyle name="20% - Accent4 2 2 6 2 4" xfId="12546" xr:uid="{00000000-0005-0000-0000-000011060000}"/>
    <cellStyle name="20% - Accent4 2 2 6 2 5" xfId="29416" xr:uid="{E48CA52C-3D88-430F-8FE1-8E75F5CB25E9}"/>
    <cellStyle name="20% - Accent4 2 2 6 3" xfId="6184" xr:uid="{00000000-0005-0000-0000-000012060000}"/>
    <cellStyle name="20% - Accent4 2 2 6 3 2" xfId="23054" xr:uid="{00000000-0005-0000-0000-000013060000}"/>
    <cellStyle name="20% - Accent4 2 2 6 3 2 2" xfId="39922" xr:uid="{DECF9087-4C05-476B-80A1-9973F55C7627}"/>
    <cellStyle name="20% - Accent4 2 2 6 3 3" xfId="14619" xr:uid="{00000000-0005-0000-0000-000014060000}"/>
    <cellStyle name="20% - Accent4 2 2 6 3 4" xfId="31488" xr:uid="{C9E3347E-C2A2-445B-84A2-7C05A0D3AB12}"/>
    <cellStyle name="20% - Accent4 2 2 6 4" xfId="18836" xr:uid="{00000000-0005-0000-0000-000015060000}"/>
    <cellStyle name="20% - Accent4 2 2 6 4 2" xfId="35705" xr:uid="{A0DED6B3-C245-4E90-BD44-89BCBA6929C2}"/>
    <cellStyle name="20% - Accent4 2 2 6 5" xfId="10401" xr:uid="{00000000-0005-0000-0000-000016060000}"/>
    <cellStyle name="20% - Accent4 2 2 6 6" xfId="27271" xr:uid="{54F7709D-3CDE-41C2-95F4-211546CB46E8}"/>
    <cellStyle name="20% - Accent4 2 2 7" xfId="2290" xr:uid="{00000000-0005-0000-0000-000017060000}"/>
    <cellStyle name="20% - Accent4 2 2 7 2" xfId="6597" xr:uid="{00000000-0005-0000-0000-000018060000}"/>
    <cellStyle name="20% - Accent4 2 2 7 2 2" xfId="23467" xr:uid="{00000000-0005-0000-0000-000019060000}"/>
    <cellStyle name="20% - Accent4 2 2 7 2 2 2" xfId="40335" xr:uid="{012D258C-9B08-42A1-912B-D574DFA2CD95}"/>
    <cellStyle name="20% - Accent4 2 2 7 2 3" xfId="15032" xr:uid="{00000000-0005-0000-0000-00001A060000}"/>
    <cellStyle name="20% - Accent4 2 2 7 2 4" xfId="31901" xr:uid="{4955C335-FB26-40C4-BBAF-92EA821B2435}"/>
    <cellStyle name="20% - Accent4 2 2 7 3" xfId="19249" xr:uid="{00000000-0005-0000-0000-00001B060000}"/>
    <cellStyle name="20% - Accent4 2 2 7 3 2" xfId="36118" xr:uid="{A95A3E3C-2922-4893-8F19-D0AAFB0E2C9C}"/>
    <cellStyle name="20% - Accent4 2 2 7 4" xfId="10814" xr:uid="{00000000-0005-0000-0000-00001C060000}"/>
    <cellStyle name="20% - Accent4 2 2 7 5" xfId="27684" xr:uid="{505FCED3-649B-4F44-BDCF-37CED21B6D19}"/>
    <cellStyle name="20% - Accent4 2 2 8" xfId="4531" xr:uid="{00000000-0005-0000-0000-00001D060000}"/>
    <cellStyle name="20% - Accent4 2 2 8 2" xfId="21401" xr:uid="{00000000-0005-0000-0000-00001E060000}"/>
    <cellStyle name="20% - Accent4 2 2 8 2 2" xfId="38269" xr:uid="{B92B5EA3-96F6-49DA-8DC4-6AF7E5188141}"/>
    <cellStyle name="20% - Accent4 2 2 8 3" xfId="12966" xr:uid="{00000000-0005-0000-0000-00001F060000}"/>
    <cellStyle name="20% - Accent4 2 2 8 4" xfId="29835" xr:uid="{89D383C0-BAAA-4404-A8D8-79F93C53C400}"/>
    <cellStyle name="20% - Accent4 2 2 9" xfId="17183" xr:uid="{00000000-0005-0000-0000-000020060000}"/>
    <cellStyle name="20% - Accent4 2 2 9 2" xfId="34052" xr:uid="{AA74A11C-0DB1-44EF-A7A3-12D19EA52B0C}"/>
    <cellStyle name="20% - Accent4 2 3" xfId="29" xr:uid="{00000000-0005-0000-0000-000021060000}"/>
    <cellStyle name="20% - Accent4 2 3 10" xfId="25620" xr:uid="{A25F6597-A7C0-4BC3-8297-3E1FDE4AA275}"/>
    <cellStyle name="20% - Accent4 2 3 2" xfId="598" xr:uid="{00000000-0005-0000-0000-000022060000}"/>
    <cellStyle name="20% - Accent4 2 3 2 2" xfId="2869" xr:uid="{00000000-0005-0000-0000-000023060000}"/>
    <cellStyle name="20% - Accent4 2 3 2 2 2" xfId="7092" xr:uid="{00000000-0005-0000-0000-000024060000}"/>
    <cellStyle name="20% - Accent4 2 3 2 2 2 2" xfId="23962" xr:uid="{00000000-0005-0000-0000-000025060000}"/>
    <cellStyle name="20% - Accent4 2 3 2 2 2 2 2" xfId="40830" xr:uid="{215BA8DC-EBEA-4188-A745-EB35D8015DD5}"/>
    <cellStyle name="20% - Accent4 2 3 2 2 2 3" xfId="15527" xr:uid="{00000000-0005-0000-0000-000026060000}"/>
    <cellStyle name="20% - Accent4 2 3 2 2 2 4" xfId="32396" xr:uid="{87ED725D-D328-459E-A0FE-11AC8F42703B}"/>
    <cellStyle name="20% - Accent4 2 3 2 2 3" xfId="19744" xr:uid="{00000000-0005-0000-0000-000027060000}"/>
    <cellStyle name="20% - Accent4 2 3 2 2 3 2" xfId="36613" xr:uid="{3E424FBF-F205-4B29-867F-F04F18C835BF}"/>
    <cellStyle name="20% - Accent4 2 3 2 2 4" xfId="11309" xr:uid="{00000000-0005-0000-0000-000028060000}"/>
    <cellStyle name="20% - Accent4 2 3 2 2 5" xfId="28179" xr:uid="{61A3EFBE-7220-402A-9996-A5B99102BD16}"/>
    <cellStyle name="20% - Accent4 2 3 2 3" xfId="4947" xr:uid="{00000000-0005-0000-0000-000029060000}"/>
    <cellStyle name="20% - Accent4 2 3 2 3 2" xfId="21817" xr:uid="{00000000-0005-0000-0000-00002A060000}"/>
    <cellStyle name="20% - Accent4 2 3 2 3 2 2" xfId="38685" xr:uid="{F9CC4278-CDF9-4073-A014-C49E74275626}"/>
    <cellStyle name="20% - Accent4 2 3 2 3 3" xfId="13382" xr:uid="{00000000-0005-0000-0000-00002B060000}"/>
    <cellStyle name="20% - Accent4 2 3 2 3 4" xfId="30251" xr:uid="{F7982F90-B683-4DD6-8531-1D0C75CEEF62}"/>
    <cellStyle name="20% - Accent4 2 3 2 4" xfId="17599" xr:uid="{00000000-0005-0000-0000-00002C060000}"/>
    <cellStyle name="20% - Accent4 2 3 2 4 2" xfId="34468" xr:uid="{F224FA44-4862-4F61-8943-94E40256BC74}"/>
    <cellStyle name="20% - Accent4 2 3 2 5" xfId="9164" xr:uid="{00000000-0005-0000-0000-00002D060000}"/>
    <cellStyle name="20% - Accent4 2 3 2 6" xfId="26034" xr:uid="{1F6B3009-6F92-40AB-ADA7-7A8A38ED9E70}"/>
    <cellStyle name="20% - Accent4 2 3 3" xfId="1051" xr:uid="{00000000-0005-0000-0000-00002E060000}"/>
    <cellStyle name="20% - Accent4 2 3 3 2" xfId="3282" xr:uid="{00000000-0005-0000-0000-00002F060000}"/>
    <cellStyle name="20% - Accent4 2 3 3 2 2" xfId="7505" xr:uid="{00000000-0005-0000-0000-000030060000}"/>
    <cellStyle name="20% - Accent4 2 3 3 2 2 2" xfId="24375" xr:uid="{00000000-0005-0000-0000-000031060000}"/>
    <cellStyle name="20% - Accent4 2 3 3 2 2 2 2" xfId="41243" xr:uid="{1A1E2BA8-8229-4532-84E2-77A994731549}"/>
    <cellStyle name="20% - Accent4 2 3 3 2 2 3" xfId="15940" xr:uid="{00000000-0005-0000-0000-000032060000}"/>
    <cellStyle name="20% - Accent4 2 3 3 2 2 4" xfId="32809" xr:uid="{CF7955FE-E2AB-4F57-A751-2B357CFED755}"/>
    <cellStyle name="20% - Accent4 2 3 3 2 3" xfId="20157" xr:uid="{00000000-0005-0000-0000-000033060000}"/>
    <cellStyle name="20% - Accent4 2 3 3 2 3 2" xfId="37026" xr:uid="{F4AB5D73-33EA-40D4-B3CF-6A6893FB5520}"/>
    <cellStyle name="20% - Accent4 2 3 3 2 4" xfId="11722" xr:uid="{00000000-0005-0000-0000-000034060000}"/>
    <cellStyle name="20% - Accent4 2 3 3 2 5" xfId="28592" xr:uid="{82511B27-7E6B-4E99-AAE0-6AA1BFCA8D6F}"/>
    <cellStyle name="20% - Accent4 2 3 3 3" xfId="5360" xr:uid="{00000000-0005-0000-0000-000035060000}"/>
    <cellStyle name="20% - Accent4 2 3 3 3 2" xfId="22230" xr:uid="{00000000-0005-0000-0000-000036060000}"/>
    <cellStyle name="20% - Accent4 2 3 3 3 2 2" xfId="39098" xr:uid="{E946044D-E8C5-4ADA-80D1-FAC8F9760996}"/>
    <cellStyle name="20% - Accent4 2 3 3 3 3" xfId="13795" xr:uid="{00000000-0005-0000-0000-000037060000}"/>
    <cellStyle name="20% - Accent4 2 3 3 3 4" xfId="30664" xr:uid="{5934C318-5C97-4ACF-AE7A-B8B080F2A3C9}"/>
    <cellStyle name="20% - Accent4 2 3 3 4" xfId="18012" xr:uid="{00000000-0005-0000-0000-000038060000}"/>
    <cellStyle name="20% - Accent4 2 3 3 4 2" xfId="34881" xr:uid="{9A292F7F-08B9-4918-B36A-6D2E5BA142D6}"/>
    <cellStyle name="20% - Accent4 2 3 3 5" xfId="9577" xr:uid="{00000000-0005-0000-0000-000039060000}"/>
    <cellStyle name="20% - Accent4 2 3 3 6" xfId="26447" xr:uid="{3540AF85-C044-41E7-9073-906D7D64A86B}"/>
    <cellStyle name="20% - Accent4 2 3 4" xfId="1465" xr:uid="{00000000-0005-0000-0000-00003A060000}"/>
    <cellStyle name="20% - Accent4 2 3 4 2" xfId="3695" xr:uid="{00000000-0005-0000-0000-00003B060000}"/>
    <cellStyle name="20% - Accent4 2 3 4 2 2" xfId="7918" xr:uid="{00000000-0005-0000-0000-00003C060000}"/>
    <cellStyle name="20% - Accent4 2 3 4 2 2 2" xfId="24788" xr:uid="{00000000-0005-0000-0000-00003D060000}"/>
    <cellStyle name="20% - Accent4 2 3 4 2 2 2 2" xfId="41656" xr:uid="{90935ABE-0F4B-41EE-857A-09A12058A7E1}"/>
    <cellStyle name="20% - Accent4 2 3 4 2 2 3" xfId="16353" xr:uid="{00000000-0005-0000-0000-00003E060000}"/>
    <cellStyle name="20% - Accent4 2 3 4 2 2 4" xfId="33222" xr:uid="{B14C7CE5-8587-453F-8F5E-823DF3A7B3D3}"/>
    <cellStyle name="20% - Accent4 2 3 4 2 3" xfId="20570" xr:uid="{00000000-0005-0000-0000-00003F060000}"/>
    <cellStyle name="20% - Accent4 2 3 4 2 3 2" xfId="37439" xr:uid="{3EDE14A7-8B0F-4ECF-9A45-CAD35A2242A2}"/>
    <cellStyle name="20% - Accent4 2 3 4 2 4" xfId="12135" xr:uid="{00000000-0005-0000-0000-000040060000}"/>
    <cellStyle name="20% - Accent4 2 3 4 2 5" xfId="29005" xr:uid="{D5B8772D-A708-4AA3-80BA-30EEC1750C58}"/>
    <cellStyle name="20% - Accent4 2 3 4 3" xfId="5773" xr:uid="{00000000-0005-0000-0000-000041060000}"/>
    <cellStyle name="20% - Accent4 2 3 4 3 2" xfId="22643" xr:uid="{00000000-0005-0000-0000-000042060000}"/>
    <cellStyle name="20% - Accent4 2 3 4 3 2 2" xfId="39511" xr:uid="{7D5FEB0D-0C98-4224-8A7A-F420904948AD}"/>
    <cellStyle name="20% - Accent4 2 3 4 3 3" xfId="14208" xr:uid="{00000000-0005-0000-0000-000043060000}"/>
    <cellStyle name="20% - Accent4 2 3 4 3 4" xfId="31077" xr:uid="{4A7B22DA-BCA1-4139-9C95-60734B25C34A}"/>
    <cellStyle name="20% - Accent4 2 3 4 4" xfId="18425" xr:uid="{00000000-0005-0000-0000-000044060000}"/>
    <cellStyle name="20% - Accent4 2 3 4 4 2" xfId="35294" xr:uid="{2F9AC700-5458-49CC-8807-5340098E2923}"/>
    <cellStyle name="20% - Accent4 2 3 4 5" xfId="9990" xr:uid="{00000000-0005-0000-0000-000045060000}"/>
    <cellStyle name="20% - Accent4 2 3 4 6" xfId="26860" xr:uid="{10A82498-17ED-4A4F-B1C4-4BB2B23FA0B1}"/>
    <cellStyle name="20% - Accent4 2 3 5" xfId="1879" xr:uid="{00000000-0005-0000-0000-000046060000}"/>
    <cellStyle name="20% - Accent4 2 3 5 2" xfId="4108" xr:uid="{00000000-0005-0000-0000-000047060000}"/>
    <cellStyle name="20% - Accent4 2 3 5 2 2" xfId="8331" xr:uid="{00000000-0005-0000-0000-000048060000}"/>
    <cellStyle name="20% - Accent4 2 3 5 2 2 2" xfId="25201" xr:uid="{00000000-0005-0000-0000-000049060000}"/>
    <cellStyle name="20% - Accent4 2 3 5 2 2 2 2" xfId="42069" xr:uid="{C9F6DDB1-0A99-4140-9890-9D6E871B8EE2}"/>
    <cellStyle name="20% - Accent4 2 3 5 2 2 3" xfId="16766" xr:uid="{00000000-0005-0000-0000-00004A060000}"/>
    <cellStyle name="20% - Accent4 2 3 5 2 2 4" xfId="33635" xr:uid="{5A216222-703E-465E-97A7-296D8426E3E5}"/>
    <cellStyle name="20% - Accent4 2 3 5 2 3" xfId="20983" xr:uid="{00000000-0005-0000-0000-00004B060000}"/>
    <cellStyle name="20% - Accent4 2 3 5 2 3 2" xfId="37852" xr:uid="{06ADC55E-E38C-4B52-9FD3-AB875740F44B}"/>
    <cellStyle name="20% - Accent4 2 3 5 2 4" xfId="12548" xr:uid="{00000000-0005-0000-0000-00004C060000}"/>
    <cellStyle name="20% - Accent4 2 3 5 2 5" xfId="29418" xr:uid="{65C61907-018F-4EE9-8FD4-7BF98EAD875D}"/>
    <cellStyle name="20% - Accent4 2 3 5 3" xfId="6186" xr:uid="{00000000-0005-0000-0000-00004D060000}"/>
    <cellStyle name="20% - Accent4 2 3 5 3 2" xfId="23056" xr:uid="{00000000-0005-0000-0000-00004E060000}"/>
    <cellStyle name="20% - Accent4 2 3 5 3 2 2" xfId="39924" xr:uid="{0AA355D1-AC14-4321-93F3-2F5B5A01E962}"/>
    <cellStyle name="20% - Accent4 2 3 5 3 3" xfId="14621" xr:uid="{00000000-0005-0000-0000-00004F060000}"/>
    <cellStyle name="20% - Accent4 2 3 5 3 4" xfId="31490" xr:uid="{7083C508-D56D-47BF-B2F6-B26261293D64}"/>
    <cellStyle name="20% - Accent4 2 3 5 4" xfId="18838" xr:uid="{00000000-0005-0000-0000-000050060000}"/>
    <cellStyle name="20% - Accent4 2 3 5 4 2" xfId="35707" xr:uid="{85830F31-6A68-476E-8D17-ACB2518E0061}"/>
    <cellStyle name="20% - Accent4 2 3 5 5" xfId="10403" xr:uid="{00000000-0005-0000-0000-000051060000}"/>
    <cellStyle name="20% - Accent4 2 3 5 6" xfId="27273" xr:uid="{545E8339-09A6-44BC-AD31-2EEA01EBC311}"/>
    <cellStyle name="20% - Accent4 2 3 6" xfId="2292" xr:uid="{00000000-0005-0000-0000-000052060000}"/>
    <cellStyle name="20% - Accent4 2 3 6 2" xfId="6599" xr:uid="{00000000-0005-0000-0000-000053060000}"/>
    <cellStyle name="20% - Accent4 2 3 6 2 2" xfId="23469" xr:uid="{00000000-0005-0000-0000-000054060000}"/>
    <cellStyle name="20% - Accent4 2 3 6 2 2 2" xfId="40337" xr:uid="{A7F8DA9E-CE0C-4C43-8240-57C75E9D79EC}"/>
    <cellStyle name="20% - Accent4 2 3 6 2 3" xfId="15034" xr:uid="{00000000-0005-0000-0000-000055060000}"/>
    <cellStyle name="20% - Accent4 2 3 6 2 4" xfId="31903" xr:uid="{5EC4641D-A02D-4AF7-9E2C-A96890BA46B0}"/>
    <cellStyle name="20% - Accent4 2 3 6 3" xfId="19251" xr:uid="{00000000-0005-0000-0000-000056060000}"/>
    <cellStyle name="20% - Accent4 2 3 6 3 2" xfId="36120" xr:uid="{A32DE002-2B69-41EB-AC97-5ED6B59C0B28}"/>
    <cellStyle name="20% - Accent4 2 3 6 4" xfId="10816" xr:uid="{00000000-0005-0000-0000-000057060000}"/>
    <cellStyle name="20% - Accent4 2 3 6 5" xfId="27686" xr:uid="{0748E5F2-4825-4B98-979E-D7442FFCF6A4}"/>
    <cellStyle name="20% - Accent4 2 3 7" xfId="4533" xr:uid="{00000000-0005-0000-0000-000058060000}"/>
    <cellStyle name="20% - Accent4 2 3 7 2" xfId="21403" xr:uid="{00000000-0005-0000-0000-000059060000}"/>
    <cellStyle name="20% - Accent4 2 3 7 2 2" xfId="38271" xr:uid="{D3D04FF0-D63A-4B24-A874-9F4EDE3BC185}"/>
    <cellStyle name="20% - Accent4 2 3 7 3" xfId="12968" xr:uid="{00000000-0005-0000-0000-00005A060000}"/>
    <cellStyle name="20% - Accent4 2 3 7 4" xfId="29837" xr:uid="{3F9D786E-BA91-4DC7-8683-CB454FCDFFED}"/>
    <cellStyle name="20% - Accent4 2 3 8" xfId="17185" xr:uid="{00000000-0005-0000-0000-00005B060000}"/>
    <cellStyle name="20% - Accent4 2 3 8 2" xfId="34054" xr:uid="{30FA5349-8AD1-4BAB-96A7-3595B3E63DE0}"/>
    <cellStyle name="20% - Accent4 2 3 9" xfId="8750" xr:uid="{00000000-0005-0000-0000-00005C060000}"/>
    <cellStyle name="20% - Accent4 2 4" xfId="595" xr:uid="{00000000-0005-0000-0000-00005D060000}"/>
    <cellStyle name="20% - Accent4 2 4 2" xfId="2866" xr:uid="{00000000-0005-0000-0000-00005E060000}"/>
    <cellStyle name="20% - Accent4 2 4 2 2" xfId="7089" xr:uid="{00000000-0005-0000-0000-00005F060000}"/>
    <cellStyle name="20% - Accent4 2 4 2 2 2" xfId="23959" xr:uid="{00000000-0005-0000-0000-000060060000}"/>
    <cellStyle name="20% - Accent4 2 4 2 2 2 2" xfId="40827" xr:uid="{FF8B7314-E3A2-47B4-8400-B0C3A61C61F2}"/>
    <cellStyle name="20% - Accent4 2 4 2 2 3" xfId="15524" xr:uid="{00000000-0005-0000-0000-000061060000}"/>
    <cellStyle name="20% - Accent4 2 4 2 2 4" xfId="32393" xr:uid="{96050A44-DF3D-40A3-9C30-104E56DAFCAB}"/>
    <cellStyle name="20% - Accent4 2 4 2 3" xfId="19741" xr:uid="{00000000-0005-0000-0000-000062060000}"/>
    <cellStyle name="20% - Accent4 2 4 2 3 2" xfId="36610" xr:uid="{4F204DD0-13D6-40E3-86E1-CD69D8F5E962}"/>
    <cellStyle name="20% - Accent4 2 4 2 4" xfId="11306" xr:uid="{00000000-0005-0000-0000-000063060000}"/>
    <cellStyle name="20% - Accent4 2 4 2 5" xfId="28176" xr:uid="{4374D22A-8AA4-4BDE-8D62-7F1E19BFBA90}"/>
    <cellStyle name="20% - Accent4 2 4 3" xfId="4944" xr:uid="{00000000-0005-0000-0000-000064060000}"/>
    <cellStyle name="20% - Accent4 2 4 3 2" xfId="21814" xr:uid="{00000000-0005-0000-0000-000065060000}"/>
    <cellStyle name="20% - Accent4 2 4 3 2 2" xfId="38682" xr:uid="{76FAC3E7-338C-4959-98DF-948C1BD31DF2}"/>
    <cellStyle name="20% - Accent4 2 4 3 3" xfId="13379" xr:uid="{00000000-0005-0000-0000-000066060000}"/>
    <cellStyle name="20% - Accent4 2 4 3 4" xfId="30248" xr:uid="{4CD6D374-DD89-498E-ADF5-2FE5BD9094BD}"/>
    <cellStyle name="20% - Accent4 2 4 4" xfId="17596" xr:uid="{00000000-0005-0000-0000-000067060000}"/>
    <cellStyle name="20% - Accent4 2 4 4 2" xfId="34465" xr:uid="{645195DF-14BA-40F1-B691-D26E59617A98}"/>
    <cellStyle name="20% - Accent4 2 4 5" xfId="9161" xr:uid="{00000000-0005-0000-0000-000068060000}"/>
    <cellStyle name="20% - Accent4 2 4 6" xfId="26031" xr:uid="{F6E6D1E9-26C6-4C48-B164-6A14AC6C7429}"/>
    <cellStyle name="20% - Accent4 2 5" xfId="1048" xr:uid="{00000000-0005-0000-0000-000069060000}"/>
    <cellStyle name="20% - Accent4 2 5 2" xfId="3279" xr:uid="{00000000-0005-0000-0000-00006A060000}"/>
    <cellStyle name="20% - Accent4 2 5 2 2" xfId="7502" xr:uid="{00000000-0005-0000-0000-00006B060000}"/>
    <cellStyle name="20% - Accent4 2 5 2 2 2" xfId="24372" xr:uid="{00000000-0005-0000-0000-00006C060000}"/>
    <cellStyle name="20% - Accent4 2 5 2 2 2 2" xfId="41240" xr:uid="{4C251268-8DD8-47A7-93BF-23B88AF9C5B0}"/>
    <cellStyle name="20% - Accent4 2 5 2 2 3" xfId="15937" xr:uid="{00000000-0005-0000-0000-00006D060000}"/>
    <cellStyle name="20% - Accent4 2 5 2 2 4" xfId="32806" xr:uid="{116358FE-0917-4E7A-B272-4B22AACEEF9B}"/>
    <cellStyle name="20% - Accent4 2 5 2 3" xfId="20154" xr:uid="{00000000-0005-0000-0000-00006E060000}"/>
    <cellStyle name="20% - Accent4 2 5 2 3 2" xfId="37023" xr:uid="{0E9F1F03-762F-4E43-BFB7-26133783C47F}"/>
    <cellStyle name="20% - Accent4 2 5 2 4" xfId="11719" xr:uid="{00000000-0005-0000-0000-00006F060000}"/>
    <cellStyle name="20% - Accent4 2 5 2 5" xfId="28589" xr:uid="{27E17479-F2D6-4AC0-A0F9-9F84A823DBAC}"/>
    <cellStyle name="20% - Accent4 2 5 3" xfId="5357" xr:uid="{00000000-0005-0000-0000-000070060000}"/>
    <cellStyle name="20% - Accent4 2 5 3 2" xfId="22227" xr:uid="{00000000-0005-0000-0000-000071060000}"/>
    <cellStyle name="20% - Accent4 2 5 3 2 2" xfId="39095" xr:uid="{8EFF7A6C-7387-48EA-B179-CEA0B867B4A7}"/>
    <cellStyle name="20% - Accent4 2 5 3 3" xfId="13792" xr:uid="{00000000-0005-0000-0000-000072060000}"/>
    <cellStyle name="20% - Accent4 2 5 3 4" xfId="30661" xr:uid="{81A7080D-A9D7-4637-980D-E6EBE6B5BC54}"/>
    <cellStyle name="20% - Accent4 2 5 4" xfId="18009" xr:uid="{00000000-0005-0000-0000-000073060000}"/>
    <cellStyle name="20% - Accent4 2 5 4 2" xfId="34878" xr:uid="{19EC8CB4-0F27-45A4-BD60-94341D799F26}"/>
    <cellStyle name="20% - Accent4 2 5 5" xfId="9574" xr:uid="{00000000-0005-0000-0000-000074060000}"/>
    <cellStyle name="20% - Accent4 2 5 6" xfId="26444" xr:uid="{CEAA487F-07BC-42AF-8DA9-CE9DF4B4EF30}"/>
    <cellStyle name="20% - Accent4 2 6" xfId="1462" xr:uid="{00000000-0005-0000-0000-000075060000}"/>
    <cellStyle name="20% - Accent4 2 6 2" xfId="3692" xr:uid="{00000000-0005-0000-0000-000076060000}"/>
    <cellStyle name="20% - Accent4 2 6 2 2" xfId="7915" xr:uid="{00000000-0005-0000-0000-000077060000}"/>
    <cellStyle name="20% - Accent4 2 6 2 2 2" xfId="24785" xr:uid="{00000000-0005-0000-0000-000078060000}"/>
    <cellStyle name="20% - Accent4 2 6 2 2 2 2" xfId="41653" xr:uid="{4B5EF49E-0D25-41B8-9CC0-13DA061D58D2}"/>
    <cellStyle name="20% - Accent4 2 6 2 2 3" xfId="16350" xr:uid="{00000000-0005-0000-0000-000079060000}"/>
    <cellStyle name="20% - Accent4 2 6 2 2 4" xfId="33219" xr:uid="{A5FDA75C-5674-4136-A15D-B67854306193}"/>
    <cellStyle name="20% - Accent4 2 6 2 3" xfId="20567" xr:uid="{00000000-0005-0000-0000-00007A060000}"/>
    <cellStyle name="20% - Accent4 2 6 2 3 2" xfId="37436" xr:uid="{BC8C5F22-5AC5-4D0C-BBAB-B93B2DD14BE7}"/>
    <cellStyle name="20% - Accent4 2 6 2 4" xfId="12132" xr:uid="{00000000-0005-0000-0000-00007B060000}"/>
    <cellStyle name="20% - Accent4 2 6 2 5" xfId="29002" xr:uid="{54A4E1DF-F6F6-485D-9BDC-2BDF285787CD}"/>
    <cellStyle name="20% - Accent4 2 6 3" xfId="5770" xr:uid="{00000000-0005-0000-0000-00007C060000}"/>
    <cellStyle name="20% - Accent4 2 6 3 2" xfId="22640" xr:uid="{00000000-0005-0000-0000-00007D060000}"/>
    <cellStyle name="20% - Accent4 2 6 3 2 2" xfId="39508" xr:uid="{B61D18DB-ED61-436D-927F-7BBC841C4F27}"/>
    <cellStyle name="20% - Accent4 2 6 3 3" xfId="14205" xr:uid="{00000000-0005-0000-0000-00007E060000}"/>
    <cellStyle name="20% - Accent4 2 6 3 4" xfId="31074" xr:uid="{D7D3289C-4C10-4FAE-AF36-E2C296E2620B}"/>
    <cellStyle name="20% - Accent4 2 6 4" xfId="18422" xr:uid="{00000000-0005-0000-0000-00007F060000}"/>
    <cellStyle name="20% - Accent4 2 6 4 2" xfId="35291" xr:uid="{EF1F5F6A-91FC-41CC-B0D2-1307280DCB2A}"/>
    <cellStyle name="20% - Accent4 2 6 5" xfId="9987" xr:uid="{00000000-0005-0000-0000-000080060000}"/>
    <cellStyle name="20% - Accent4 2 6 6" xfId="26857" xr:uid="{F02E0444-FE15-433F-9FAE-489470B4461C}"/>
    <cellStyle name="20% - Accent4 2 7" xfId="1876" xr:uid="{00000000-0005-0000-0000-000081060000}"/>
    <cellStyle name="20% - Accent4 2 7 2" xfId="4105" xr:uid="{00000000-0005-0000-0000-000082060000}"/>
    <cellStyle name="20% - Accent4 2 7 2 2" xfId="8328" xr:uid="{00000000-0005-0000-0000-000083060000}"/>
    <cellStyle name="20% - Accent4 2 7 2 2 2" xfId="25198" xr:uid="{00000000-0005-0000-0000-000084060000}"/>
    <cellStyle name="20% - Accent4 2 7 2 2 2 2" xfId="42066" xr:uid="{1DF79FC5-7800-4A66-9B22-08E623F4253D}"/>
    <cellStyle name="20% - Accent4 2 7 2 2 3" xfId="16763" xr:uid="{00000000-0005-0000-0000-000085060000}"/>
    <cellStyle name="20% - Accent4 2 7 2 2 4" xfId="33632" xr:uid="{84E4709D-F2A0-4410-93A7-3A103E05A590}"/>
    <cellStyle name="20% - Accent4 2 7 2 3" xfId="20980" xr:uid="{00000000-0005-0000-0000-000086060000}"/>
    <cellStyle name="20% - Accent4 2 7 2 3 2" xfId="37849" xr:uid="{4F0E8827-BD27-47D1-B01A-64B2FA77D367}"/>
    <cellStyle name="20% - Accent4 2 7 2 4" xfId="12545" xr:uid="{00000000-0005-0000-0000-000087060000}"/>
    <cellStyle name="20% - Accent4 2 7 2 5" xfId="29415" xr:uid="{03E5815E-3B85-4C10-BDE2-A2F12AAF7569}"/>
    <cellStyle name="20% - Accent4 2 7 3" xfId="6183" xr:uid="{00000000-0005-0000-0000-000088060000}"/>
    <cellStyle name="20% - Accent4 2 7 3 2" xfId="23053" xr:uid="{00000000-0005-0000-0000-000089060000}"/>
    <cellStyle name="20% - Accent4 2 7 3 2 2" xfId="39921" xr:uid="{E6ABACEB-2AD9-4C57-989C-6C31FA626AD8}"/>
    <cellStyle name="20% - Accent4 2 7 3 3" xfId="14618" xr:uid="{00000000-0005-0000-0000-00008A060000}"/>
    <cellStyle name="20% - Accent4 2 7 3 4" xfId="31487" xr:uid="{E71851CD-9DE4-4EEA-8988-F2C17881D2E3}"/>
    <cellStyle name="20% - Accent4 2 7 4" xfId="18835" xr:uid="{00000000-0005-0000-0000-00008B060000}"/>
    <cellStyle name="20% - Accent4 2 7 4 2" xfId="35704" xr:uid="{7B125A18-FE82-47F2-B022-5EBD2B7C046E}"/>
    <cellStyle name="20% - Accent4 2 7 5" xfId="10400" xr:uid="{00000000-0005-0000-0000-00008C060000}"/>
    <cellStyle name="20% - Accent4 2 7 6" xfId="27270" xr:uid="{312A206A-971F-4AE0-96DF-6DA57E6F755A}"/>
    <cellStyle name="20% - Accent4 2 8" xfId="2289" xr:uid="{00000000-0005-0000-0000-00008D060000}"/>
    <cellStyle name="20% - Accent4 2 8 2" xfId="6596" xr:uid="{00000000-0005-0000-0000-00008E060000}"/>
    <cellStyle name="20% - Accent4 2 8 2 2" xfId="23466" xr:uid="{00000000-0005-0000-0000-00008F060000}"/>
    <cellStyle name="20% - Accent4 2 8 2 2 2" xfId="40334" xr:uid="{A8755FD1-A041-4E11-A361-A3523FD16C38}"/>
    <cellStyle name="20% - Accent4 2 8 2 3" xfId="15031" xr:uid="{00000000-0005-0000-0000-000090060000}"/>
    <cellStyle name="20% - Accent4 2 8 2 4" xfId="31900" xr:uid="{AC41AAE6-94AE-4509-8D9E-AF9BE7481BB5}"/>
    <cellStyle name="20% - Accent4 2 8 3" xfId="19248" xr:uid="{00000000-0005-0000-0000-000091060000}"/>
    <cellStyle name="20% - Accent4 2 8 3 2" xfId="36117" xr:uid="{5B9E23DF-E56D-4A10-8951-5BB408D72353}"/>
    <cellStyle name="20% - Accent4 2 8 4" xfId="10813" xr:uid="{00000000-0005-0000-0000-000092060000}"/>
    <cellStyle name="20% - Accent4 2 8 5" xfId="27683" xr:uid="{1074CBC0-8275-40CB-8AF2-DFF58AE047DC}"/>
    <cellStyle name="20% - Accent4 2 9" xfId="4530" xr:uid="{00000000-0005-0000-0000-000093060000}"/>
    <cellStyle name="20% - Accent4 2 9 2" xfId="21400" xr:uid="{00000000-0005-0000-0000-000094060000}"/>
    <cellStyle name="20% - Accent4 2 9 2 2" xfId="38268" xr:uid="{57E7B48D-198F-4012-B4BF-6D5BE0B70C71}"/>
    <cellStyle name="20% - Accent4 2 9 3" xfId="12965" xr:uid="{00000000-0005-0000-0000-000095060000}"/>
    <cellStyle name="20% - Accent4 2 9 4" xfId="29834" xr:uid="{1535FA69-0B7B-451D-B199-B1871E0E6D5E}"/>
    <cellStyle name="20% - Accent4 3" xfId="30" xr:uid="{00000000-0005-0000-0000-000096060000}"/>
    <cellStyle name="20% - Accent4 3 10" xfId="8751" xr:uid="{00000000-0005-0000-0000-000097060000}"/>
    <cellStyle name="20% - Accent4 3 11" xfId="25621" xr:uid="{E2174271-A286-4FC4-AF8C-80914EFB9258}"/>
    <cellStyle name="20% - Accent4 3 2" xfId="31" xr:uid="{00000000-0005-0000-0000-000098060000}"/>
    <cellStyle name="20% - Accent4 3 2 10" xfId="25622" xr:uid="{7F93C436-52C3-4B48-A1AB-C7B36F9DA8DB}"/>
    <cellStyle name="20% - Accent4 3 2 2" xfId="600" xr:uid="{00000000-0005-0000-0000-000099060000}"/>
    <cellStyle name="20% - Accent4 3 2 2 2" xfId="2871" xr:uid="{00000000-0005-0000-0000-00009A060000}"/>
    <cellStyle name="20% - Accent4 3 2 2 2 2" xfId="7094" xr:uid="{00000000-0005-0000-0000-00009B060000}"/>
    <cellStyle name="20% - Accent4 3 2 2 2 2 2" xfId="23964" xr:uid="{00000000-0005-0000-0000-00009C060000}"/>
    <cellStyle name="20% - Accent4 3 2 2 2 2 2 2" xfId="40832" xr:uid="{EDA0B64D-E6B8-423E-ACBE-D9D679792128}"/>
    <cellStyle name="20% - Accent4 3 2 2 2 2 3" xfId="15529" xr:uid="{00000000-0005-0000-0000-00009D060000}"/>
    <cellStyle name="20% - Accent4 3 2 2 2 2 4" xfId="32398" xr:uid="{7BBEA0EA-4E5A-49EA-9E74-F1F39493C7E7}"/>
    <cellStyle name="20% - Accent4 3 2 2 2 3" xfId="19746" xr:uid="{00000000-0005-0000-0000-00009E060000}"/>
    <cellStyle name="20% - Accent4 3 2 2 2 3 2" xfId="36615" xr:uid="{ED810B53-3127-4E18-BF98-2A02D6EC924D}"/>
    <cellStyle name="20% - Accent4 3 2 2 2 4" xfId="11311" xr:uid="{00000000-0005-0000-0000-00009F060000}"/>
    <cellStyle name="20% - Accent4 3 2 2 2 5" xfId="28181" xr:uid="{470A0576-D1EF-4CDD-90DE-321077095C93}"/>
    <cellStyle name="20% - Accent4 3 2 2 3" xfId="4949" xr:uid="{00000000-0005-0000-0000-0000A0060000}"/>
    <cellStyle name="20% - Accent4 3 2 2 3 2" xfId="21819" xr:uid="{00000000-0005-0000-0000-0000A1060000}"/>
    <cellStyle name="20% - Accent4 3 2 2 3 2 2" xfId="38687" xr:uid="{5B2F667C-8A0A-48E0-B9E2-4DE4A6C3A682}"/>
    <cellStyle name="20% - Accent4 3 2 2 3 3" xfId="13384" xr:uid="{00000000-0005-0000-0000-0000A2060000}"/>
    <cellStyle name="20% - Accent4 3 2 2 3 4" xfId="30253" xr:uid="{A4B33D0E-E24F-4508-8915-B0AE827D0CA4}"/>
    <cellStyle name="20% - Accent4 3 2 2 4" xfId="17601" xr:uid="{00000000-0005-0000-0000-0000A3060000}"/>
    <cellStyle name="20% - Accent4 3 2 2 4 2" xfId="34470" xr:uid="{BF9A5756-A5DE-40BD-B6EE-855E802852F3}"/>
    <cellStyle name="20% - Accent4 3 2 2 5" xfId="9166" xr:uid="{00000000-0005-0000-0000-0000A4060000}"/>
    <cellStyle name="20% - Accent4 3 2 2 6" xfId="26036" xr:uid="{22393FE2-B2CA-46F5-AF8F-D1E401CE9A68}"/>
    <cellStyle name="20% - Accent4 3 2 3" xfId="1053" xr:uid="{00000000-0005-0000-0000-0000A5060000}"/>
    <cellStyle name="20% - Accent4 3 2 3 2" xfId="3284" xr:uid="{00000000-0005-0000-0000-0000A6060000}"/>
    <cellStyle name="20% - Accent4 3 2 3 2 2" xfId="7507" xr:uid="{00000000-0005-0000-0000-0000A7060000}"/>
    <cellStyle name="20% - Accent4 3 2 3 2 2 2" xfId="24377" xr:uid="{00000000-0005-0000-0000-0000A8060000}"/>
    <cellStyle name="20% - Accent4 3 2 3 2 2 2 2" xfId="41245" xr:uid="{998AC2D6-425A-4B12-A099-09EA610525B7}"/>
    <cellStyle name="20% - Accent4 3 2 3 2 2 3" xfId="15942" xr:uid="{00000000-0005-0000-0000-0000A9060000}"/>
    <cellStyle name="20% - Accent4 3 2 3 2 2 4" xfId="32811" xr:uid="{52465CAF-175F-4A5F-B250-9B7306706AF4}"/>
    <cellStyle name="20% - Accent4 3 2 3 2 3" xfId="20159" xr:uid="{00000000-0005-0000-0000-0000AA060000}"/>
    <cellStyle name="20% - Accent4 3 2 3 2 3 2" xfId="37028" xr:uid="{F8D23158-BBDB-44BC-9488-FB3F5C763B5C}"/>
    <cellStyle name="20% - Accent4 3 2 3 2 4" xfId="11724" xr:uid="{00000000-0005-0000-0000-0000AB060000}"/>
    <cellStyle name="20% - Accent4 3 2 3 2 5" xfId="28594" xr:uid="{3FC8FF02-6975-42AB-8B49-777EA57242FA}"/>
    <cellStyle name="20% - Accent4 3 2 3 3" xfId="5362" xr:uid="{00000000-0005-0000-0000-0000AC060000}"/>
    <cellStyle name="20% - Accent4 3 2 3 3 2" xfId="22232" xr:uid="{00000000-0005-0000-0000-0000AD060000}"/>
    <cellStyle name="20% - Accent4 3 2 3 3 2 2" xfId="39100" xr:uid="{7B15928C-25AC-4691-AE09-AE0278647C4C}"/>
    <cellStyle name="20% - Accent4 3 2 3 3 3" xfId="13797" xr:uid="{00000000-0005-0000-0000-0000AE060000}"/>
    <cellStyle name="20% - Accent4 3 2 3 3 4" xfId="30666" xr:uid="{BABE92AA-0DBB-40E5-9D34-02BED82DB9AA}"/>
    <cellStyle name="20% - Accent4 3 2 3 4" xfId="18014" xr:uid="{00000000-0005-0000-0000-0000AF060000}"/>
    <cellStyle name="20% - Accent4 3 2 3 4 2" xfId="34883" xr:uid="{A721FE0D-9ED1-401A-A5DB-F52B541E6EE2}"/>
    <cellStyle name="20% - Accent4 3 2 3 5" xfId="9579" xr:uid="{00000000-0005-0000-0000-0000B0060000}"/>
    <cellStyle name="20% - Accent4 3 2 3 6" xfId="26449" xr:uid="{B046A1E4-18CA-46BC-98E1-FA6B3BEF6FD2}"/>
    <cellStyle name="20% - Accent4 3 2 4" xfId="1467" xr:uid="{00000000-0005-0000-0000-0000B1060000}"/>
    <cellStyle name="20% - Accent4 3 2 4 2" xfId="3697" xr:uid="{00000000-0005-0000-0000-0000B2060000}"/>
    <cellStyle name="20% - Accent4 3 2 4 2 2" xfId="7920" xr:uid="{00000000-0005-0000-0000-0000B3060000}"/>
    <cellStyle name="20% - Accent4 3 2 4 2 2 2" xfId="24790" xr:uid="{00000000-0005-0000-0000-0000B4060000}"/>
    <cellStyle name="20% - Accent4 3 2 4 2 2 2 2" xfId="41658" xr:uid="{B7A9FF13-E020-4975-B624-40BFD0E5A08A}"/>
    <cellStyle name="20% - Accent4 3 2 4 2 2 3" xfId="16355" xr:uid="{00000000-0005-0000-0000-0000B5060000}"/>
    <cellStyle name="20% - Accent4 3 2 4 2 2 4" xfId="33224" xr:uid="{47B66D1F-0401-44CF-9EAD-FB7164AB6141}"/>
    <cellStyle name="20% - Accent4 3 2 4 2 3" xfId="20572" xr:uid="{00000000-0005-0000-0000-0000B6060000}"/>
    <cellStyle name="20% - Accent4 3 2 4 2 3 2" xfId="37441" xr:uid="{3EE6A7D1-D83C-4946-839A-108FBDD4D89E}"/>
    <cellStyle name="20% - Accent4 3 2 4 2 4" xfId="12137" xr:uid="{00000000-0005-0000-0000-0000B7060000}"/>
    <cellStyle name="20% - Accent4 3 2 4 2 5" xfId="29007" xr:uid="{D027C1A1-129C-4525-A947-6372D728CF93}"/>
    <cellStyle name="20% - Accent4 3 2 4 3" xfId="5775" xr:uid="{00000000-0005-0000-0000-0000B8060000}"/>
    <cellStyle name="20% - Accent4 3 2 4 3 2" xfId="22645" xr:uid="{00000000-0005-0000-0000-0000B9060000}"/>
    <cellStyle name="20% - Accent4 3 2 4 3 2 2" xfId="39513" xr:uid="{B6432232-7654-4BA3-94E0-D4F086C703D6}"/>
    <cellStyle name="20% - Accent4 3 2 4 3 3" xfId="14210" xr:uid="{00000000-0005-0000-0000-0000BA060000}"/>
    <cellStyle name="20% - Accent4 3 2 4 3 4" xfId="31079" xr:uid="{57276501-9E6D-4076-8E66-6EBA9ADA99B7}"/>
    <cellStyle name="20% - Accent4 3 2 4 4" xfId="18427" xr:uid="{00000000-0005-0000-0000-0000BB060000}"/>
    <cellStyle name="20% - Accent4 3 2 4 4 2" xfId="35296" xr:uid="{D2B3E00C-AFE0-4622-9A50-A474018337A4}"/>
    <cellStyle name="20% - Accent4 3 2 4 5" xfId="9992" xr:uid="{00000000-0005-0000-0000-0000BC060000}"/>
    <cellStyle name="20% - Accent4 3 2 4 6" xfId="26862" xr:uid="{C977E910-EBED-455A-A252-66F443BF718B}"/>
    <cellStyle name="20% - Accent4 3 2 5" xfId="1881" xr:uid="{00000000-0005-0000-0000-0000BD060000}"/>
    <cellStyle name="20% - Accent4 3 2 5 2" xfId="4110" xr:uid="{00000000-0005-0000-0000-0000BE060000}"/>
    <cellStyle name="20% - Accent4 3 2 5 2 2" xfId="8333" xr:uid="{00000000-0005-0000-0000-0000BF060000}"/>
    <cellStyle name="20% - Accent4 3 2 5 2 2 2" xfId="25203" xr:uid="{00000000-0005-0000-0000-0000C0060000}"/>
    <cellStyle name="20% - Accent4 3 2 5 2 2 2 2" xfId="42071" xr:uid="{F7C67A39-61C3-4DA0-A177-A951E100E840}"/>
    <cellStyle name="20% - Accent4 3 2 5 2 2 3" xfId="16768" xr:uid="{00000000-0005-0000-0000-0000C1060000}"/>
    <cellStyle name="20% - Accent4 3 2 5 2 2 4" xfId="33637" xr:uid="{4CF3467B-5AF9-48C0-9571-C5ECACE7BA90}"/>
    <cellStyle name="20% - Accent4 3 2 5 2 3" xfId="20985" xr:uid="{00000000-0005-0000-0000-0000C2060000}"/>
    <cellStyle name="20% - Accent4 3 2 5 2 3 2" xfId="37854" xr:uid="{6E9A59A8-4785-4FBD-BB75-6853AFFA6BCB}"/>
    <cellStyle name="20% - Accent4 3 2 5 2 4" xfId="12550" xr:uid="{00000000-0005-0000-0000-0000C3060000}"/>
    <cellStyle name="20% - Accent4 3 2 5 2 5" xfId="29420" xr:uid="{BF54A922-6C7D-408D-9A2E-E0D892528B4D}"/>
    <cellStyle name="20% - Accent4 3 2 5 3" xfId="6188" xr:uid="{00000000-0005-0000-0000-0000C4060000}"/>
    <cellStyle name="20% - Accent4 3 2 5 3 2" xfId="23058" xr:uid="{00000000-0005-0000-0000-0000C5060000}"/>
    <cellStyle name="20% - Accent4 3 2 5 3 2 2" xfId="39926" xr:uid="{39A136EA-ACEB-4942-AA49-433FA0F12ED5}"/>
    <cellStyle name="20% - Accent4 3 2 5 3 3" xfId="14623" xr:uid="{00000000-0005-0000-0000-0000C6060000}"/>
    <cellStyle name="20% - Accent4 3 2 5 3 4" xfId="31492" xr:uid="{408F5E95-50B1-43F4-9BE0-A3EDB07AB388}"/>
    <cellStyle name="20% - Accent4 3 2 5 4" xfId="18840" xr:uid="{00000000-0005-0000-0000-0000C7060000}"/>
    <cellStyle name="20% - Accent4 3 2 5 4 2" xfId="35709" xr:uid="{F1B3C5A8-630B-42B8-8C57-29D18787DD98}"/>
    <cellStyle name="20% - Accent4 3 2 5 5" xfId="10405" xr:uid="{00000000-0005-0000-0000-0000C8060000}"/>
    <cellStyle name="20% - Accent4 3 2 5 6" xfId="27275" xr:uid="{6322BAC6-79C5-445B-90BB-208C84646502}"/>
    <cellStyle name="20% - Accent4 3 2 6" xfId="2294" xr:uid="{00000000-0005-0000-0000-0000C9060000}"/>
    <cellStyle name="20% - Accent4 3 2 6 2" xfId="6601" xr:uid="{00000000-0005-0000-0000-0000CA060000}"/>
    <cellStyle name="20% - Accent4 3 2 6 2 2" xfId="23471" xr:uid="{00000000-0005-0000-0000-0000CB060000}"/>
    <cellStyle name="20% - Accent4 3 2 6 2 2 2" xfId="40339" xr:uid="{A5595CE9-49E0-48E6-88E3-3CC9FFB6EB28}"/>
    <cellStyle name="20% - Accent4 3 2 6 2 3" xfId="15036" xr:uid="{00000000-0005-0000-0000-0000CC060000}"/>
    <cellStyle name="20% - Accent4 3 2 6 2 4" xfId="31905" xr:uid="{D0BDE3BF-3913-4249-B50B-82B59341DCCB}"/>
    <cellStyle name="20% - Accent4 3 2 6 3" xfId="19253" xr:uid="{00000000-0005-0000-0000-0000CD060000}"/>
    <cellStyle name="20% - Accent4 3 2 6 3 2" xfId="36122" xr:uid="{FAD44A31-366D-4105-94E1-B303F00097A8}"/>
    <cellStyle name="20% - Accent4 3 2 6 4" xfId="10818" xr:uid="{00000000-0005-0000-0000-0000CE060000}"/>
    <cellStyle name="20% - Accent4 3 2 6 5" xfId="27688" xr:uid="{E487870A-4F1B-48DB-AC0A-F7B15E95A76E}"/>
    <cellStyle name="20% - Accent4 3 2 7" xfId="4535" xr:uid="{00000000-0005-0000-0000-0000CF060000}"/>
    <cellStyle name="20% - Accent4 3 2 7 2" xfId="21405" xr:uid="{00000000-0005-0000-0000-0000D0060000}"/>
    <cellStyle name="20% - Accent4 3 2 7 2 2" xfId="38273" xr:uid="{325141B0-B49F-4814-B3FD-C61A502FB360}"/>
    <cellStyle name="20% - Accent4 3 2 7 3" xfId="12970" xr:uid="{00000000-0005-0000-0000-0000D1060000}"/>
    <cellStyle name="20% - Accent4 3 2 7 4" xfId="29839" xr:uid="{550CEE2A-0CED-4BA1-A3BC-44B962B3F87F}"/>
    <cellStyle name="20% - Accent4 3 2 8" xfId="17187" xr:uid="{00000000-0005-0000-0000-0000D2060000}"/>
    <cellStyle name="20% - Accent4 3 2 8 2" xfId="34056" xr:uid="{397A60AB-5E1A-490F-A457-8B9DD57E3104}"/>
    <cellStyle name="20% - Accent4 3 2 9" xfId="8752" xr:uid="{00000000-0005-0000-0000-0000D3060000}"/>
    <cellStyle name="20% - Accent4 3 3" xfId="599" xr:uid="{00000000-0005-0000-0000-0000D4060000}"/>
    <cellStyle name="20% - Accent4 3 3 2" xfId="2870" xr:uid="{00000000-0005-0000-0000-0000D5060000}"/>
    <cellStyle name="20% - Accent4 3 3 2 2" xfId="7093" xr:uid="{00000000-0005-0000-0000-0000D6060000}"/>
    <cellStyle name="20% - Accent4 3 3 2 2 2" xfId="23963" xr:uid="{00000000-0005-0000-0000-0000D7060000}"/>
    <cellStyle name="20% - Accent4 3 3 2 2 2 2" xfId="40831" xr:uid="{B8145F32-A944-4F98-80BE-6E09265A0C0D}"/>
    <cellStyle name="20% - Accent4 3 3 2 2 3" xfId="15528" xr:uid="{00000000-0005-0000-0000-0000D8060000}"/>
    <cellStyle name="20% - Accent4 3 3 2 2 4" xfId="32397" xr:uid="{75E35FF4-E236-4869-B476-29B805B4A072}"/>
    <cellStyle name="20% - Accent4 3 3 2 3" xfId="19745" xr:uid="{00000000-0005-0000-0000-0000D9060000}"/>
    <cellStyle name="20% - Accent4 3 3 2 3 2" xfId="36614" xr:uid="{E456440A-FBE4-4594-A2FD-685BCE90857D}"/>
    <cellStyle name="20% - Accent4 3 3 2 4" xfId="11310" xr:uid="{00000000-0005-0000-0000-0000DA060000}"/>
    <cellStyle name="20% - Accent4 3 3 2 5" xfId="28180" xr:uid="{FDD1DBB5-6E5D-4164-94D9-C497467547FF}"/>
    <cellStyle name="20% - Accent4 3 3 3" xfId="4948" xr:uid="{00000000-0005-0000-0000-0000DB060000}"/>
    <cellStyle name="20% - Accent4 3 3 3 2" xfId="21818" xr:uid="{00000000-0005-0000-0000-0000DC060000}"/>
    <cellStyle name="20% - Accent4 3 3 3 2 2" xfId="38686" xr:uid="{A3BBED93-0F01-4F57-BAF5-0C56A7940CA3}"/>
    <cellStyle name="20% - Accent4 3 3 3 3" xfId="13383" xr:uid="{00000000-0005-0000-0000-0000DD060000}"/>
    <cellStyle name="20% - Accent4 3 3 3 4" xfId="30252" xr:uid="{760BF217-CDD0-4923-9FC8-B00363F28056}"/>
    <cellStyle name="20% - Accent4 3 3 4" xfId="17600" xr:uid="{00000000-0005-0000-0000-0000DE060000}"/>
    <cellStyle name="20% - Accent4 3 3 4 2" xfId="34469" xr:uid="{EE46ED15-AF96-4239-8844-67DEBF0A93E2}"/>
    <cellStyle name="20% - Accent4 3 3 5" xfId="9165" xr:uid="{00000000-0005-0000-0000-0000DF060000}"/>
    <cellStyle name="20% - Accent4 3 3 6" xfId="26035" xr:uid="{CC4EFC59-D11C-4E11-8DDC-45380D47EBAE}"/>
    <cellStyle name="20% - Accent4 3 4" xfId="1052" xr:uid="{00000000-0005-0000-0000-0000E0060000}"/>
    <cellStyle name="20% - Accent4 3 4 2" xfId="3283" xr:uid="{00000000-0005-0000-0000-0000E1060000}"/>
    <cellStyle name="20% - Accent4 3 4 2 2" xfId="7506" xr:uid="{00000000-0005-0000-0000-0000E2060000}"/>
    <cellStyle name="20% - Accent4 3 4 2 2 2" xfId="24376" xr:uid="{00000000-0005-0000-0000-0000E3060000}"/>
    <cellStyle name="20% - Accent4 3 4 2 2 2 2" xfId="41244" xr:uid="{8A5B3C81-6AC6-451F-9895-9A62959F89E9}"/>
    <cellStyle name="20% - Accent4 3 4 2 2 3" xfId="15941" xr:uid="{00000000-0005-0000-0000-0000E4060000}"/>
    <cellStyle name="20% - Accent4 3 4 2 2 4" xfId="32810" xr:uid="{84D7F2F5-7503-4245-B24D-BAE5DB097FA9}"/>
    <cellStyle name="20% - Accent4 3 4 2 3" xfId="20158" xr:uid="{00000000-0005-0000-0000-0000E5060000}"/>
    <cellStyle name="20% - Accent4 3 4 2 3 2" xfId="37027" xr:uid="{4FDFAE75-A58C-482C-A3B6-94CBEE5C6F01}"/>
    <cellStyle name="20% - Accent4 3 4 2 4" xfId="11723" xr:uid="{00000000-0005-0000-0000-0000E6060000}"/>
    <cellStyle name="20% - Accent4 3 4 2 5" xfId="28593" xr:uid="{8CBB6335-ACBA-4854-BFED-A4EA8358F373}"/>
    <cellStyle name="20% - Accent4 3 4 3" xfId="5361" xr:uid="{00000000-0005-0000-0000-0000E7060000}"/>
    <cellStyle name="20% - Accent4 3 4 3 2" xfId="22231" xr:uid="{00000000-0005-0000-0000-0000E8060000}"/>
    <cellStyle name="20% - Accent4 3 4 3 2 2" xfId="39099" xr:uid="{813FE798-EB29-47D1-BCDB-57C8FA6A91D3}"/>
    <cellStyle name="20% - Accent4 3 4 3 3" xfId="13796" xr:uid="{00000000-0005-0000-0000-0000E9060000}"/>
    <cellStyle name="20% - Accent4 3 4 3 4" xfId="30665" xr:uid="{47F0AC2C-ED91-464D-A93C-003939B7C9EE}"/>
    <cellStyle name="20% - Accent4 3 4 4" xfId="18013" xr:uid="{00000000-0005-0000-0000-0000EA060000}"/>
    <cellStyle name="20% - Accent4 3 4 4 2" xfId="34882" xr:uid="{646F7545-84CB-4AA1-B1CE-B08E76B16850}"/>
    <cellStyle name="20% - Accent4 3 4 5" xfId="9578" xr:uid="{00000000-0005-0000-0000-0000EB060000}"/>
    <cellStyle name="20% - Accent4 3 4 6" xfId="26448" xr:uid="{A3742A34-3C41-4A86-B59E-0861370A8D16}"/>
    <cellStyle name="20% - Accent4 3 5" xfId="1466" xr:uid="{00000000-0005-0000-0000-0000EC060000}"/>
    <cellStyle name="20% - Accent4 3 5 2" xfId="3696" xr:uid="{00000000-0005-0000-0000-0000ED060000}"/>
    <cellStyle name="20% - Accent4 3 5 2 2" xfId="7919" xr:uid="{00000000-0005-0000-0000-0000EE060000}"/>
    <cellStyle name="20% - Accent4 3 5 2 2 2" xfId="24789" xr:uid="{00000000-0005-0000-0000-0000EF060000}"/>
    <cellStyle name="20% - Accent4 3 5 2 2 2 2" xfId="41657" xr:uid="{E3F5D429-A459-470F-B81D-E3CD884E06D5}"/>
    <cellStyle name="20% - Accent4 3 5 2 2 3" xfId="16354" xr:uid="{00000000-0005-0000-0000-0000F0060000}"/>
    <cellStyle name="20% - Accent4 3 5 2 2 4" xfId="33223" xr:uid="{292D396A-7A8F-47C6-A585-CE449241A20B}"/>
    <cellStyle name="20% - Accent4 3 5 2 3" xfId="20571" xr:uid="{00000000-0005-0000-0000-0000F1060000}"/>
    <cellStyle name="20% - Accent4 3 5 2 3 2" xfId="37440" xr:uid="{4419F1B8-D10B-43E7-B8EE-522FD470E134}"/>
    <cellStyle name="20% - Accent4 3 5 2 4" xfId="12136" xr:uid="{00000000-0005-0000-0000-0000F2060000}"/>
    <cellStyle name="20% - Accent4 3 5 2 5" xfId="29006" xr:uid="{21F0A104-3230-44CF-B484-B1761B9D35BC}"/>
    <cellStyle name="20% - Accent4 3 5 3" xfId="5774" xr:uid="{00000000-0005-0000-0000-0000F3060000}"/>
    <cellStyle name="20% - Accent4 3 5 3 2" xfId="22644" xr:uid="{00000000-0005-0000-0000-0000F4060000}"/>
    <cellStyle name="20% - Accent4 3 5 3 2 2" xfId="39512" xr:uid="{CDB79EB3-4CC2-4348-B2DF-6223638DDB47}"/>
    <cellStyle name="20% - Accent4 3 5 3 3" xfId="14209" xr:uid="{00000000-0005-0000-0000-0000F5060000}"/>
    <cellStyle name="20% - Accent4 3 5 3 4" xfId="31078" xr:uid="{4C92677F-8BB9-4BDF-8524-4259A580DE62}"/>
    <cellStyle name="20% - Accent4 3 5 4" xfId="18426" xr:uid="{00000000-0005-0000-0000-0000F6060000}"/>
    <cellStyle name="20% - Accent4 3 5 4 2" xfId="35295" xr:uid="{B334033A-4973-4215-A2F2-A380B7164451}"/>
    <cellStyle name="20% - Accent4 3 5 5" xfId="9991" xr:uid="{00000000-0005-0000-0000-0000F7060000}"/>
    <cellStyle name="20% - Accent4 3 5 6" xfId="26861" xr:uid="{97363BA6-63F3-420C-94ED-C6A900DDAB4F}"/>
    <cellStyle name="20% - Accent4 3 6" xfId="1880" xr:uid="{00000000-0005-0000-0000-0000F8060000}"/>
    <cellStyle name="20% - Accent4 3 6 2" xfId="4109" xr:uid="{00000000-0005-0000-0000-0000F9060000}"/>
    <cellStyle name="20% - Accent4 3 6 2 2" xfId="8332" xr:uid="{00000000-0005-0000-0000-0000FA060000}"/>
    <cellStyle name="20% - Accent4 3 6 2 2 2" xfId="25202" xr:uid="{00000000-0005-0000-0000-0000FB060000}"/>
    <cellStyle name="20% - Accent4 3 6 2 2 2 2" xfId="42070" xr:uid="{772CC793-0A5F-4B69-BFD5-2269D10DB139}"/>
    <cellStyle name="20% - Accent4 3 6 2 2 3" xfId="16767" xr:uid="{00000000-0005-0000-0000-0000FC060000}"/>
    <cellStyle name="20% - Accent4 3 6 2 2 4" xfId="33636" xr:uid="{E27A4071-2ACF-48FC-A7C4-AB423F74D34D}"/>
    <cellStyle name="20% - Accent4 3 6 2 3" xfId="20984" xr:uid="{00000000-0005-0000-0000-0000FD060000}"/>
    <cellStyle name="20% - Accent4 3 6 2 3 2" xfId="37853" xr:uid="{2CF67D20-2861-456D-9BF5-C42AB6D77A2C}"/>
    <cellStyle name="20% - Accent4 3 6 2 4" xfId="12549" xr:uid="{00000000-0005-0000-0000-0000FE060000}"/>
    <cellStyle name="20% - Accent4 3 6 2 5" xfId="29419" xr:uid="{F6EF7A4A-0A33-4315-B186-F162777951E7}"/>
    <cellStyle name="20% - Accent4 3 6 3" xfId="6187" xr:uid="{00000000-0005-0000-0000-0000FF060000}"/>
    <cellStyle name="20% - Accent4 3 6 3 2" xfId="23057" xr:uid="{00000000-0005-0000-0000-000000070000}"/>
    <cellStyle name="20% - Accent4 3 6 3 2 2" xfId="39925" xr:uid="{AF7A0275-1D7F-4A6C-B035-62BC2FC56BC4}"/>
    <cellStyle name="20% - Accent4 3 6 3 3" xfId="14622" xr:uid="{00000000-0005-0000-0000-000001070000}"/>
    <cellStyle name="20% - Accent4 3 6 3 4" xfId="31491" xr:uid="{C4058904-EA02-4644-AA3A-5588DEE82DE6}"/>
    <cellStyle name="20% - Accent4 3 6 4" xfId="18839" xr:uid="{00000000-0005-0000-0000-000002070000}"/>
    <cellStyle name="20% - Accent4 3 6 4 2" xfId="35708" xr:uid="{D25BFA83-CCBD-4EF4-8D4D-27807E642815}"/>
    <cellStyle name="20% - Accent4 3 6 5" xfId="10404" xr:uid="{00000000-0005-0000-0000-000003070000}"/>
    <cellStyle name="20% - Accent4 3 6 6" xfId="27274" xr:uid="{35181BEC-F468-47D0-AD17-216268F689CD}"/>
    <cellStyle name="20% - Accent4 3 7" xfId="2293" xr:uid="{00000000-0005-0000-0000-000004070000}"/>
    <cellStyle name="20% - Accent4 3 7 2" xfId="6600" xr:uid="{00000000-0005-0000-0000-000005070000}"/>
    <cellStyle name="20% - Accent4 3 7 2 2" xfId="23470" xr:uid="{00000000-0005-0000-0000-000006070000}"/>
    <cellStyle name="20% - Accent4 3 7 2 2 2" xfId="40338" xr:uid="{1B9031C5-8573-4B33-B9ED-849E2D0FC2C9}"/>
    <cellStyle name="20% - Accent4 3 7 2 3" xfId="15035" xr:uid="{00000000-0005-0000-0000-000007070000}"/>
    <cellStyle name="20% - Accent4 3 7 2 4" xfId="31904" xr:uid="{3FA637B7-B41B-438F-90EC-4BB6AA6E5E0A}"/>
    <cellStyle name="20% - Accent4 3 7 3" xfId="19252" xr:uid="{00000000-0005-0000-0000-000008070000}"/>
    <cellStyle name="20% - Accent4 3 7 3 2" xfId="36121" xr:uid="{75DC250D-8B54-458E-8518-DB3A14DD6BDF}"/>
    <cellStyle name="20% - Accent4 3 7 4" xfId="10817" xr:uid="{00000000-0005-0000-0000-000009070000}"/>
    <cellStyle name="20% - Accent4 3 7 5" xfId="27687" xr:uid="{E8BE58FB-181D-4035-A972-D5F8D449FDA9}"/>
    <cellStyle name="20% - Accent4 3 8" xfId="4534" xr:uid="{00000000-0005-0000-0000-00000A070000}"/>
    <cellStyle name="20% - Accent4 3 8 2" xfId="21404" xr:uid="{00000000-0005-0000-0000-00000B070000}"/>
    <cellStyle name="20% - Accent4 3 8 2 2" xfId="38272" xr:uid="{F9192DD7-1371-48F6-9CA9-D2EF398F319C}"/>
    <cellStyle name="20% - Accent4 3 8 3" xfId="12969" xr:uid="{00000000-0005-0000-0000-00000C070000}"/>
    <cellStyle name="20% - Accent4 3 8 4" xfId="29838" xr:uid="{EE48FACD-7480-46D9-887F-5DA7DEB51008}"/>
    <cellStyle name="20% - Accent4 3 9" xfId="17186" xr:uid="{00000000-0005-0000-0000-00000D070000}"/>
    <cellStyle name="20% - Accent4 3 9 2" xfId="34055" xr:uid="{B0268F61-EB3E-43FF-985E-4524B1994559}"/>
    <cellStyle name="20% - Accent4 4" xfId="32" xr:uid="{00000000-0005-0000-0000-00000E070000}"/>
    <cellStyle name="20% - Accent4 4 10" xfId="25623" xr:uid="{35D7C332-E0BB-412A-A591-E1756C4D4AB4}"/>
    <cellStyle name="20% - Accent4 4 2" xfId="601" xr:uid="{00000000-0005-0000-0000-00000F070000}"/>
    <cellStyle name="20% - Accent4 4 2 2" xfId="2872" xr:uid="{00000000-0005-0000-0000-000010070000}"/>
    <cellStyle name="20% - Accent4 4 2 2 2" xfId="7095" xr:uid="{00000000-0005-0000-0000-000011070000}"/>
    <cellStyle name="20% - Accent4 4 2 2 2 2" xfId="23965" xr:uid="{00000000-0005-0000-0000-000012070000}"/>
    <cellStyle name="20% - Accent4 4 2 2 2 2 2" xfId="40833" xr:uid="{7818F1D5-9B38-4D64-8B60-6B49E58AABAF}"/>
    <cellStyle name="20% - Accent4 4 2 2 2 3" xfId="15530" xr:uid="{00000000-0005-0000-0000-000013070000}"/>
    <cellStyle name="20% - Accent4 4 2 2 2 4" xfId="32399" xr:uid="{CF7F2C89-8E92-447C-9BB8-4EE6CCAE0229}"/>
    <cellStyle name="20% - Accent4 4 2 2 3" xfId="19747" xr:uid="{00000000-0005-0000-0000-000014070000}"/>
    <cellStyle name="20% - Accent4 4 2 2 3 2" xfId="36616" xr:uid="{3579443E-6F47-4748-8629-D10E0B7E88B3}"/>
    <cellStyle name="20% - Accent4 4 2 2 4" xfId="11312" xr:uid="{00000000-0005-0000-0000-000015070000}"/>
    <cellStyle name="20% - Accent4 4 2 2 5" xfId="28182" xr:uid="{CF621DD6-0F95-4501-A788-4BAB5E254801}"/>
    <cellStyle name="20% - Accent4 4 2 3" xfId="4950" xr:uid="{00000000-0005-0000-0000-000016070000}"/>
    <cellStyle name="20% - Accent4 4 2 3 2" xfId="21820" xr:uid="{00000000-0005-0000-0000-000017070000}"/>
    <cellStyle name="20% - Accent4 4 2 3 2 2" xfId="38688" xr:uid="{A5766309-7DB4-44E3-A6B5-D49B390CEE45}"/>
    <cellStyle name="20% - Accent4 4 2 3 3" xfId="13385" xr:uid="{00000000-0005-0000-0000-000018070000}"/>
    <cellStyle name="20% - Accent4 4 2 3 4" xfId="30254" xr:uid="{5837BF79-AA0E-4F27-AA35-712C240311CB}"/>
    <cellStyle name="20% - Accent4 4 2 4" xfId="17602" xr:uid="{00000000-0005-0000-0000-000019070000}"/>
    <cellStyle name="20% - Accent4 4 2 4 2" xfId="34471" xr:uid="{56923B2E-8D5F-4171-9E91-3C385FA081AD}"/>
    <cellStyle name="20% - Accent4 4 2 5" xfId="9167" xr:uid="{00000000-0005-0000-0000-00001A070000}"/>
    <cellStyle name="20% - Accent4 4 2 6" xfId="26037" xr:uid="{4B23FAC9-B11E-4193-88E9-EF485ED836F5}"/>
    <cellStyle name="20% - Accent4 4 3" xfId="1054" xr:uid="{00000000-0005-0000-0000-00001B070000}"/>
    <cellStyle name="20% - Accent4 4 3 2" xfId="3285" xr:uid="{00000000-0005-0000-0000-00001C070000}"/>
    <cellStyle name="20% - Accent4 4 3 2 2" xfId="7508" xr:uid="{00000000-0005-0000-0000-00001D070000}"/>
    <cellStyle name="20% - Accent4 4 3 2 2 2" xfId="24378" xr:uid="{00000000-0005-0000-0000-00001E070000}"/>
    <cellStyle name="20% - Accent4 4 3 2 2 2 2" xfId="41246" xr:uid="{FA3355BB-AC1F-40E0-8E83-7D4B79E66BD9}"/>
    <cellStyle name="20% - Accent4 4 3 2 2 3" xfId="15943" xr:uid="{00000000-0005-0000-0000-00001F070000}"/>
    <cellStyle name="20% - Accent4 4 3 2 2 4" xfId="32812" xr:uid="{35384F6C-101F-44BA-9B2C-3E9A1ADC9489}"/>
    <cellStyle name="20% - Accent4 4 3 2 3" xfId="20160" xr:uid="{00000000-0005-0000-0000-000020070000}"/>
    <cellStyle name="20% - Accent4 4 3 2 3 2" xfId="37029" xr:uid="{6FE60B5A-FAC1-409D-92B9-C12B1E0928D7}"/>
    <cellStyle name="20% - Accent4 4 3 2 4" xfId="11725" xr:uid="{00000000-0005-0000-0000-000021070000}"/>
    <cellStyle name="20% - Accent4 4 3 2 5" xfId="28595" xr:uid="{45FAA592-919E-46D2-A178-1B4D94447D90}"/>
    <cellStyle name="20% - Accent4 4 3 3" xfId="5363" xr:uid="{00000000-0005-0000-0000-000022070000}"/>
    <cellStyle name="20% - Accent4 4 3 3 2" xfId="22233" xr:uid="{00000000-0005-0000-0000-000023070000}"/>
    <cellStyle name="20% - Accent4 4 3 3 2 2" xfId="39101" xr:uid="{DC1B3BF7-B0DE-4897-9A9C-6F0A26E2A830}"/>
    <cellStyle name="20% - Accent4 4 3 3 3" xfId="13798" xr:uid="{00000000-0005-0000-0000-000024070000}"/>
    <cellStyle name="20% - Accent4 4 3 3 4" xfId="30667" xr:uid="{16B1F249-8A01-421A-B192-E3A6E01ECEBC}"/>
    <cellStyle name="20% - Accent4 4 3 4" xfId="18015" xr:uid="{00000000-0005-0000-0000-000025070000}"/>
    <cellStyle name="20% - Accent4 4 3 4 2" xfId="34884" xr:uid="{96AD0B19-FC19-4AD8-A957-B75E90999C10}"/>
    <cellStyle name="20% - Accent4 4 3 5" xfId="9580" xr:uid="{00000000-0005-0000-0000-000026070000}"/>
    <cellStyle name="20% - Accent4 4 3 6" xfId="26450" xr:uid="{9329193F-318D-484F-B122-ABEC5C350AEB}"/>
    <cellStyle name="20% - Accent4 4 4" xfId="1468" xr:uid="{00000000-0005-0000-0000-000027070000}"/>
    <cellStyle name="20% - Accent4 4 4 2" xfId="3698" xr:uid="{00000000-0005-0000-0000-000028070000}"/>
    <cellStyle name="20% - Accent4 4 4 2 2" xfId="7921" xr:uid="{00000000-0005-0000-0000-000029070000}"/>
    <cellStyle name="20% - Accent4 4 4 2 2 2" xfId="24791" xr:uid="{00000000-0005-0000-0000-00002A070000}"/>
    <cellStyle name="20% - Accent4 4 4 2 2 2 2" xfId="41659" xr:uid="{6E486A2A-EAF4-4E90-993D-588AAF520B35}"/>
    <cellStyle name="20% - Accent4 4 4 2 2 3" xfId="16356" xr:uid="{00000000-0005-0000-0000-00002B070000}"/>
    <cellStyle name="20% - Accent4 4 4 2 2 4" xfId="33225" xr:uid="{9F1CAF35-2828-45E8-9C2D-CDBC8FB4B261}"/>
    <cellStyle name="20% - Accent4 4 4 2 3" xfId="20573" xr:uid="{00000000-0005-0000-0000-00002C070000}"/>
    <cellStyle name="20% - Accent4 4 4 2 3 2" xfId="37442" xr:uid="{6CFC4935-038D-4523-BBE0-B13289A04C4D}"/>
    <cellStyle name="20% - Accent4 4 4 2 4" xfId="12138" xr:uid="{00000000-0005-0000-0000-00002D070000}"/>
    <cellStyle name="20% - Accent4 4 4 2 5" xfId="29008" xr:uid="{AAF784AA-235D-4D1B-A23C-E67DCA880D96}"/>
    <cellStyle name="20% - Accent4 4 4 3" xfId="5776" xr:uid="{00000000-0005-0000-0000-00002E070000}"/>
    <cellStyle name="20% - Accent4 4 4 3 2" xfId="22646" xr:uid="{00000000-0005-0000-0000-00002F070000}"/>
    <cellStyle name="20% - Accent4 4 4 3 2 2" xfId="39514" xr:uid="{93B1F298-AAFB-4317-A734-0F2B31451607}"/>
    <cellStyle name="20% - Accent4 4 4 3 3" xfId="14211" xr:uid="{00000000-0005-0000-0000-000030070000}"/>
    <cellStyle name="20% - Accent4 4 4 3 4" xfId="31080" xr:uid="{20F923BA-D0D9-4F64-8EC3-639B71287109}"/>
    <cellStyle name="20% - Accent4 4 4 4" xfId="18428" xr:uid="{00000000-0005-0000-0000-000031070000}"/>
    <cellStyle name="20% - Accent4 4 4 4 2" xfId="35297" xr:uid="{7D6E05C6-6399-4F59-BFD5-C1A1E75EE604}"/>
    <cellStyle name="20% - Accent4 4 4 5" xfId="9993" xr:uid="{00000000-0005-0000-0000-000032070000}"/>
    <cellStyle name="20% - Accent4 4 4 6" xfId="26863" xr:uid="{8A342A6B-66FC-4901-B8A4-254D76A99B61}"/>
    <cellStyle name="20% - Accent4 4 5" xfId="1882" xr:uid="{00000000-0005-0000-0000-000033070000}"/>
    <cellStyle name="20% - Accent4 4 5 2" xfId="4111" xr:uid="{00000000-0005-0000-0000-000034070000}"/>
    <cellStyle name="20% - Accent4 4 5 2 2" xfId="8334" xr:uid="{00000000-0005-0000-0000-000035070000}"/>
    <cellStyle name="20% - Accent4 4 5 2 2 2" xfId="25204" xr:uid="{00000000-0005-0000-0000-000036070000}"/>
    <cellStyle name="20% - Accent4 4 5 2 2 2 2" xfId="42072" xr:uid="{178A2A75-FBB6-48AB-BB54-96CB02F33172}"/>
    <cellStyle name="20% - Accent4 4 5 2 2 3" xfId="16769" xr:uid="{00000000-0005-0000-0000-000037070000}"/>
    <cellStyle name="20% - Accent4 4 5 2 2 4" xfId="33638" xr:uid="{141B87D3-DFAB-4F03-8895-BDFE33A39DB2}"/>
    <cellStyle name="20% - Accent4 4 5 2 3" xfId="20986" xr:uid="{00000000-0005-0000-0000-000038070000}"/>
    <cellStyle name="20% - Accent4 4 5 2 3 2" xfId="37855" xr:uid="{C8C805A7-AC9B-4822-9B5D-E2047DF550CD}"/>
    <cellStyle name="20% - Accent4 4 5 2 4" xfId="12551" xr:uid="{00000000-0005-0000-0000-000039070000}"/>
    <cellStyle name="20% - Accent4 4 5 2 5" xfId="29421" xr:uid="{2C31F114-9461-4AB6-81BD-480340DBB59A}"/>
    <cellStyle name="20% - Accent4 4 5 3" xfId="6189" xr:uid="{00000000-0005-0000-0000-00003A070000}"/>
    <cellStyle name="20% - Accent4 4 5 3 2" xfId="23059" xr:uid="{00000000-0005-0000-0000-00003B070000}"/>
    <cellStyle name="20% - Accent4 4 5 3 2 2" xfId="39927" xr:uid="{9DE33A32-11C4-48E4-A05E-A027A63D0AEE}"/>
    <cellStyle name="20% - Accent4 4 5 3 3" xfId="14624" xr:uid="{00000000-0005-0000-0000-00003C070000}"/>
    <cellStyle name="20% - Accent4 4 5 3 4" xfId="31493" xr:uid="{94DDAD9C-21C7-43E2-9E15-3993688E62FE}"/>
    <cellStyle name="20% - Accent4 4 5 4" xfId="18841" xr:uid="{00000000-0005-0000-0000-00003D070000}"/>
    <cellStyle name="20% - Accent4 4 5 4 2" xfId="35710" xr:uid="{DDCFD66F-74D4-4A8F-9C09-0F0316516801}"/>
    <cellStyle name="20% - Accent4 4 5 5" xfId="10406" xr:uid="{00000000-0005-0000-0000-00003E070000}"/>
    <cellStyle name="20% - Accent4 4 5 6" xfId="27276" xr:uid="{34B13DE8-4590-4016-9EC7-EF6E669D4EFF}"/>
    <cellStyle name="20% - Accent4 4 6" xfId="2295" xr:uid="{00000000-0005-0000-0000-00003F070000}"/>
    <cellStyle name="20% - Accent4 4 6 2" xfId="6602" xr:uid="{00000000-0005-0000-0000-000040070000}"/>
    <cellStyle name="20% - Accent4 4 6 2 2" xfId="23472" xr:uid="{00000000-0005-0000-0000-000041070000}"/>
    <cellStyle name="20% - Accent4 4 6 2 2 2" xfId="40340" xr:uid="{FF1C77B9-A19E-4875-ABF4-2E2F25D12DD9}"/>
    <cellStyle name="20% - Accent4 4 6 2 3" xfId="15037" xr:uid="{00000000-0005-0000-0000-000042070000}"/>
    <cellStyle name="20% - Accent4 4 6 2 4" xfId="31906" xr:uid="{F71A5A4F-4420-422C-8846-559DB6179A34}"/>
    <cellStyle name="20% - Accent4 4 6 3" xfId="19254" xr:uid="{00000000-0005-0000-0000-000043070000}"/>
    <cellStyle name="20% - Accent4 4 6 3 2" xfId="36123" xr:uid="{1B63DEC4-4E7F-404D-82F4-6B671F48A40B}"/>
    <cellStyle name="20% - Accent4 4 6 4" xfId="10819" xr:uid="{00000000-0005-0000-0000-000044070000}"/>
    <cellStyle name="20% - Accent4 4 6 5" xfId="27689" xr:uid="{657D6E25-8543-4BFA-A2CA-431ABF4DBBEF}"/>
    <cellStyle name="20% - Accent4 4 7" xfId="4536" xr:uid="{00000000-0005-0000-0000-000045070000}"/>
    <cellStyle name="20% - Accent4 4 7 2" xfId="21406" xr:uid="{00000000-0005-0000-0000-000046070000}"/>
    <cellStyle name="20% - Accent4 4 7 2 2" xfId="38274" xr:uid="{BE6D952D-C47D-46AE-9ED6-76A95BC3D569}"/>
    <cellStyle name="20% - Accent4 4 7 3" xfId="12971" xr:uid="{00000000-0005-0000-0000-000047070000}"/>
    <cellStyle name="20% - Accent4 4 7 4" xfId="29840" xr:uid="{5874EA53-43DE-4AAE-84BB-F47D103DC1D6}"/>
    <cellStyle name="20% - Accent4 4 8" xfId="17188" xr:uid="{00000000-0005-0000-0000-000048070000}"/>
    <cellStyle name="20% - Accent4 4 8 2" xfId="34057" xr:uid="{8E614498-B665-46FD-9FBB-038476FBFA24}"/>
    <cellStyle name="20% - Accent4 4 9" xfId="8753" xr:uid="{00000000-0005-0000-0000-000049070000}"/>
    <cellStyle name="20% - Accent4 5" xfId="594" xr:uid="{00000000-0005-0000-0000-00004A070000}"/>
    <cellStyle name="20% - Accent4 5 2" xfId="2865" xr:uid="{00000000-0005-0000-0000-00004B070000}"/>
    <cellStyle name="20% - Accent4 5 2 2" xfId="7088" xr:uid="{00000000-0005-0000-0000-00004C070000}"/>
    <cellStyle name="20% - Accent4 5 2 2 2" xfId="23958" xr:uid="{00000000-0005-0000-0000-00004D070000}"/>
    <cellStyle name="20% - Accent4 5 2 2 2 2" xfId="40826" xr:uid="{E94BCDE8-56CB-4428-BC21-BE9CACB3213F}"/>
    <cellStyle name="20% - Accent4 5 2 2 3" xfId="15523" xr:uid="{00000000-0005-0000-0000-00004E070000}"/>
    <cellStyle name="20% - Accent4 5 2 2 4" xfId="32392" xr:uid="{61E98785-B828-496A-979B-2A3CDBD14CE0}"/>
    <cellStyle name="20% - Accent4 5 2 3" xfId="19740" xr:uid="{00000000-0005-0000-0000-00004F070000}"/>
    <cellStyle name="20% - Accent4 5 2 3 2" xfId="36609" xr:uid="{2717CB7E-DB5B-492C-8EF2-BDE57E108D8A}"/>
    <cellStyle name="20% - Accent4 5 2 4" xfId="11305" xr:uid="{00000000-0005-0000-0000-000050070000}"/>
    <cellStyle name="20% - Accent4 5 2 5" xfId="28175" xr:uid="{EA5507C0-5D6D-4FF4-8FAC-119DCF944E67}"/>
    <cellStyle name="20% - Accent4 5 3" xfId="4943" xr:uid="{00000000-0005-0000-0000-000051070000}"/>
    <cellStyle name="20% - Accent4 5 3 2" xfId="21813" xr:uid="{00000000-0005-0000-0000-000052070000}"/>
    <cellStyle name="20% - Accent4 5 3 2 2" xfId="38681" xr:uid="{16C54894-64BB-46B5-B75D-132195BCA1C8}"/>
    <cellStyle name="20% - Accent4 5 3 3" xfId="13378" xr:uid="{00000000-0005-0000-0000-000053070000}"/>
    <cellStyle name="20% - Accent4 5 3 4" xfId="30247" xr:uid="{DBC45163-ACD1-4506-8FE9-120FBABE2BD4}"/>
    <cellStyle name="20% - Accent4 5 4" xfId="17595" xr:uid="{00000000-0005-0000-0000-000054070000}"/>
    <cellStyle name="20% - Accent4 5 4 2" xfId="34464" xr:uid="{4CA0C76C-1FC6-426D-8A97-344CB2DCD743}"/>
    <cellStyle name="20% - Accent4 5 5" xfId="9160" xr:uid="{00000000-0005-0000-0000-000055070000}"/>
    <cellStyle name="20% - Accent4 5 6" xfId="26030" xr:uid="{92B78922-DE3A-49EB-BDF1-CE8B404F997C}"/>
    <cellStyle name="20% - Accent4 6" xfId="1047" xr:uid="{00000000-0005-0000-0000-000056070000}"/>
    <cellStyle name="20% - Accent4 6 2" xfId="3278" xr:uid="{00000000-0005-0000-0000-000057070000}"/>
    <cellStyle name="20% - Accent4 6 2 2" xfId="7501" xr:uid="{00000000-0005-0000-0000-000058070000}"/>
    <cellStyle name="20% - Accent4 6 2 2 2" xfId="24371" xr:uid="{00000000-0005-0000-0000-000059070000}"/>
    <cellStyle name="20% - Accent4 6 2 2 2 2" xfId="41239" xr:uid="{060D897C-3BE4-4BDF-B223-CC86CDBCE9B9}"/>
    <cellStyle name="20% - Accent4 6 2 2 3" xfId="15936" xr:uid="{00000000-0005-0000-0000-00005A070000}"/>
    <cellStyle name="20% - Accent4 6 2 2 4" xfId="32805" xr:uid="{B7CF5396-1EC7-48CA-B06B-51D21968A4C3}"/>
    <cellStyle name="20% - Accent4 6 2 3" xfId="20153" xr:uid="{00000000-0005-0000-0000-00005B070000}"/>
    <cellStyle name="20% - Accent4 6 2 3 2" xfId="37022" xr:uid="{50229B1A-FE48-4A78-BE66-79AF8060D34D}"/>
    <cellStyle name="20% - Accent4 6 2 4" xfId="11718" xr:uid="{00000000-0005-0000-0000-00005C070000}"/>
    <cellStyle name="20% - Accent4 6 2 5" xfId="28588" xr:uid="{6B9BA2E6-94F9-4A0B-9008-7E8FEB64C5D5}"/>
    <cellStyle name="20% - Accent4 6 3" xfId="5356" xr:uid="{00000000-0005-0000-0000-00005D070000}"/>
    <cellStyle name="20% - Accent4 6 3 2" xfId="22226" xr:uid="{00000000-0005-0000-0000-00005E070000}"/>
    <cellStyle name="20% - Accent4 6 3 2 2" xfId="39094" xr:uid="{A1ADB4AB-3F0E-4CC0-B45F-7302F507FCDE}"/>
    <cellStyle name="20% - Accent4 6 3 3" xfId="13791" xr:uid="{00000000-0005-0000-0000-00005F070000}"/>
    <cellStyle name="20% - Accent4 6 3 4" xfId="30660" xr:uid="{BB54A196-F830-418B-96FE-77B95ACF0A3E}"/>
    <cellStyle name="20% - Accent4 6 4" xfId="18008" xr:uid="{00000000-0005-0000-0000-000060070000}"/>
    <cellStyle name="20% - Accent4 6 4 2" xfId="34877" xr:uid="{BFB7D0BC-BA6F-4CC5-8AAE-AFD8A32D3AE7}"/>
    <cellStyle name="20% - Accent4 6 5" xfId="9573" xr:uid="{00000000-0005-0000-0000-000061070000}"/>
    <cellStyle name="20% - Accent4 6 6" xfId="26443" xr:uid="{B0FF1FB1-C31A-4CCF-8631-8BDDF7949BBD}"/>
    <cellStyle name="20% - Accent4 7" xfId="1461" xr:uid="{00000000-0005-0000-0000-000062070000}"/>
    <cellStyle name="20% - Accent4 7 2" xfId="3691" xr:uid="{00000000-0005-0000-0000-000063070000}"/>
    <cellStyle name="20% - Accent4 7 2 2" xfId="7914" xr:uid="{00000000-0005-0000-0000-000064070000}"/>
    <cellStyle name="20% - Accent4 7 2 2 2" xfId="24784" xr:uid="{00000000-0005-0000-0000-000065070000}"/>
    <cellStyle name="20% - Accent4 7 2 2 2 2" xfId="41652" xr:uid="{E883D460-F90E-4DE3-8DE2-43AAD9D78518}"/>
    <cellStyle name="20% - Accent4 7 2 2 3" xfId="16349" xr:uid="{00000000-0005-0000-0000-000066070000}"/>
    <cellStyle name="20% - Accent4 7 2 2 4" xfId="33218" xr:uid="{A0ABCFF1-8854-49D2-A11A-836C30579B5F}"/>
    <cellStyle name="20% - Accent4 7 2 3" xfId="20566" xr:uid="{00000000-0005-0000-0000-000067070000}"/>
    <cellStyle name="20% - Accent4 7 2 3 2" xfId="37435" xr:uid="{5806493B-C622-4615-AFED-0E8786B58FC2}"/>
    <cellStyle name="20% - Accent4 7 2 4" xfId="12131" xr:uid="{00000000-0005-0000-0000-000068070000}"/>
    <cellStyle name="20% - Accent4 7 2 5" xfId="29001" xr:uid="{83772B5B-C573-45CD-937D-6DF52FDC3E76}"/>
    <cellStyle name="20% - Accent4 7 3" xfId="5769" xr:uid="{00000000-0005-0000-0000-000069070000}"/>
    <cellStyle name="20% - Accent4 7 3 2" xfId="22639" xr:uid="{00000000-0005-0000-0000-00006A070000}"/>
    <cellStyle name="20% - Accent4 7 3 2 2" xfId="39507" xr:uid="{A290DC1F-2C00-4A4F-B330-95B2A97F2EEB}"/>
    <cellStyle name="20% - Accent4 7 3 3" xfId="14204" xr:uid="{00000000-0005-0000-0000-00006B070000}"/>
    <cellStyle name="20% - Accent4 7 3 4" xfId="31073" xr:uid="{585C28E8-4C42-4252-86A1-4C13DAB1370C}"/>
    <cellStyle name="20% - Accent4 7 4" xfId="18421" xr:uid="{00000000-0005-0000-0000-00006C070000}"/>
    <cellStyle name="20% - Accent4 7 4 2" xfId="35290" xr:uid="{54055EE1-6D23-4A72-921C-F91117816459}"/>
    <cellStyle name="20% - Accent4 7 5" xfId="9986" xr:uid="{00000000-0005-0000-0000-00006D070000}"/>
    <cellStyle name="20% - Accent4 7 6" xfId="26856" xr:uid="{C31956DE-D359-4DCD-9666-D5F539177D01}"/>
    <cellStyle name="20% - Accent4 8" xfId="1875" xr:uid="{00000000-0005-0000-0000-00006E070000}"/>
    <cellStyle name="20% - Accent4 8 2" xfId="4104" xr:uid="{00000000-0005-0000-0000-00006F070000}"/>
    <cellStyle name="20% - Accent4 8 2 2" xfId="8327" xr:uid="{00000000-0005-0000-0000-000070070000}"/>
    <cellStyle name="20% - Accent4 8 2 2 2" xfId="25197" xr:uid="{00000000-0005-0000-0000-000071070000}"/>
    <cellStyle name="20% - Accent4 8 2 2 2 2" xfId="42065" xr:uid="{0836E888-4D71-4864-A827-6724C3389A44}"/>
    <cellStyle name="20% - Accent4 8 2 2 3" xfId="16762" xr:uid="{00000000-0005-0000-0000-000072070000}"/>
    <cellStyle name="20% - Accent4 8 2 2 4" xfId="33631" xr:uid="{41D46AB9-9371-45D6-B503-D95EE762554E}"/>
    <cellStyle name="20% - Accent4 8 2 3" xfId="20979" xr:uid="{00000000-0005-0000-0000-000073070000}"/>
    <cellStyle name="20% - Accent4 8 2 3 2" xfId="37848" xr:uid="{B7F8BEBC-E49C-4152-810E-64533DEC4FD2}"/>
    <cellStyle name="20% - Accent4 8 2 4" xfId="12544" xr:uid="{00000000-0005-0000-0000-000074070000}"/>
    <cellStyle name="20% - Accent4 8 2 5" xfId="29414" xr:uid="{6D79B2A0-38AC-4634-A605-66BC8ABA5125}"/>
    <cellStyle name="20% - Accent4 8 3" xfId="6182" xr:uid="{00000000-0005-0000-0000-000075070000}"/>
    <cellStyle name="20% - Accent4 8 3 2" xfId="23052" xr:uid="{00000000-0005-0000-0000-000076070000}"/>
    <cellStyle name="20% - Accent4 8 3 2 2" xfId="39920" xr:uid="{C06EF072-D3EE-48D2-99A0-C8ACB5007DFD}"/>
    <cellStyle name="20% - Accent4 8 3 3" xfId="14617" xr:uid="{00000000-0005-0000-0000-000077070000}"/>
    <cellStyle name="20% - Accent4 8 3 4" xfId="31486" xr:uid="{BD848ACA-1F2D-42A0-82ED-1BF0494467CE}"/>
    <cellStyle name="20% - Accent4 8 4" xfId="18834" xr:uid="{00000000-0005-0000-0000-000078070000}"/>
    <cellStyle name="20% - Accent4 8 4 2" xfId="35703" xr:uid="{4E211BD0-F577-44FB-A45D-68A6A8700C14}"/>
    <cellStyle name="20% - Accent4 8 5" xfId="10399" xr:uid="{00000000-0005-0000-0000-000079070000}"/>
    <cellStyle name="20% - Accent4 8 6" xfId="27269" xr:uid="{628F0EBF-AA59-43EE-B014-FD1178718806}"/>
    <cellStyle name="20% - Accent4 9" xfId="2288" xr:uid="{00000000-0005-0000-0000-00007A070000}"/>
    <cellStyle name="20% - Accent4 9 2" xfId="6595" xr:uid="{00000000-0005-0000-0000-00007B070000}"/>
    <cellStyle name="20% - Accent4 9 2 2" xfId="23465" xr:uid="{00000000-0005-0000-0000-00007C070000}"/>
    <cellStyle name="20% - Accent4 9 2 2 2" xfId="40333" xr:uid="{373116B1-36DB-40BF-966D-D367D8D8EDEF}"/>
    <cellStyle name="20% - Accent4 9 2 3" xfId="15030" xr:uid="{00000000-0005-0000-0000-00007D070000}"/>
    <cellStyle name="20% - Accent4 9 2 4" xfId="31899" xr:uid="{1AE593D4-9F99-4D8B-8F4C-7EA631A6AF43}"/>
    <cellStyle name="20% - Accent4 9 3" xfId="19247" xr:uid="{00000000-0005-0000-0000-00007E070000}"/>
    <cellStyle name="20% - Accent4 9 3 2" xfId="36116" xr:uid="{9C2D383E-354D-4A4B-B18C-AFA54CCD7317}"/>
    <cellStyle name="20% - Accent4 9 4" xfId="10812" xr:uid="{00000000-0005-0000-0000-00007F070000}"/>
    <cellStyle name="20% - Accent4 9 5" xfId="27682" xr:uid="{D9758629-C832-4EB5-9E8A-B831B9905E26}"/>
    <cellStyle name="20% - Accent5" xfId="33" builtinId="46" customBuiltin="1"/>
    <cellStyle name="20% - Accent5 10" xfId="4537" xr:uid="{00000000-0005-0000-0000-000081070000}"/>
    <cellStyle name="20% - Accent5 10 2" xfId="21407" xr:uid="{00000000-0005-0000-0000-000082070000}"/>
    <cellStyle name="20% - Accent5 10 2 2" xfId="38275" xr:uid="{6C97E693-3CF3-484A-A05E-2722BEABAC60}"/>
    <cellStyle name="20% - Accent5 10 3" xfId="12972" xr:uid="{00000000-0005-0000-0000-000083070000}"/>
    <cellStyle name="20% - Accent5 10 4" xfId="29841" xr:uid="{282BA9B6-0E41-4FBD-B173-559626E5B52F}"/>
    <cellStyle name="20% - Accent5 11" xfId="17189" xr:uid="{00000000-0005-0000-0000-000084070000}"/>
    <cellStyle name="20% - Accent5 11 2" xfId="34058" xr:uid="{9D19E9DD-4C49-4D93-969D-ECB49BD40260}"/>
    <cellStyle name="20% - Accent5 12" xfId="8754" xr:uid="{00000000-0005-0000-0000-000085070000}"/>
    <cellStyle name="20% - Accent5 13" xfId="25624" xr:uid="{B3B1D67F-6565-479B-8FE8-B3698309CE4A}"/>
    <cellStyle name="20% - Accent5 2" xfId="34" xr:uid="{00000000-0005-0000-0000-000086070000}"/>
    <cellStyle name="20% - Accent5 2 10" xfId="17190" xr:uid="{00000000-0005-0000-0000-000087070000}"/>
    <cellStyle name="20% - Accent5 2 10 2" xfId="34059" xr:uid="{87D73245-4B5E-4363-9206-63097B633BED}"/>
    <cellStyle name="20% - Accent5 2 11" xfId="8755" xr:uid="{00000000-0005-0000-0000-000088070000}"/>
    <cellStyle name="20% - Accent5 2 12" xfId="25625" xr:uid="{95CB60EA-7A2A-4D1C-AB1F-DA22963E0050}"/>
    <cellStyle name="20% - Accent5 2 2" xfId="35" xr:uid="{00000000-0005-0000-0000-000089070000}"/>
    <cellStyle name="20% - Accent5 2 2 10" xfId="8756" xr:uid="{00000000-0005-0000-0000-00008A070000}"/>
    <cellStyle name="20% - Accent5 2 2 11" xfId="25626" xr:uid="{18A7EB5E-3DDA-485D-B189-D938299B459E}"/>
    <cellStyle name="20% - Accent5 2 2 2" xfId="36" xr:uid="{00000000-0005-0000-0000-00008B070000}"/>
    <cellStyle name="20% - Accent5 2 2 2 10" xfId="25627" xr:uid="{C4FBE98E-D1A5-4A50-B6D2-BBA8EDA9713D}"/>
    <cellStyle name="20% - Accent5 2 2 2 2" xfId="605" xr:uid="{00000000-0005-0000-0000-00008C070000}"/>
    <cellStyle name="20% - Accent5 2 2 2 2 2" xfId="2876" xr:uid="{00000000-0005-0000-0000-00008D070000}"/>
    <cellStyle name="20% - Accent5 2 2 2 2 2 2" xfId="7099" xr:uid="{00000000-0005-0000-0000-00008E070000}"/>
    <cellStyle name="20% - Accent5 2 2 2 2 2 2 2" xfId="23969" xr:uid="{00000000-0005-0000-0000-00008F070000}"/>
    <cellStyle name="20% - Accent5 2 2 2 2 2 2 2 2" xfId="40837" xr:uid="{850E60CE-6881-4690-AC4E-05D849C77528}"/>
    <cellStyle name="20% - Accent5 2 2 2 2 2 2 3" xfId="15534" xr:uid="{00000000-0005-0000-0000-000090070000}"/>
    <cellStyle name="20% - Accent5 2 2 2 2 2 2 4" xfId="32403" xr:uid="{94389915-18F3-4710-90C9-BFE5E1AA2FC5}"/>
    <cellStyle name="20% - Accent5 2 2 2 2 2 3" xfId="19751" xr:uid="{00000000-0005-0000-0000-000091070000}"/>
    <cellStyle name="20% - Accent5 2 2 2 2 2 3 2" xfId="36620" xr:uid="{1CA9AB87-C6CF-4026-B629-D3AE419281A7}"/>
    <cellStyle name="20% - Accent5 2 2 2 2 2 4" xfId="11316" xr:uid="{00000000-0005-0000-0000-000092070000}"/>
    <cellStyle name="20% - Accent5 2 2 2 2 2 5" xfId="28186" xr:uid="{9BC21CE6-24BE-4B40-98F6-02C7999E8074}"/>
    <cellStyle name="20% - Accent5 2 2 2 2 3" xfId="4954" xr:uid="{00000000-0005-0000-0000-000093070000}"/>
    <cellStyle name="20% - Accent5 2 2 2 2 3 2" xfId="21824" xr:uid="{00000000-0005-0000-0000-000094070000}"/>
    <cellStyle name="20% - Accent5 2 2 2 2 3 2 2" xfId="38692" xr:uid="{C7DAD4CF-7D8E-4559-8A5D-A71268154A63}"/>
    <cellStyle name="20% - Accent5 2 2 2 2 3 3" xfId="13389" xr:uid="{00000000-0005-0000-0000-000095070000}"/>
    <cellStyle name="20% - Accent5 2 2 2 2 3 4" xfId="30258" xr:uid="{83248B6C-FE98-46BB-A8AB-A5CE02FC3CF0}"/>
    <cellStyle name="20% - Accent5 2 2 2 2 4" xfId="17606" xr:uid="{00000000-0005-0000-0000-000096070000}"/>
    <cellStyle name="20% - Accent5 2 2 2 2 4 2" xfId="34475" xr:uid="{5E3C4206-089B-42B2-82CE-97ABEAA9C82B}"/>
    <cellStyle name="20% - Accent5 2 2 2 2 5" xfId="9171" xr:uid="{00000000-0005-0000-0000-000097070000}"/>
    <cellStyle name="20% - Accent5 2 2 2 2 6" xfId="26041" xr:uid="{6F99EB8F-D267-4476-80C1-4F412A236E0C}"/>
    <cellStyle name="20% - Accent5 2 2 2 3" xfId="1058" xr:uid="{00000000-0005-0000-0000-000098070000}"/>
    <cellStyle name="20% - Accent5 2 2 2 3 2" xfId="3289" xr:uid="{00000000-0005-0000-0000-000099070000}"/>
    <cellStyle name="20% - Accent5 2 2 2 3 2 2" xfId="7512" xr:uid="{00000000-0005-0000-0000-00009A070000}"/>
    <cellStyle name="20% - Accent5 2 2 2 3 2 2 2" xfId="24382" xr:uid="{00000000-0005-0000-0000-00009B070000}"/>
    <cellStyle name="20% - Accent5 2 2 2 3 2 2 2 2" xfId="41250" xr:uid="{559A0D09-0B9A-473C-AF1E-E9A2DB379A96}"/>
    <cellStyle name="20% - Accent5 2 2 2 3 2 2 3" xfId="15947" xr:uid="{00000000-0005-0000-0000-00009C070000}"/>
    <cellStyle name="20% - Accent5 2 2 2 3 2 2 4" xfId="32816" xr:uid="{E36B853A-E48C-447E-A9DD-D022D98A2E5C}"/>
    <cellStyle name="20% - Accent5 2 2 2 3 2 3" xfId="20164" xr:uid="{00000000-0005-0000-0000-00009D070000}"/>
    <cellStyle name="20% - Accent5 2 2 2 3 2 3 2" xfId="37033" xr:uid="{BED51AF3-4AB8-470A-9AFF-30485E393733}"/>
    <cellStyle name="20% - Accent5 2 2 2 3 2 4" xfId="11729" xr:uid="{00000000-0005-0000-0000-00009E070000}"/>
    <cellStyle name="20% - Accent5 2 2 2 3 2 5" xfId="28599" xr:uid="{A08AE227-B728-433F-821D-B2FA54D3E025}"/>
    <cellStyle name="20% - Accent5 2 2 2 3 3" xfId="5367" xr:uid="{00000000-0005-0000-0000-00009F070000}"/>
    <cellStyle name="20% - Accent5 2 2 2 3 3 2" xfId="22237" xr:uid="{00000000-0005-0000-0000-0000A0070000}"/>
    <cellStyle name="20% - Accent5 2 2 2 3 3 2 2" xfId="39105" xr:uid="{BA5A06EE-1847-425B-8EA1-709F233FB531}"/>
    <cellStyle name="20% - Accent5 2 2 2 3 3 3" xfId="13802" xr:uid="{00000000-0005-0000-0000-0000A1070000}"/>
    <cellStyle name="20% - Accent5 2 2 2 3 3 4" xfId="30671" xr:uid="{BC0A6C23-DCB2-4661-9DDA-CA5941554D3D}"/>
    <cellStyle name="20% - Accent5 2 2 2 3 4" xfId="18019" xr:uid="{00000000-0005-0000-0000-0000A2070000}"/>
    <cellStyle name="20% - Accent5 2 2 2 3 4 2" xfId="34888" xr:uid="{8A6AF8B7-F725-4CA3-8C68-9889183EC8EB}"/>
    <cellStyle name="20% - Accent5 2 2 2 3 5" xfId="9584" xr:uid="{00000000-0005-0000-0000-0000A3070000}"/>
    <cellStyle name="20% - Accent5 2 2 2 3 6" xfId="26454" xr:uid="{047F0266-0D91-4092-ACEC-CB156DE2E796}"/>
    <cellStyle name="20% - Accent5 2 2 2 4" xfId="1472" xr:uid="{00000000-0005-0000-0000-0000A4070000}"/>
    <cellStyle name="20% - Accent5 2 2 2 4 2" xfId="3702" xr:uid="{00000000-0005-0000-0000-0000A5070000}"/>
    <cellStyle name="20% - Accent5 2 2 2 4 2 2" xfId="7925" xr:uid="{00000000-0005-0000-0000-0000A6070000}"/>
    <cellStyle name="20% - Accent5 2 2 2 4 2 2 2" xfId="24795" xr:uid="{00000000-0005-0000-0000-0000A7070000}"/>
    <cellStyle name="20% - Accent5 2 2 2 4 2 2 2 2" xfId="41663" xr:uid="{A8B5B79B-C903-401A-B3DC-B8D0D35B775A}"/>
    <cellStyle name="20% - Accent5 2 2 2 4 2 2 3" xfId="16360" xr:uid="{00000000-0005-0000-0000-0000A8070000}"/>
    <cellStyle name="20% - Accent5 2 2 2 4 2 2 4" xfId="33229" xr:uid="{E63E7863-8B10-4002-BD36-C0D9AAC1042C}"/>
    <cellStyle name="20% - Accent5 2 2 2 4 2 3" xfId="20577" xr:uid="{00000000-0005-0000-0000-0000A9070000}"/>
    <cellStyle name="20% - Accent5 2 2 2 4 2 3 2" xfId="37446" xr:uid="{4C5415E7-4CEB-4C56-94B2-304731F09EEB}"/>
    <cellStyle name="20% - Accent5 2 2 2 4 2 4" xfId="12142" xr:uid="{00000000-0005-0000-0000-0000AA070000}"/>
    <cellStyle name="20% - Accent5 2 2 2 4 2 5" xfId="29012" xr:uid="{319FAB9D-8D25-41DE-9EC3-2708574EB760}"/>
    <cellStyle name="20% - Accent5 2 2 2 4 3" xfId="5780" xr:uid="{00000000-0005-0000-0000-0000AB070000}"/>
    <cellStyle name="20% - Accent5 2 2 2 4 3 2" xfId="22650" xr:uid="{00000000-0005-0000-0000-0000AC070000}"/>
    <cellStyle name="20% - Accent5 2 2 2 4 3 2 2" xfId="39518" xr:uid="{D094E29D-6EDB-4AAC-BF41-479E0E1E8ECF}"/>
    <cellStyle name="20% - Accent5 2 2 2 4 3 3" xfId="14215" xr:uid="{00000000-0005-0000-0000-0000AD070000}"/>
    <cellStyle name="20% - Accent5 2 2 2 4 3 4" xfId="31084" xr:uid="{C31B41F4-EC0A-46AD-8AF4-C9DD69422545}"/>
    <cellStyle name="20% - Accent5 2 2 2 4 4" xfId="18432" xr:uid="{00000000-0005-0000-0000-0000AE070000}"/>
    <cellStyle name="20% - Accent5 2 2 2 4 4 2" xfId="35301" xr:uid="{FF2416B3-357E-4B12-B39C-1BC58188CDA2}"/>
    <cellStyle name="20% - Accent5 2 2 2 4 5" xfId="9997" xr:uid="{00000000-0005-0000-0000-0000AF070000}"/>
    <cellStyle name="20% - Accent5 2 2 2 4 6" xfId="26867" xr:uid="{B4907035-8EC9-4508-A862-94DAB281A9F6}"/>
    <cellStyle name="20% - Accent5 2 2 2 5" xfId="1886" xr:uid="{00000000-0005-0000-0000-0000B0070000}"/>
    <cellStyle name="20% - Accent5 2 2 2 5 2" xfId="4115" xr:uid="{00000000-0005-0000-0000-0000B1070000}"/>
    <cellStyle name="20% - Accent5 2 2 2 5 2 2" xfId="8338" xr:uid="{00000000-0005-0000-0000-0000B2070000}"/>
    <cellStyle name="20% - Accent5 2 2 2 5 2 2 2" xfId="25208" xr:uid="{00000000-0005-0000-0000-0000B3070000}"/>
    <cellStyle name="20% - Accent5 2 2 2 5 2 2 2 2" xfId="42076" xr:uid="{C04087E2-08F6-4FC1-B643-F6781E511254}"/>
    <cellStyle name="20% - Accent5 2 2 2 5 2 2 3" xfId="16773" xr:uid="{00000000-0005-0000-0000-0000B4070000}"/>
    <cellStyle name="20% - Accent5 2 2 2 5 2 2 4" xfId="33642" xr:uid="{69620156-D8E3-490E-91A8-8BB7191AC09D}"/>
    <cellStyle name="20% - Accent5 2 2 2 5 2 3" xfId="20990" xr:uid="{00000000-0005-0000-0000-0000B5070000}"/>
    <cellStyle name="20% - Accent5 2 2 2 5 2 3 2" xfId="37859" xr:uid="{182EAC03-1C30-4B51-B1D0-670E0E814EA4}"/>
    <cellStyle name="20% - Accent5 2 2 2 5 2 4" xfId="12555" xr:uid="{00000000-0005-0000-0000-0000B6070000}"/>
    <cellStyle name="20% - Accent5 2 2 2 5 2 5" xfId="29425" xr:uid="{74334C45-3DCF-475E-8BF7-413394588E3B}"/>
    <cellStyle name="20% - Accent5 2 2 2 5 3" xfId="6193" xr:uid="{00000000-0005-0000-0000-0000B7070000}"/>
    <cellStyle name="20% - Accent5 2 2 2 5 3 2" xfId="23063" xr:uid="{00000000-0005-0000-0000-0000B8070000}"/>
    <cellStyle name="20% - Accent5 2 2 2 5 3 2 2" xfId="39931" xr:uid="{E44B78D2-82E0-44F1-98D0-FB054B06CFAA}"/>
    <cellStyle name="20% - Accent5 2 2 2 5 3 3" xfId="14628" xr:uid="{00000000-0005-0000-0000-0000B9070000}"/>
    <cellStyle name="20% - Accent5 2 2 2 5 3 4" xfId="31497" xr:uid="{6BAA9FA2-C06A-4DC6-85C5-2D96EB8C6DE5}"/>
    <cellStyle name="20% - Accent5 2 2 2 5 4" xfId="18845" xr:uid="{00000000-0005-0000-0000-0000BA070000}"/>
    <cellStyle name="20% - Accent5 2 2 2 5 4 2" xfId="35714" xr:uid="{C6FFA75D-A2D4-4DE4-9C78-F1E9A8BA517A}"/>
    <cellStyle name="20% - Accent5 2 2 2 5 5" xfId="10410" xr:uid="{00000000-0005-0000-0000-0000BB070000}"/>
    <cellStyle name="20% - Accent5 2 2 2 5 6" xfId="27280" xr:uid="{EAC8D0B9-1733-4B31-959C-C6146BE4F304}"/>
    <cellStyle name="20% - Accent5 2 2 2 6" xfId="2299" xr:uid="{00000000-0005-0000-0000-0000BC070000}"/>
    <cellStyle name="20% - Accent5 2 2 2 6 2" xfId="6606" xr:uid="{00000000-0005-0000-0000-0000BD070000}"/>
    <cellStyle name="20% - Accent5 2 2 2 6 2 2" xfId="23476" xr:uid="{00000000-0005-0000-0000-0000BE070000}"/>
    <cellStyle name="20% - Accent5 2 2 2 6 2 2 2" xfId="40344" xr:uid="{E4D50D58-55A7-49B9-824B-88D81F1B8FBC}"/>
    <cellStyle name="20% - Accent5 2 2 2 6 2 3" xfId="15041" xr:uid="{00000000-0005-0000-0000-0000BF070000}"/>
    <cellStyle name="20% - Accent5 2 2 2 6 2 4" xfId="31910" xr:uid="{534A6F4C-B84A-485D-9743-FA6D63E373F5}"/>
    <cellStyle name="20% - Accent5 2 2 2 6 3" xfId="19258" xr:uid="{00000000-0005-0000-0000-0000C0070000}"/>
    <cellStyle name="20% - Accent5 2 2 2 6 3 2" xfId="36127" xr:uid="{1B10CE4C-12BB-4F43-8223-9257960B9462}"/>
    <cellStyle name="20% - Accent5 2 2 2 6 4" xfId="10823" xr:uid="{00000000-0005-0000-0000-0000C1070000}"/>
    <cellStyle name="20% - Accent5 2 2 2 6 5" xfId="27693" xr:uid="{DF582ACF-BF02-4EC9-9E13-7D191A2AF6DE}"/>
    <cellStyle name="20% - Accent5 2 2 2 7" xfId="4540" xr:uid="{00000000-0005-0000-0000-0000C2070000}"/>
    <cellStyle name="20% - Accent5 2 2 2 7 2" xfId="21410" xr:uid="{00000000-0005-0000-0000-0000C3070000}"/>
    <cellStyle name="20% - Accent5 2 2 2 7 2 2" xfId="38278" xr:uid="{732CD3E8-2464-45AC-98F5-E87417CB6CF2}"/>
    <cellStyle name="20% - Accent5 2 2 2 7 3" xfId="12975" xr:uid="{00000000-0005-0000-0000-0000C4070000}"/>
    <cellStyle name="20% - Accent5 2 2 2 7 4" xfId="29844" xr:uid="{53929D72-55B0-42B6-8123-6204AA6A09B8}"/>
    <cellStyle name="20% - Accent5 2 2 2 8" xfId="17192" xr:uid="{00000000-0005-0000-0000-0000C5070000}"/>
    <cellStyle name="20% - Accent5 2 2 2 8 2" xfId="34061" xr:uid="{60B0CA12-15ED-45AA-8927-42296B3696B5}"/>
    <cellStyle name="20% - Accent5 2 2 2 9" xfId="8757" xr:uid="{00000000-0005-0000-0000-0000C6070000}"/>
    <cellStyle name="20% - Accent5 2 2 3" xfId="604" xr:uid="{00000000-0005-0000-0000-0000C7070000}"/>
    <cellStyle name="20% - Accent5 2 2 3 2" xfId="2875" xr:uid="{00000000-0005-0000-0000-0000C8070000}"/>
    <cellStyle name="20% - Accent5 2 2 3 2 2" xfId="7098" xr:uid="{00000000-0005-0000-0000-0000C9070000}"/>
    <cellStyle name="20% - Accent5 2 2 3 2 2 2" xfId="23968" xr:uid="{00000000-0005-0000-0000-0000CA070000}"/>
    <cellStyle name="20% - Accent5 2 2 3 2 2 2 2" xfId="40836" xr:uid="{DD5A2D9B-5084-406E-AD42-B31E1B55FFA3}"/>
    <cellStyle name="20% - Accent5 2 2 3 2 2 3" xfId="15533" xr:uid="{00000000-0005-0000-0000-0000CB070000}"/>
    <cellStyle name="20% - Accent5 2 2 3 2 2 4" xfId="32402" xr:uid="{BC4209F2-1153-45E9-98A0-8628B540430F}"/>
    <cellStyle name="20% - Accent5 2 2 3 2 3" xfId="19750" xr:uid="{00000000-0005-0000-0000-0000CC070000}"/>
    <cellStyle name="20% - Accent5 2 2 3 2 3 2" xfId="36619" xr:uid="{A40AB48C-B66B-4083-9C2D-174F1CCE4D60}"/>
    <cellStyle name="20% - Accent5 2 2 3 2 4" xfId="11315" xr:uid="{00000000-0005-0000-0000-0000CD070000}"/>
    <cellStyle name="20% - Accent5 2 2 3 2 5" xfId="28185" xr:uid="{111F30CC-7EA8-46EF-B7B8-60ED97404D72}"/>
    <cellStyle name="20% - Accent5 2 2 3 3" xfId="4953" xr:uid="{00000000-0005-0000-0000-0000CE070000}"/>
    <cellStyle name="20% - Accent5 2 2 3 3 2" xfId="21823" xr:uid="{00000000-0005-0000-0000-0000CF070000}"/>
    <cellStyle name="20% - Accent5 2 2 3 3 2 2" xfId="38691" xr:uid="{CE6227BC-AA16-49A0-A32F-923989543D2B}"/>
    <cellStyle name="20% - Accent5 2 2 3 3 3" xfId="13388" xr:uid="{00000000-0005-0000-0000-0000D0070000}"/>
    <cellStyle name="20% - Accent5 2 2 3 3 4" xfId="30257" xr:uid="{060D0E79-D406-422C-A56B-DF504DDD76DC}"/>
    <cellStyle name="20% - Accent5 2 2 3 4" xfId="17605" xr:uid="{00000000-0005-0000-0000-0000D1070000}"/>
    <cellStyle name="20% - Accent5 2 2 3 4 2" xfId="34474" xr:uid="{38C3A2D6-B84C-4346-8CCD-76178FA19BB4}"/>
    <cellStyle name="20% - Accent5 2 2 3 5" xfId="9170" xr:uid="{00000000-0005-0000-0000-0000D2070000}"/>
    <cellStyle name="20% - Accent5 2 2 3 6" xfId="26040" xr:uid="{16378A29-F94C-47FA-8EE2-44CADB002F13}"/>
    <cellStyle name="20% - Accent5 2 2 4" xfId="1057" xr:uid="{00000000-0005-0000-0000-0000D3070000}"/>
    <cellStyle name="20% - Accent5 2 2 4 2" xfId="3288" xr:uid="{00000000-0005-0000-0000-0000D4070000}"/>
    <cellStyle name="20% - Accent5 2 2 4 2 2" xfId="7511" xr:uid="{00000000-0005-0000-0000-0000D5070000}"/>
    <cellStyle name="20% - Accent5 2 2 4 2 2 2" xfId="24381" xr:uid="{00000000-0005-0000-0000-0000D6070000}"/>
    <cellStyle name="20% - Accent5 2 2 4 2 2 2 2" xfId="41249" xr:uid="{5747042E-AA29-4E0D-A5A5-DF4ADFF1D54F}"/>
    <cellStyle name="20% - Accent5 2 2 4 2 2 3" xfId="15946" xr:uid="{00000000-0005-0000-0000-0000D7070000}"/>
    <cellStyle name="20% - Accent5 2 2 4 2 2 4" xfId="32815" xr:uid="{B843DA8E-99E6-4207-B6F4-3A47725FB311}"/>
    <cellStyle name="20% - Accent5 2 2 4 2 3" xfId="20163" xr:uid="{00000000-0005-0000-0000-0000D8070000}"/>
    <cellStyle name="20% - Accent5 2 2 4 2 3 2" xfId="37032" xr:uid="{8C9A8122-48AC-40B4-9D21-3FFBDE6708A4}"/>
    <cellStyle name="20% - Accent5 2 2 4 2 4" xfId="11728" xr:uid="{00000000-0005-0000-0000-0000D9070000}"/>
    <cellStyle name="20% - Accent5 2 2 4 2 5" xfId="28598" xr:uid="{0F33E5A5-1C9A-43D2-859C-8317D7D5F762}"/>
    <cellStyle name="20% - Accent5 2 2 4 3" xfId="5366" xr:uid="{00000000-0005-0000-0000-0000DA070000}"/>
    <cellStyle name="20% - Accent5 2 2 4 3 2" xfId="22236" xr:uid="{00000000-0005-0000-0000-0000DB070000}"/>
    <cellStyle name="20% - Accent5 2 2 4 3 2 2" xfId="39104" xr:uid="{D9A3EEC3-A151-4AF4-A338-44117332AAD1}"/>
    <cellStyle name="20% - Accent5 2 2 4 3 3" xfId="13801" xr:uid="{00000000-0005-0000-0000-0000DC070000}"/>
    <cellStyle name="20% - Accent5 2 2 4 3 4" xfId="30670" xr:uid="{01734D1E-A891-4915-BF04-DCA9B08B81DB}"/>
    <cellStyle name="20% - Accent5 2 2 4 4" xfId="18018" xr:uid="{00000000-0005-0000-0000-0000DD070000}"/>
    <cellStyle name="20% - Accent5 2 2 4 4 2" xfId="34887" xr:uid="{56E19429-2A01-4256-A7D3-ABF389D96525}"/>
    <cellStyle name="20% - Accent5 2 2 4 5" xfId="9583" xr:uid="{00000000-0005-0000-0000-0000DE070000}"/>
    <cellStyle name="20% - Accent5 2 2 4 6" xfId="26453" xr:uid="{2B5F246A-EAAD-4FB6-9FA2-DF4DF146E398}"/>
    <cellStyle name="20% - Accent5 2 2 5" xfId="1471" xr:uid="{00000000-0005-0000-0000-0000DF070000}"/>
    <cellStyle name="20% - Accent5 2 2 5 2" xfId="3701" xr:uid="{00000000-0005-0000-0000-0000E0070000}"/>
    <cellStyle name="20% - Accent5 2 2 5 2 2" xfId="7924" xr:uid="{00000000-0005-0000-0000-0000E1070000}"/>
    <cellStyle name="20% - Accent5 2 2 5 2 2 2" xfId="24794" xr:uid="{00000000-0005-0000-0000-0000E2070000}"/>
    <cellStyle name="20% - Accent5 2 2 5 2 2 2 2" xfId="41662" xr:uid="{A09AFB63-CA69-4624-9CA7-99BD0012EC17}"/>
    <cellStyle name="20% - Accent5 2 2 5 2 2 3" xfId="16359" xr:uid="{00000000-0005-0000-0000-0000E3070000}"/>
    <cellStyle name="20% - Accent5 2 2 5 2 2 4" xfId="33228" xr:uid="{576CAAD7-863C-4653-869C-2133AEDA2A2E}"/>
    <cellStyle name="20% - Accent5 2 2 5 2 3" xfId="20576" xr:uid="{00000000-0005-0000-0000-0000E4070000}"/>
    <cellStyle name="20% - Accent5 2 2 5 2 3 2" xfId="37445" xr:uid="{A53919F8-8166-402C-B565-BF86713C16C7}"/>
    <cellStyle name="20% - Accent5 2 2 5 2 4" xfId="12141" xr:uid="{00000000-0005-0000-0000-0000E5070000}"/>
    <cellStyle name="20% - Accent5 2 2 5 2 5" xfId="29011" xr:uid="{1DFE8DCE-1147-4CFA-ACDF-4465B02A2BA2}"/>
    <cellStyle name="20% - Accent5 2 2 5 3" xfId="5779" xr:uid="{00000000-0005-0000-0000-0000E6070000}"/>
    <cellStyle name="20% - Accent5 2 2 5 3 2" xfId="22649" xr:uid="{00000000-0005-0000-0000-0000E7070000}"/>
    <cellStyle name="20% - Accent5 2 2 5 3 2 2" xfId="39517" xr:uid="{15A2E7DA-9128-47BD-AC0E-E672F13D3DBA}"/>
    <cellStyle name="20% - Accent5 2 2 5 3 3" xfId="14214" xr:uid="{00000000-0005-0000-0000-0000E8070000}"/>
    <cellStyle name="20% - Accent5 2 2 5 3 4" xfId="31083" xr:uid="{0C49970D-459B-4F4C-92D8-4BD4547C6DA4}"/>
    <cellStyle name="20% - Accent5 2 2 5 4" xfId="18431" xr:uid="{00000000-0005-0000-0000-0000E9070000}"/>
    <cellStyle name="20% - Accent5 2 2 5 4 2" xfId="35300" xr:uid="{3A67D299-3234-452D-9C6C-3284501A22DE}"/>
    <cellStyle name="20% - Accent5 2 2 5 5" xfId="9996" xr:uid="{00000000-0005-0000-0000-0000EA070000}"/>
    <cellStyle name="20% - Accent5 2 2 5 6" xfId="26866" xr:uid="{7C6762CC-B9D9-4A18-ABFC-A9B813098B66}"/>
    <cellStyle name="20% - Accent5 2 2 6" xfId="1885" xr:uid="{00000000-0005-0000-0000-0000EB070000}"/>
    <cellStyle name="20% - Accent5 2 2 6 2" xfId="4114" xr:uid="{00000000-0005-0000-0000-0000EC070000}"/>
    <cellStyle name="20% - Accent5 2 2 6 2 2" xfId="8337" xr:uid="{00000000-0005-0000-0000-0000ED070000}"/>
    <cellStyle name="20% - Accent5 2 2 6 2 2 2" xfId="25207" xr:uid="{00000000-0005-0000-0000-0000EE070000}"/>
    <cellStyle name="20% - Accent5 2 2 6 2 2 2 2" xfId="42075" xr:uid="{ED71856F-3799-4498-B3E0-118B1A9F8FAC}"/>
    <cellStyle name="20% - Accent5 2 2 6 2 2 3" xfId="16772" xr:uid="{00000000-0005-0000-0000-0000EF070000}"/>
    <cellStyle name="20% - Accent5 2 2 6 2 2 4" xfId="33641" xr:uid="{C1DA33C0-C9D3-4EEE-B01B-8A20013D973C}"/>
    <cellStyle name="20% - Accent5 2 2 6 2 3" xfId="20989" xr:uid="{00000000-0005-0000-0000-0000F0070000}"/>
    <cellStyle name="20% - Accent5 2 2 6 2 3 2" xfId="37858" xr:uid="{CAB8BBA2-CB8B-4F42-B6DD-8E37E688BC5E}"/>
    <cellStyle name="20% - Accent5 2 2 6 2 4" xfId="12554" xr:uid="{00000000-0005-0000-0000-0000F1070000}"/>
    <cellStyle name="20% - Accent5 2 2 6 2 5" xfId="29424" xr:uid="{98091CEE-5043-4B41-BD87-BD91F79E8E0B}"/>
    <cellStyle name="20% - Accent5 2 2 6 3" xfId="6192" xr:uid="{00000000-0005-0000-0000-0000F2070000}"/>
    <cellStyle name="20% - Accent5 2 2 6 3 2" xfId="23062" xr:uid="{00000000-0005-0000-0000-0000F3070000}"/>
    <cellStyle name="20% - Accent5 2 2 6 3 2 2" xfId="39930" xr:uid="{6B46788C-30CE-4F47-A957-8FC4179204BC}"/>
    <cellStyle name="20% - Accent5 2 2 6 3 3" xfId="14627" xr:uid="{00000000-0005-0000-0000-0000F4070000}"/>
    <cellStyle name="20% - Accent5 2 2 6 3 4" xfId="31496" xr:uid="{56586D05-7682-4337-85E6-4F244EED2412}"/>
    <cellStyle name="20% - Accent5 2 2 6 4" xfId="18844" xr:uid="{00000000-0005-0000-0000-0000F5070000}"/>
    <cellStyle name="20% - Accent5 2 2 6 4 2" xfId="35713" xr:uid="{5BD1CEC6-44DE-4876-9C68-E81F426B3DA4}"/>
    <cellStyle name="20% - Accent5 2 2 6 5" xfId="10409" xr:uid="{00000000-0005-0000-0000-0000F6070000}"/>
    <cellStyle name="20% - Accent5 2 2 6 6" xfId="27279" xr:uid="{92BADCF7-E239-4383-A030-5D84B342BFAA}"/>
    <cellStyle name="20% - Accent5 2 2 7" xfId="2298" xr:uid="{00000000-0005-0000-0000-0000F7070000}"/>
    <cellStyle name="20% - Accent5 2 2 7 2" xfId="6605" xr:uid="{00000000-0005-0000-0000-0000F8070000}"/>
    <cellStyle name="20% - Accent5 2 2 7 2 2" xfId="23475" xr:uid="{00000000-0005-0000-0000-0000F9070000}"/>
    <cellStyle name="20% - Accent5 2 2 7 2 2 2" xfId="40343" xr:uid="{148E0641-6A84-452A-84BA-EA3A88ACF13E}"/>
    <cellStyle name="20% - Accent5 2 2 7 2 3" xfId="15040" xr:uid="{00000000-0005-0000-0000-0000FA070000}"/>
    <cellStyle name="20% - Accent5 2 2 7 2 4" xfId="31909" xr:uid="{C20AB81B-587C-4170-B46E-F79DC3A8309C}"/>
    <cellStyle name="20% - Accent5 2 2 7 3" xfId="19257" xr:uid="{00000000-0005-0000-0000-0000FB070000}"/>
    <cellStyle name="20% - Accent5 2 2 7 3 2" xfId="36126" xr:uid="{9E6DE11E-E47C-4BBF-B44E-B1D96751ED59}"/>
    <cellStyle name="20% - Accent5 2 2 7 4" xfId="10822" xr:uid="{00000000-0005-0000-0000-0000FC070000}"/>
    <cellStyle name="20% - Accent5 2 2 7 5" xfId="27692" xr:uid="{871B87FE-5838-4D5A-BD28-D192F848E18C}"/>
    <cellStyle name="20% - Accent5 2 2 8" xfId="4539" xr:uid="{00000000-0005-0000-0000-0000FD070000}"/>
    <cellStyle name="20% - Accent5 2 2 8 2" xfId="21409" xr:uid="{00000000-0005-0000-0000-0000FE070000}"/>
    <cellStyle name="20% - Accent5 2 2 8 2 2" xfId="38277" xr:uid="{B33B03B8-6AF6-4AD9-AC6A-EE9879B5F641}"/>
    <cellStyle name="20% - Accent5 2 2 8 3" xfId="12974" xr:uid="{00000000-0005-0000-0000-0000FF070000}"/>
    <cellStyle name="20% - Accent5 2 2 8 4" xfId="29843" xr:uid="{06D899AD-A43E-4F7B-ACDF-0D7CC6B90E5A}"/>
    <cellStyle name="20% - Accent5 2 2 9" xfId="17191" xr:uid="{00000000-0005-0000-0000-000000080000}"/>
    <cellStyle name="20% - Accent5 2 2 9 2" xfId="34060" xr:uid="{0FC804C9-62F1-48A7-8229-C2F27DE91B16}"/>
    <cellStyle name="20% - Accent5 2 3" xfId="37" xr:uid="{00000000-0005-0000-0000-000001080000}"/>
    <cellStyle name="20% - Accent5 2 3 10" xfId="25628" xr:uid="{138E2FFC-57F8-462E-BE58-021458FE0CF9}"/>
    <cellStyle name="20% - Accent5 2 3 2" xfId="606" xr:uid="{00000000-0005-0000-0000-000002080000}"/>
    <cellStyle name="20% - Accent5 2 3 2 2" xfId="2877" xr:uid="{00000000-0005-0000-0000-000003080000}"/>
    <cellStyle name="20% - Accent5 2 3 2 2 2" xfId="7100" xr:uid="{00000000-0005-0000-0000-000004080000}"/>
    <cellStyle name="20% - Accent5 2 3 2 2 2 2" xfId="23970" xr:uid="{00000000-0005-0000-0000-000005080000}"/>
    <cellStyle name="20% - Accent5 2 3 2 2 2 2 2" xfId="40838" xr:uid="{56FF5207-53D3-47D4-9951-B4863C23DEC4}"/>
    <cellStyle name="20% - Accent5 2 3 2 2 2 3" xfId="15535" xr:uid="{00000000-0005-0000-0000-000006080000}"/>
    <cellStyle name="20% - Accent5 2 3 2 2 2 4" xfId="32404" xr:uid="{17FF5685-A3D5-4F17-88EE-6FA1AFDB47EE}"/>
    <cellStyle name="20% - Accent5 2 3 2 2 3" xfId="19752" xr:uid="{00000000-0005-0000-0000-000007080000}"/>
    <cellStyle name="20% - Accent5 2 3 2 2 3 2" xfId="36621" xr:uid="{20719C0F-7719-4CB6-B66E-4372A6835B4E}"/>
    <cellStyle name="20% - Accent5 2 3 2 2 4" xfId="11317" xr:uid="{00000000-0005-0000-0000-000008080000}"/>
    <cellStyle name="20% - Accent5 2 3 2 2 5" xfId="28187" xr:uid="{BA503B91-3004-41FC-ADBE-5D336814917A}"/>
    <cellStyle name="20% - Accent5 2 3 2 3" xfId="4955" xr:uid="{00000000-0005-0000-0000-000009080000}"/>
    <cellStyle name="20% - Accent5 2 3 2 3 2" xfId="21825" xr:uid="{00000000-0005-0000-0000-00000A080000}"/>
    <cellStyle name="20% - Accent5 2 3 2 3 2 2" xfId="38693" xr:uid="{2EA5F935-750E-4DDF-8BAB-3BA26DFD84AF}"/>
    <cellStyle name="20% - Accent5 2 3 2 3 3" xfId="13390" xr:uid="{00000000-0005-0000-0000-00000B080000}"/>
    <cellStyle name="20% - Accent5 2 3 2 3 4" xfId="30259" xr:uid="{0DE012D2-0C0A-418D-898E-29F22045AB80}"/>
    <cellStyle name="20% - Accent5 2 3 2 4" xfId="17607" xr:uid="{00000000-0005-0000-0000-00000C080000}"/>
    <cellStyle name="20% - Accent5 2 3 2 4 2" xfId="34476" xr:uid="{B041B0C7-350C-40D6-832A-3AF00BFBA06D}"/>
    <cellStyle name="20% - Accent5 2 3 2 5" xfId="9172" xr:uid="{00000000-0005-0000-0000-00000D080000}"/>
    <cellStyle name="20% - Accent5 2 3 2 6" xfId="26042" xr:uid="{270A18C1-9828-46EE-86C4-99D0F6D45A75}"/>
    <cellStyle name="20% - Accent5 2 3 3" xfId="1059" xr:uid="{00000000-0005-0000-0000-00000E080000}"/>
    <cellStyle name="20% - Accent5 2 3 3 2" xfId="3290" xr:uid="{00000000-0005-0000-0000-00000F080000}"/>
    <cellStyle name="20% - Accent5 2 3 3 2 2" xfId="7513" xr:uid="{00000000-0005-0000-0000-000010080000}"/>
    <cellStyle name="20% - Accent5 2 3 3 2 2 2" xfId="24383" xr:uid="{00000000-0005-0000-0000-000011080000}"/>
    <cellStyle name="20% - Accent5 2 3 3 2 2 2 2" xfId="41251" xr:uid="{FF3EA59D-9137-4BEC-B0E8-0BE34D8EE987}"/>
    <cellStyle name="20% - Accent5 2 3 3 2 2 3" xfId="15948" xr:uid="{00000000-0005-0000-0000-000012080000}"/>
    <cellStyle name="20% - Accent5 2 3 3 2 2 4" xfId="32817" xr:uid="{3A4A10AC-09D3-4BC8-B4C9-0C13E82243E2}"/>
    <cellStyle name="20% - Accent5 2 3 3 2 3" xfId="20165" xr:uid="{00000000-0005-0000-0000-000013080000}"/>
    <cellStyle name="20% - Accent5 2 3 3 2 3 2" xfId="37034" xr:uid="{384AA28A-2C14-4ABD-98D5-95ADE4BD915E}"/>
    <cellStyle name="20% - Accent5 2 3 3 2 4" xfId="11730" xr:uid="{00000000-0005-0000-0000-000014080000}"/>
    <cellStyle name="20% - Accent5 2 3 3 2 5" xfId="28600" xr:uid="{F43239C6-6944-4EB8-8859-014B89548F09}"/>
    <cellStyle name="20% - Accent5 2 3 3 3" xfId="5368" xr:uid="{00000000-0005-0000-0000-000015080000}"/>
    <cellStyle name="20% - Accent5 2 3 3 3 2" xfId="22238" xr:uid="{00000000-0005-0000-0000-000016080000}"/>
    <cellStyle name="20% - Accent5 2 3 3 3 2 2" xfId="39106" xr:uid="{DB47C572-DCCE-4422-9ABC-5944C63C2533}"/>
    <cellStyle name="20% - Accent5 2 3 3 3 3" xfId="13803" xr:uid="{00000000-0005-0000-0000-000017080000}"/>
    <cellStyle name="20% - Accent5 2 3 3 3 4" xfId="30672" xr:uid="{471E0E04-ECD6-414A-8CA3-5531256F29F0}"/>
    <cellStyle name="20% - Accent5 2 3 3 4" xfId="18020" xr:uid="{00000000-0005-0000-0000-000018080000}"/>
    <cellStyle name="20% - Accent5 2 3 3 4 2" xfId="34889" xr:uid="{2B8AC24D-2E68-4EBB-A9C6-7D887B3F7932}"/>
    <cellStyle name="20% - Accent5 2 3 3 5" xfId="9585" xr:uid="{00000000-0005-0000-0000-000019080000}"/>
    <cellStyle name="20% - Accent5 2 3 3 6" xfId="26455" xr:uid="{6B291173-3737-447D-9874-8C64F9715001}"/>
    <cellStyle name="20% - Accent5 2 3 4" xfId="1473" xr:uid="{00000000-0005-0000-0000-00001A080000}"/>
    <cellStyle name="20% - Accent5 2 3 4 2" xfId="3703" xr:uid="{00000000-0005-0000-0000-00001B080000}"/>
    <cellStyle name="20% - Accent5 2 3 4 2 2" xfId="7926" xr:uid="{00000000-0005-0000-0000-00001C080000}"/>
    <cellStyle name="20% - Accent5 2 3 4 2 2 2" xfId="24796" xr:uid="{00000000-0005-0000-0000-00001D080000}"/>
    <cellStyle name="20% - Accent5 2 3 4 2 2 2 2" xfId="41664" xr:uid="{175243F4-1FD2-4978-8DC2-F80A1A132E17}"/>
    <cellStyle name="20% - Accent5 2 3 4 2 2 3" xfId="16361" xr:uid="{00000000-0005-0000-0000-00001E080000}"/>
    <cellStyle name="20% - Accent5 2 3 4 2 2 4" xfId="33230" xr:uid="{02793077-1685-41AF-8C98-A531C29F195E}"/>
    <cellStyle name="20% - Accent5 2 3 4 2 3" xfId="20578" xr:uid="{00000000-0005-0000-0000-00001F080000}"/>
    <cellStyle name="20% - Accent5 2 3 4 2 3 2" xfId="37447" xr:uid="{F71505D7-A184-4DC1-A3FF-DA8F017AE4CC}"/>
    <cellStyle name="20% - Accent5 2 3 4 2 4" xfId="12143" xr:uid="{00000000-0005-0000-0000-000020080000}"/>
    <cellStyle name="20% - Accent5 2 3 4 2 5" xfId="29013" xr:uid="{0DCA40CE-D1E7-4B04-A17E-5125A644FAE9}"/>
    <cellStyle name="20% - Accent5 2 3 4 3" xfId="5781" xr:uid="{00000000-0005-0000-0000-000021080000}"/>
    <cellStyle name="20% - Accent5 2 3 4 3 2" xfId="22651" xr:uid="{00000000-0005-0000-0000-000022080000}"/>
    <cellStyle name="20% - Accent5 2 3 4 3 2 2" xfId="39519" xr:uid="{201F031B-9DEC-44AF-BEE1-E56E9C3E8806}"/>
    <cellStyle name="20% - Accent5 2 3 4 3 3" xfId="14216" xr:uid="{00000000-0005-0000-0000-000023080000}"/>
    <cellStyle name="20% - Accent5 2 3 4 3 4" xfId="31085" xr:uid="{8F5ABBAC-9ABF-4B28-94A0-6A42B0E3A4B0}"/>
    <cellStyle name="20% - Accent5 2 3 4 4" xfId="18433" xr:uid="{00000000-0005-0000-0000-000024080000}"/>
    <cellStyle name="20% - Accent5 2 3 4 4 2" xfId="35302" xr:uid="{3E904DDD-DEC5-4550-9F46-544E6ECA8CED}"/>
    <cellStyle name="20% - Accent5 2 3 4 5" xfId="9998" xr:uid="{00000000-0005-0000-0000-000025080000}"/>
    <cellStyle name="20% - Accent5 2 3 4 6" xfId="26868" xr:uid="{A22850B6-86C9-4F25-9D4D-9B10F7DE12D8}"/>
    <cellStyle name="20% - Accent5 2 3 5" xfId="1887" xr:uid="{00000000-0005-0000-0000-000026080000}"/>
    <cellStyle name="20% - Accent5 2 3 5 2" xfId="4116" xr:uid="{00000000-0005-0000-0000-000027080000}"/>
    <cellStyle name="20% - Accent5 2 3 5 2 2" xfId="8339" xr:uid="{00000000-0005-0000-0000-000028080000}"/>
    <cellStyle name="20% - Accent5 2 3 5 2 2 2" xfId="25209" xr:uid="{00000000-0005-0000-0000-000029080000}"/>
    <cellStyle name="20% - Accent5 2 3 5 2 2 2 2" xfId="42077" xr:uid="{F4A60F0F-B156-4F2C-9F78-2A86F3BF542D}"/>
    <cellStyle name="20% - Accent5 2 3 5 2 2 3" xfId="16774" xr:uid="{00000000-0005-0000-0000-00002A080000}"/>
    <cellStyle name="20% - Accent5 2 3 5 2 2 4" xfId="33643" xr:uid="{A080FB09-5F71-4786-9367-87562165A62C}"/>
    <cellStyle name="20% - Accent5 2 3 5 2 3" xfId="20991" xr:uid="{00000000-0005-0000-0000-00002B080000}"/>
    <cellStyle name="20% - Accent5 2 3 5 2 3 2" xfId="37860" xr:uid="{DA75E970-9397-4206-A1C6-252906A6B765}"/>
    <cellStyle name="20% - Accent5 2 3 5 2 4" xfId="12556" xr:uid="{00000000-0005-0000-0000-00002C080000}"/>
    <cellStyle name="20% - Accent5 2 3 5 2 5" xfId="29426" xr:uid="{B0486489-33E2-46D7-855D-DC12FA9DBF45}"/>
    <cellStyle name="20% - Accent5 2 3 5 3" xfId="6194" xr:uid="{00000000-0005-0000-0000-00002D080000}"/>
    <cellStyle name="20% - Accent5 2 3 5 3 2" xfId="23064" xr:uid="{00000000-0005-0000-0000-00002E080000}"/>
    <cellStyle name="20% - Accent5 2 3 5 3 2 2" xfId="39932" xr:uid="{00890F4E-7AD7-41FD-9684-58FD94938BD7}"/>
    <cellStyle name="20% - Accent5 2 3 5 3 3" xfId="14629" xr:uid="{00000000-0005-0000-0000-00002F080000}"/>
    <cellStyle name="20% - Accent5 2 3 5 3 4" xfId="31498" xr:uid="{FD747FD9-0F3D-45E6-82D0-5EAE66775B72}"/>
    <cellStyle name="20% - Accent5 2 3 5 4" xfId="18846" xr:uid="{00000000-0005-0000-0000-000030080000}"/>
    <cellStyle name="20% - Accent5 2 3 5 4 2" xfId="35715" xr:uid="{61458EC5-ABBD-4631-8EAC-2CACDDF34978}"/>
    <cellStyle name="20% - Accent5 2 3 5 5" xfId="10411" xr:uid="{00000000-0005-0000-0000-000031080000}"/>
    <cellStyle name="20% - Accent5 2 3 5 6" xfId="27281" xr:uid="{34C5EA7F-720C-4763-A75D-570A187C3350}"/>
    <cellStyle name="20% - Accent5 2 3 6" xfId="2300" xr:uid="{00000000-0005-0000-0000-000032080000}"/>
    <cellStyle name="20% - Accent5 2 3 6 2" xfId="6607" xr:uid="{00000000-0005-0000-0000-000033080000}"/>
    <cellStyle name="20% - Accent5 2 3 6 2 2" xfId="23477" xr:uid="{00000000-0005-0000-0000-000034080000}"/>
    <cellStyle name="20% - Accent5 2 3 6 2 2 2" xfId="40345" xr:uid="{00EAB302-1145-4F58-B0F8-24995E366609}"/>
    <cellStyle name="20% - Accent5 2 3 6 2 3" xfId="15042" xr:uid="{00000000-0005-0000-0000-000035080000}"/>
    <cellStyle name="20% - Accent5 2 3 6 2 4" xfId="31911" xr:uid="{43C100B0-0686-46A8-8A11-6ACAB25EBFB5}"/>
    <cellStyle name="20% - Accent5 2 3 6 3" xfId="19259" xr:uid="{00000000-0005-0000-0000-000036080000}"/>
    <cellStyle name="20% - Accent5 2 3 6 3 2" xfId="36128" xr:uid="{FB44E8EE-79BD-4F5D-A9FF-A5F406256C14}"/>
    <cellStyle name="20% - Accent5 2 3 6 4" xfId="10824" xr:uid="{00000000-0005-0000-0000-000037080000}"/>
    <cellStyle name="20% - Accent5 2 3 6 5" xfId="27694" xr:uid="{A73CCA05-40A6-4230-AA53-2B910077DD29}"/>
    <cellStyle name="20% - Accent5 2 3 7" xfId="4541" xr:uid="{00000000-0005-0000-0000-000038080000}"/>
    <cellStyle name="20% - Accent5 2 3 7 2" xfId="21411" xr:uid="{00000000-0005-0000-0000-000039080000}"/>
    <cellStyle name="20% - Accent5 2 3 7 2 2" xfId="38279" xr:uid="{90ADFEA0-2956-44AF-98C5-1A761AB839BA}"/>
    <cellStyle name="20% - Accent5 2 3 7 3" xfId="12976" xr:uid="{00000000-0005-0000-0000-00003A080000}"/>
    <cellStyle name="20% - Accent5 2 3 7 4" xfId="29845" xr:uid="{E60CC1FD-5267-4C61-A267-D58A2A859182}"/>
    <cellStyle name="20% - Accent5 2 3 8" xfId="17193" xr:uid="{00000000-0005-0000-0000-00003B080000}"/>
    <cellStyle name="20% - Accent5 2 3 8 2" xfId="34062" xr:uid="{03B4EA44-9645-4614-9D61-1D1D3D159031}"/>
    <cellStyle name="20% - Accent5 2 3 9" xfId="8758" xr:uid="{00000000-0005-0000-0000-00003C080000}"/>
    <cellStyle name="20% - Accent5 2 4" xfId="603" xr:uid="{00000000-0005-0000-0000-00003D080000}"/>
    <cellStyle name="20% - Accent5 2 4 2" xfId="2874" xr:uid="{00000000-0005-0000-0000-00003E080000}"/>
    <cellStyle name="20% - Accent5 2 4 2 2" xfId="7097" xr:uid="{00000000-0005-0000-0000-00003F080000}"/>
    <cellStyle name="20% - Accent5 2 4 2 2 2" xfId="23967" xr:uid="{00000000-0005-0000-0000-000040080000}"/>
    <cellStyle name="20% - Accent5 2 4 2 2 2 2" xfId="40835" xr:uid="{ECAAD6D5-6C08-410F-ACF3-C527FA7C3026}"/>
    <cellStyle name="20% - Accent5 2 4 2 2 3" xfId="15532" xr:uid="{00000000-0005-0000-0000-000041080000}"/>
    <cellStyle name="20% - Accent5 2 4 2 2 4" xfId="32401" xr:uid="{D050A576-5848-4942-B66B-CA243447B879}"/>
    <cellStyle name="20% - Accent5 2 4 2 3" xfId="19749" xr:uid="{00000000-0005-0000-0000-000042080000}"/>
    <cellStyle name="20% - Accent5 2 4 2 3 2" xfId="36618" xr:uid="{83C7724B-3AE6-4ECB-A80C-66A7658BF8C7}"/>
    <cellStyle name="20% - Accent5 2 4 2 4" xfId="11314" xr:uid="{00000000-0005-0000-0000-000043080000}"/>
    <cellStyle name="20% - Accent5 2 4 2 5" xfId="28184" xr:uid="{DD134AF8-8839-4550-830E-0DFC5BCEB776}"/>
    <cellStyle name="20% - Accent5 2 4 3" xfId="4952" xr:uid="{00000000-0005-0000-0000-000044080000}"/>
    <cellStyle name="20% - Accent5 2 4 3 2" xfId="21822" xr:uid="{00000000-0005-0000-0000-000045080000}"/>
    <cellStyle name="20% - Accent5 2 4 3 2 2" xfId="38690" xr:uid="{85B3FEAA-6554-4518-BEEA-469B3E016C75}"/>
    <cellStyle name="20% - Accent5 2 4 3 3" xfId="13387" xr:uid="{00000000-0005-0000-0000-000046080000}"/>
    <cellStyle name="20% - Accent5 2 4 3 4" xfId="30256" xr:uid="{F675BD55-9B5A-478D-B5AF-737ACFE22579}"/>
    <cellStyle name="20% - Accent5 2 4 4" xfId="17604" xr:uid="{00000000-0005-0000-0000-000047080000}"/>
    <cellStyle name="20% - Accent5 2 4 4 2" xfId="34473" xr:uid="{62AD8E30-275F-4E8E-9BA9-993E5195B484}"/>
    <cellStyle name="20% - Accent5 2 4 5" xfId="9169" xr:uid="{00000000-0005-0000-0000-000048080000}"/>
    <cellStyle name="20% - Accent5 2 4 6" xfId="26039" xr:uid="{7D72A1E8-5D4D-445F-9E4B-7950B2B0037C}"/>
    <cellStyle name="20% - Accent5 2 5" xfId="1056" xr:uid="{00000000-0005-0000-0000-000049080000}"/>
    <cellStyle name="20% - Accent5 2 5 2" xfId="3287" xr:uid="{00000000-0005-0000-0000-00004A080000}"/>
    <cellStyle name="20% - Accent5 2 5 2 2" xfId="7510" xr:uid="{00000000-0005-0000-0000-00004B080000}"/>
    <cellStyle name="20% - Accent5 2 5 2 2 2" xfId="24380" xr:uid="{00000000-0005-0000-0000-00004C080000}"/>
    <cellStyle name="20% - Accent5 2 5 2 2 2 2" xfId="41248" xr:uid="{C9C38526-1197-4BCB-9953-3F1894C96FDB}"/>
    <cellStyle name="20% - Accent5 2 5 2 2 3" xfId="15945" xr:uid="{00000000-0005-0000-0000-00004D080000}"/>
    <cellStyle name="20% - Accent5 2 5 2 2 4" xfId="32814" xr:uid="{4C77E099-30BA-418A-86D0-71D5A23B3EC2}"/>
    <cellStyle name="20% - Accent5 2 5 2 3" xfId="20162" xr:uid="{00000000-0005-0000-0000-00004E080000}"/>
    <cellStyle name="20% - Accent5 2 5 2 3 2" xfId="37031" xr:uid="{060F1D2F-559E-4453-BE01-B50B56BF50A0}"/>
    <cellStyle name="20% - Accent5 2 5 2 4" xfId="11727" xr:uid="{00000000-0005-0000-0000-00004F080000}"/>
    <cellStyle name="20% - Accent5 2 5 2 5" xfId="28597" xr:uid="{93CCBEAF-E425-4C3E-BE79-2FC84AA71816}"/>
    <cellStyle name="20% - Accent5 2 5 3" xfId="5365" xr:uid="{00000000-0005-0000-0000-000050080000}"/>
    <cellStyle name="20% - Accent5 2 5 3 2" xfId="22235" xr:uid="{00000000-0005-0000-0000-000051080000}"/>
    <cellStyle name="20% - Accent5 2 5 3 2 2" xfId="39103" xr:uid="{4F0F6B38-D2C5-4978-8277-A3E84C91EC1C}"/>
    <cellStyle name="20% - Accent5 2 5 3 3" xfId="13800" xr:uid="{00000000-0005-0000-0000-000052080000}"/>
    <cellStyle name="20% - Accent5 2 5 3 4" xfId="30669" xr:uid="{B8F40F7E-E40F-4B0C-917E-BD24F5E4400A}"/>
    <cellStyle name="20% - Accent5 2 5 4" xfId="18017" xr:uid="{00000000-0005-0000-0000-000053080000}"/>
    <cellStyle name="20% - Accent5 2 5 4 2" xfId="34886" xr:uid="{30D9E846-8CBE-4074-97E9-DB0CCA54AF55}"/>
    <cellStyle name="20% - Accent5 2 5 5" xfId="9582" xr:uid="{00000000-0005-0000-0000-000054080000}"/>
    <cellStyle name="20% - Accent5 2 5 6" xfId="26452" xr:uid="{69F660C2-3DC9-496A-AE52-44D41E2EC2CF}"/>
    <cellStyle name="20% - Accent5 2 6" xfId="1470" xr:uid="{00000000-0005-0000-0000-000055080000}"/>
    <cellStyle name="20% - Accent5 2 6 2" xfId="3700" xr:uid="{00000000-0005-0000-0000-000056080000}"/>
    <cellStyle name="20% - Accent5 2 6 2 2" xfId="7923" xr:uid="{00000000-0005-0000-0000-000057080000}"/>
    <cellStyle name="20% - Accent5 2 6 2 2 2" xfId="24793" xr:uid="{00000000-0005-0000-0000-000058080000}"/>
    <cellStyle name="20% - Accent5 2 6 2 2 2 2" xfId="41661" xr:uid="{BCC1343C-A4BE-4D8B-925B-4329BD1C590B}"/>
    <cellStyle name="20% - Accent5 2 6 2 2 3" xfId="16358" xr:uid="{00000000-0005-0000-0000-000059080000}"/>
    <cellStyle name="20% - Accent5 2 6 2 2 4" xfId="33227" xr:uid="{68AE9802-44A1-4996-AA46-8CBB40B7D440}"/>
    <cellStyle name="20% - Accent5 2 6 2 3" xfId="20575" xr:uid="{00000000-0005-0000-0000-00005A080000}"/>
    <cellStyle name="20% - Accent5 2 6 2 3 2" xfId="37444" xr:uid="{028E2193-EB5C-41F7-A454-612BE5113923}"/>
    <cellStyle name="20% - Accent5 2 6 2 4" xfId="12140" xr:uid="{00000000-0005-0000-0000-00005B080000}"/>
    <cellStyle name="20% - Accent5 2 6 2 5" xfId="29010" xr:uid="{CDEA794A-8F00-42BD-A4F1-DBBDD71C86F4}"/>
    <cellStyle name="20% - Accent5 2 6 3" xfId="5778" xr:uid="{00000000-0005-0000-0000-00005C080000}"/>
    <cellStyle name="20% - Accent5 2 6 3 2" xfId="22648" xr:uid="{00000000-0005-0000-0000-00005D080000}"/>
    <cellStyle name="20% - Accent5 2 6 3 2 2" xfId="39516" xr:uid="{E518CA2C-0ECB-4B27-B7F7-464B5A23A399}"/>
    <cellStyle name="20% - Accent5 2 6 3 3" xfId="14213" xr:uid="{00000000-0005-0000-0000-00005E080000}"/>
    <cellStyle name="20% - Accent5 2 6 3 4" xfId="31082" xr:uid="{840A712D-920D-4E57-9265-B0B9376C6A0D}"/>
    <cellStyle name="20% - Accent5 2 6 4" xfId="18430" xr:uid="{00000000-0005-0000-0000-00005F080000}"/>
    <cellStyle name="20% - Accent5 2 6 4 2" xfId="35299" xr:uid="{74DF039D-8074-4808-A56C-9193D48B2E55}"/>
    <cellStyle name="20% - Accent5 2 6 5" xfId="9995" xr:uid="{00000000-0005-0000-0000-000060080000}"/>
    <cellStyle name="20% - Accent5 2 6 6" xfId="26865" xr:uid="{329BAADA-A69E-43EC-9F96-89C5F55759EB}"/>
    <cellStyle name="20% - Accent5 2 7" xfId="1884" xr:uid="{00000000-0005-0000-0000-000061080000}"/>
    <cellStyle name="20% - Accent5 2 7 2" xfId="4113" xr:uid="{00000000-0005-0000-0000-000062080000}"/>
    <cellStyle name="20% - Accent5 2 7 2 2" xfId="8336" xr:uid="{00000000-0005-0000-0000-000063080000}"/>
    <cellStyle name="20% - Accent5 2 7 2 2 2" xfId="25206" xr:uid="{00000000-0005-0000-0000-000064080000}"/>
    <cellStyle name="20% - Accent5 2 7 2 2 2 2" xfId="42074" xr:uid="{19FEAD34-1FE3-4372-9838-B0C20F4B621B}"/>
    <cellStyle name="20% - Accent5 2 7 2 2 3" xfId="16771" xr:uid="{00000000-0005-0000-0000-000065080000}"/>
    <cellStyle name="20% - Accent5 2 7 2 2 4" xfId="33640" xr:uid="{4A6EA2AA-966D-4F6F-8224-DE89771EBE7A}"/>
    <cellStyle name="20% - Accent5 2 7 2 3" xfId="20988" xr:uid="{00000000-0005-0000-0000-000066080000}"/>
    <cellStyle name="20% - Accent5 2 7 2 3 2" xfId="37857" xr:uid="{3EC8D628-97D2-48FB-A6D7-490D63E92388}"/>
    <cellStyle name="20% - Accent5 2 7 2 4" xfId="12553" xr:uid="{00000000-0005-0000-0000-000067080000}"/>
    <cellStyle name="20% - Accent5 2 7 2 5" xfId="29423" xr:uid="{49002578-AFC7-44F3-960A-311D9FB4ED92}"/>
    <cellStyle name="20% - Accent5 2 7 3" xfId="6191" xr:uid="{00000000-0005-0000-0000-000068080000}"/>
    <cellStyle name="20% - Accent5 2 7 3 2" xfId="23061" xr:uid="{00000000-0005-0000-0000-000069080000}"/>
    <cellStyle name="20% - Accent5 2 7 3 2 2" xfId="39929" xr:uid="{A33A848D-6C12-4AE1-B4A3-37C00FC8F1A9}"/>
    <cellStyle name="20% - Accent5 2 7 3 3" xfId="14626" xr:uid="{00000000-0005-0000-0000-00006A080000}"/>
    <cellStyle name="20% - Accent5 2 7 3 4" xfId="31495" xr:uid="{CF5B959B-3DB6-4C57-A1E9-D39A28DB1FDB}"/>
    <cellStyle name="20% - Accent5 2 7 4" xfId="18843" xr:uid="{00000000-0005-0000-0000-00006B080000}"/>
    <cellStyle name="20% - Accent5 2 7 4 2" xfId="35712" xr:uid="{8EF37697-E398-4A13-AC7F-FDD05E70FFD0}"/>
    <cellStyle name="20% - Accent5 2 7 5" xfId="10408" xr:uid="{00000000-0005-0000-0000-00006C080000}"/>
    <cellStyle name="20% - Accent5 2 7 6" xfId="27278" xr:uid="{44EE0DCF-219C-4D12-A56E-BB1A844B1FBB}"/>
    <cellStyle name="20% - Accent5 2 8" xfId="2297" xr:uid="{00000000-0005-0000-0000-00006D080000}"/>
    <cellStyle name="20% - Accent5 2 8 2" xfId="6604" xr:uid="{00000000-0005-0000-0000-00006E080000}"/>
    <cellStyle name="20% - Accent5 2 8 2 2" xfId="23474" xr:uid="{00000000-0005-0000-0000-00006F080000}"/>
    <cellStyle name="20% - Accent5 2 8 2 2 2" xfId="40342" xr:uid="{7FCC1795-C95B-41AC-BBDE-55FF9C5E5AE3}"/>
    <cellStyle name="20% - Accent5 2 8 2 3" xfId="15039" xr:uid="{00000000-0005-0000-0000-000070080000}"/>
    <cellStyle name="20% - Accent5 2 8 2 4" xfId="31908" xr:uid="{35EE7A00-BF37-405D-962D-97C61E973DFE}"/>
    <cellStyle name="20% - Accent5 2 8 3" xfId="19256" xr:uid="{00000000-0005-0000-0000-000071080000}"/>
    <cellStyle name="20% - Accent5 2 8 3 2" xfId="36125" xr:uid="{02F8170F-8D55-4DD6-9B89-0F7493A9FD83}"/>
    <cellStyle name="20% - Accent5 2 8 4" xfId="10821" xr:uid="{00000000-0005-0000-0000-000072080000}"/>
    <cellStyle name="20% - Accent5 2 8 5" xfId="27691" xr:uid="{C11DC782-20F0-49EB-BA7E-1CDFC465419B}"/>
    <cellStyle name="20% - Accent5 2 9" xfId="4538" xr:uid="{00000000-0005-0000-0000-000073080000}"/>
    <cellStyle name="20% - Accent5 2 9 2" xfId="21408" xr:uid="{00000000-0005-0000-0000-000074080000}"/>
    <cellStyle name="20% - Accent5 2 9 2 2" xfId="38276" xr:uid="{DCCFE6C7-0674-4CEF-8E46-DB340A104507}"/>
    <cellStyle name="20% - Accent5 2 9 3" xfId="12973" xr:uid="{00000000-0005-0000-0000-000075080000}"/>
    <cellStyle name="20% - Accent5 2 9 4" xfId="29842" xr:uid="{58E1C005-801A-41B5-87F0-6AD884D88693}"/>
    <cellStyle name="20% - Accent5 3" xfId="38" xr:uid="{00000000-0005-0000-0000-000076080000}"/>
    <cellStyle name="20% - Accent5 3 10" xfId="8759" xr:uid="{00000000-0005-0000-0000-000077080000}"/>
    <cellStyle name="20% - Accent5 3 11" xfId="25629" xr:uid="{912F5003-A773-4A47-8A73-6E102C2543BF}"/>
    <cellStyle name="20% - Accent5 3 2" xfId="39" xr:uid="{00000000-0005-0000-0000-000078080000}"/>
    <cellStyle name="20% - Accent5 3 2 10" xfId="25630" xr:uid="{5F2C82F4-B78D-4972-85B3-5934738F91A6}"/>
    <cellStyle name="20% - Accent5 3 2 2" xfId="608" xr:uid="{00000000-0005-0000-0000-000079080000}"/>
    <cellStyle name="20% - Accent5 3 2 2 2" xfId="2879" xr:uid="{00000000-0005-0000-0000-00007A080000}"/>
    <cellStyle name="20% - Accent5 3 2 2 2 2" xfId="7102" xr:uid="{00000000-0005-0000-0000-00007B080000}"/>
    <cellStyle name="20% - Accent5 3 2 2 2 2 2" xfId="23972" xr:uid="{00000000-0005-0000-0000-00007C080000}"/>
    <cellStyle name="20% - Accent5 3 2 2 2 2 2 2" xfId="40840" xr:uid="{139F059D-45E9-453B-B5F5-97BCC5AB5DD4}"/>
    <cellStyle name="20% - Accent5 3 2 2 2 2 3" xfId="15537" xr:uid="{00000000-0005-0000-0000-00007D080000}"/>
    <cellStyle name="20% - Accent5 3 2 2 2 2 4" xfId="32406" xr:uid="{D31FEFD1-8039-4CB3-A7BD-C6EDFED9719F}"/>
    <cellStyle name="20% - Accent5 3 2 2 2 3" xfId="19754" xr:uid="{00000000-0005-0000-0000-00007E080000}"/>
    <cellStyle name="20% - Accent5 3 2 2 2 3 2" xfId="36623" xr:uid="{0170A9A0-B8EC-4EEC-8C48-51258F51280A}"/>
    <cellStyle name="20% - Accent5 3 2 2 2 4" xfId="11319" xr:uid="{00000000-0005-0000-0000-00007F080000}"/>
    <cellStyle name="20% - Accent5 3 2 2 2 5" xfId="28189" xr:uid="{B70EF410-8F89-4735-975E-0978B85D8A0E}"/>
    <cellStyle name="20% - Accent5 3 2 2 3" xfId="4957" xr:uid="{00000000-0005-0000-0000-000080080000}"/>
    <cellStyle name="20% - Accent5 3 2 2 3 2" xfId="21827" xr:uid="{00000000-0005-0000-0000-000081080000}"/>
    <cellStyle name="20% - Accent5 3 2 2 3 2 2" xfId="38695" xr:uid="{9E0E0EB5-EE1C-4664-ABCE-9FBACBA8A29C}"/>
    <cellStyle name="20% - Accent5 3 2 2 3 3" xfId="13392" xr:uid="{00000000-0005-0000-0000-000082080000}"/>
    <cellStyle name="20% - Accent5 3 2 2 3 4" xfId="30261" xr:uid="{57185CEA-7C4C-4213-8B21-B7C26B404BA4}"/>
    <cellStyle name="20% - Accent5 3 2 2 4" xfId="17609" xr:uid="{00000000-0005-0000-0000-000083080000}"/>
    <cellStyle name="20% - Accent5 3 2 2 4 2" xfId="34478" xr:uid="{D2EB9985-4E1B-496B-9A34-D455A6EB547B}"/>
    <cellStyle name="20% - Accent5 3 2 2 5" xfId="9174" xr:uid="{00000000-0005-0000-0000-000084080000}"/>
    <cellStyle name="20% - Accent5 3 2 2 6" xfId="26044" xr:uid="{31E3EE51-9F69-47C3-83AD-E8CF87F1CBF6}"/>
    <cellStyle name="20% - Accent5 3 2 3" xfId="1061" xr:uid="{00000000-0005-0000-0000-000085080000}"/>
    <cellStyle name="20% - Accent5 3 2 3 2" xfId="3292" xr:uid="{00000000-0005-0000-0000-000086080000}"/>
    <cellStyle name="20% - Accent5 3 2 3 2 2" xfId="7515" xr:uid="{00000000-0005-0000-0000-000087080000}"/>
    <cellStyle name="20% - Accent5 3 2 3 2 2 2" xfId="24385" xr:uid="{00000000-0005-0000-0000-000088080000}"/>
    <cellStyle name="20% - Accent5 3 2 3 2 2 2 2" xfId="41253" xr:uid="{E4981C08-1E48-4FB7-9005-3D8EA9F73433}"/>
    <cellStyle name="20% - Accent5 3 2 3 2 2 3" xfId="15950" xr:uid="{00000000-0005-0000-0000-000089080000}"/>
    <cellStyle name="20% - Accent5 3 2 3 2 2 4" xfId="32819" xr:uid="{29BFDC25-AB12-4475-B8AF-04BA1AEDE1CC}"/>
    <cellStyle name="20% - Accent5 3 2 3 2 3" xfId="20167" xr:uid="{00000000-0005-0000-0000-00008A080000}"/>
    <cellStyle name="20% - Accent5 3 2 3 2 3 2" xfId="37036" xr:uid="{CFA914C8-B4DA-419A-9A2D-2EE46BCCEF33}"/>
    <cellStyle name="20% - Accent5 3 2 3 2 4" xfId="11732" xr:uid="{00000000-0005-0000-0000-00008B080000}"/>
    <cellStyle name="20% - Accent5 3 2 3 2 5" xfId="28602" xr:uid="{35F53175-36E2-4F67-800A-0DB3AAFDEA9D}"/>
    <cellStyle name="20% - Accent5 3 2 3 3" xfId="5370" xr:uid="{00000000-0005-0000-0000-00008C080000}"/>
    <cellStyle name="20% - Accent5 3 2 3 3 2" xfId="22240" xr:uid="{00000000-0005-0000-0000-00008D080000}"/>
    <cellStyle name="20% - Accent5 3 2 3 3 2 2" xfId="39108" xr:uid="{E982F97B-11DC-4542-84F9-BFDF99AAAB76}"/>
    <cellStyle name="20% - Accent5 3 2 3 3 3" xfId="13805" xr:uid="{00000000-0005-0000-0000-00008E080000}"/>
    <cellStyle name="20% - Accent5 3 2 3 3 4" xfId="30674" xr:uid="{CCD02201-5AB7-4D65-8199-C4CA789F48BB}"/>
    <cellStyle name="20% - Accent5 3 2 3 4" xfId="18022" xr:uid="{00000000-0005-0000-0000-00008F080000}"/>
    <cellStyle name="20% - Accent5 3 2 3 4 2" xfId="34891" xr:uid="{42A41370-7D69-4643-BA8C-E604F58DB2F0}"/>
    <cellStyle name="20% - Accent5 3 2 3 5" xfId="9587" xr:uid="{00000000-0005-0000-0000-000090080000}"/>
    <cellStyle name="20% - Accent5 3 2 3 6" xfId="26457" xr:uid="{73DCBA54-4884-4479-9845-3871C359B1A8}"/>
    <cellStyle name="20% - Accent5 3 2 4" xfId="1475" xr:uid="{00000000-0005-0000-0000-000091080000}"/>
    <cellStyle name="20% - Accent5 3 2 4 2" xfId="3705" xr:uid="{00000000-0005-0000-0000-000092080000}"/>
    <cellStyle name="20% - Accent5 3 2 4 2 2" xfId="7928" xr:uid="{00000000-0005-0000-0000-000093080000}"/>
    <cellStyle name="20% - Accent5 3 2 4 2 2 2" xfId="24798" xr:uid="{00000000-0005-0000-0000-000094080000}"/>
    <cellStyle name="20% - Accent5 3 2 4 2 2 2 2" xfId="41666" xr:uid="{BD9AB17B-6C1F-47FE-8A5C-037BEB0978FB}"/>
    <cellStyle name="20% - Accent5 3 2 4 2 2 3" xfId="16363" xr:uid="{00000000-0005-0000-0000-000095080000}"/>
    <cellStyle name="20% - Accent5 3 2 4 2 2 4" xfId="33232" xr:uid="{3C76A4E7-BE77-4E51-A6D3-E959832C5EB2}"/>
    <cellStyle name="20% - Accent5 3 2 4 2 3" xfId="20580" xr:uid="{00000000-0005-0000-0000-000096080000}"/>
    <cellStyle name="20% - Accent5 3 2 4 2 3 2" xfId="37449" xr:uid="{A59DA8C3-FC1F-48EB-87DB-FA9219920535}"/>
    <cellStyle name="20% - Accent5 3 2 4 2 4" xfId="12145" xr:uid="{00000000-0005-0000-0000-000097080000}"/>
    <cellStyle name="20% - Accent5 3 2 4 2 5" xfId="29015" xr:uid="{5E883C20-8A9E-4B88-B6F4-E4CD8B833DBF}"/>
    <cellStyle name="20% - Accent5 3 2 4 3" xfId="5783" xr:uid="{00000000-0005-0000-0000-000098080000}"/>
    <cellStyle name="20% - Accent5 3 2 4 3 2" xfId="22653" xr:uid="{00000000-0005-0000-0000-000099080000}"/>
    <cellStyle name="20% - Accent5 3 2 4 3 2 2" xfId="39521" xr:uid="{20D25029-05FF-408D-A92F-BB14153F816F}"/>
    <cellStyle name="20% - Accent5 3 2 4 3 3" xfId="14218" xr:uid="{00000000-0005-0000-0000-00009A080000}"/>
    <cellStyle name="20% - Accent5 3 2 4 3 4" xfId="31087" xr:uid="{1BCC1647-9325-41EC-8E4C-D371EA7AF37D}"/>
    <cellStyle name="20% - Accent5 3 2 4 4" xfId="18435" xr:uid="{00000000-0005-0000-0000-00009B080000}"/>
    <cellStyle name="20% - Accent5 3 2 4 4 2" xfId="35304" xr:uid="{6B9B079C-0934-4DD1-8821-D15B680DF164}"/>
    <cellStyle name="20% - Accent5 3 2 4 5" xfId="10000" xr:uid="{00000000-0005-0000-0000-00009C080000}"/>
    <cellStyle name="20% - Accent5 3 2 4 6" xfId="26870" xr:uid="{82F199B7-6589-4726-B0CF-8C87D7B27E44}"/>
    <cellStyle name="20% - Accent5 3 2 5" xfId="1889" xr:uid="{00000000-0005-0000-0000-00009D080000}"/>
    <cellStyle name="20% - Accent5 3 2 5 2" xfId="4118" xr:uid="{00000000-0005-0000-0000-00009E080000}"/>
    <cellStyle name="20% - Accent5 3 2 5 2 2" xfId="8341" xr:uid="{00000000-0005-0000-0000-00009F080000}"/>
    <cellStyle name="20% - Accent5 3 2 5 2 2 2" xfId="25211" xr:uid="{00000000-0005-0000-0000-0000A0080000}"/>
    <cellStyle name="20% - Accent5 3 2 5 2 2 2 2" xfId="42079" xr:uid="{E82037D6-D24C-474E-BB59-3986A99395A3}"/>
    <cellStyle name="20% - Accent5 3 2 5 2 2 3" xfId="16776" xr:uid="{00000000-0005-0000-0000-0000A1080000}"/>
    <cellStyle name="20% - Accent5 3 2 5 2 2 4" xfId="33645" xr:uid="{441690FE-54DC-49D5-9C17-B1A8AC92AA3D}"/>
    <cellStyle name="20% - Accent5 3 2 5 2 3" xfId="20993" xr:uid="{00000000-0005-0000-0000-0000A2080000}"/>
    <cellStyle name="20% - Accent5 3 2 5 2 3 2" xfId="37862" xr:uid="{DC435E1B-2BA4-4B11-A4C6-7AB3C0A7005D}"/>
    <cellStyle name="20% - Accent5 3 2 5 2 4" xfId="12558" xr:uid="{00000000-0005-0000-0000-0000A3080000}"/>
    <cellStyle name="20% - Accent5 3 2 5 2 5" xfId="29428" xr:uid="{F4B31D43-429C-40E2-B9D0-88BB838C1DD8}"/>
    <cellStyle name="20% - Accent5 3 2 5 3" xfId="6196" xr:uid="{00000000-0005-0000-0000-0000A4080000}"/>
    <cellStyle name="20% - Accent5 3 2 5 3 2" xfId="23066" xr:uid="{00000000-0005-0000-0000-0000A5080000}"/>
    <cellStyle name="20% - Accent5 3 2 5 3 2 2" xfId="39934" xr:uid="{C0D5B0AF-17ED-4A1C-A0D8-1675066DCF33}"/>
    <cellStyle name="20% - Accent5 3 2 5 3 3" xfId="14631" xr:uid="{00000000-0005-0000-0000-0000A6080000}"/>
    <cellStyle name="20% - Accent5 3 2 5 3 4" xfId="31500" xr:uid="{4FF039F1-9394-4F91-97A9-7D4AA98C36FE}"/>
    <cellStyle name="20% - Accent5 3 2 5 4" xfId="18848" xr:uid="{00000000-0005-0000-0000-0000A7080000}"/>
    <cellStyle name="20% - Accent5 3 2 5 4 2" xfId="35717" xr:uid="{F3A54C07-B590-4200-84A2-81491ADF541C}"/>
    <cellStyle name="20% - Accent5 3 2 5 5" xfId="10413" xr:uid="{00000000-0005-0000-0000-0000A8080000}"/>
    <cellStyle name="20% - Accent5 3 2 5 6" xfId="27283" xr:uid="{65508AA7-8D2E-4C0B-BC77-86C115153AAB}"/>
    <cellStyle name="20% - Accent5 3 2 6" xfId="2302" xr:uid="{00000000-0005-0000-0000-0000A9080000}"/>
    <cellStyle name="20% - Accent5 3 2 6 2" xfId="6609" xr:uid="{00000000-0005-0000-0000-0000AA080000}"/>
    <cellStyle name="20% - Accent5 3 2 6 2 2" xfId="23479" xr:uid="{00000000-0005-0000-0000-0000AB080000}"/>
    <cellStyle name="20% - Accent5 3 2 6 2 2 2" xfId="40347" xr:uid="{53F8FE45-8BDF-4A2B-9EC9-CB111C680120}"/>
    <cellStyle name="20% - Accent5 3 2 6 2 3" xfId="15044" xr:uid="{00000000-0005-0000-0000-0000AC080000}"/>
    <cellStyle name="20% - Accent5 3 2 6 2 4" xfId="31913" xr:uid="{97FF54C6-C7C0-4411-B31E-0BA73A15A9E0}"/>
    <cellStyle name="20% - Accent5 3 2 6 3" xfId="19261" xr:uid="{00000000-0005-0000-0000-0000AD080000}"/>
    <cellStyle name="20% - Accent5 3 2 6 3 2" xfId="36130" xr:uid="{4A34E02E-2F3C-4427-A7D8-4BA6A680B47B}"/>
    <cellStyle name="20% - Accent5 3 2 6 4" xfId="10826" xr:uid="{00000000-0005-0000-0000-0000AE080000}"/>
    <cellStyle name="20% - Accent5 3 2 6 5" xfId="27696" xr:uid="{A6A00AA5-7F3B-4253-81E4-ABC25E3D69F4}"/>
    <cellStyle name="20% - Accent5 3 2 7" xfId="4543" xr:uid="{00000000-0005-0000-0000-0000AF080000}"/>
    <cellStyle name="20% - Accent5 3 2 7 2" xfId="21413" xr:uid="{00000000-0005-0000-0000-0000B0080000}"/>
    <cellStyle name="20% - Accent5 3 2 7 2 2" xfId="38281" xr:uid="{15356895-31AF-4C28-9D04-0F11B91E2728}"/>
    <cellStyle name="20% - Accent5 3 2 7 3" xfId="12978" xr:uid="{00000000-0005-0000-0000-0000B1080000}"/>
    <cellStyle name="20% - Accent5 3 2 7 4" xfId="29847" xr:uid="{9B909DC7-7C33-4884-B6B0-10629E8FBDCD}"/>
    <cellStyle name="20% - Accent5 3 2 8" xfId="17195" xr:uid="{00000000-0005-0000-0000-0000B2080000}"/>
    <cellStyle name="20% - Accent5 3 2 8 2" xfId="34064" xr:uid="{F0C83F1F-1A09-49D9-A2D4-7FC9E835C099}"/>
    <cellStyle name="20% - Accent5 3 2 9" xfId="8760" xr:uid="{00000000-0005-0000-0000-0000B3080000}"/>
    <cellStyle name="20% - Accent5 3 3" xfId="607" xr:uid="{00000000-0005-0000-0000-0000B4080000}"/>
    <cellStyle name="20% - Accent5 3 3 2" xfId="2878" xr:uid="{00000000-0005-0000-0000-0000B5080000}"/>
    <cellStyle name="20% - Accent5 3 3 2 2" xfId="7101" xr:uid="{00000000-0005-0000-0000-0000B6080000}"/>
    <cellStyle name="20% - Accent5 3 3 2 2 2" xfId="23971" xr:uid="{00000000-0005-0000-0000-0000B7080000}"/>
    <cellStyle name="20% - Accent5 3 3 2 2 2 2" xfId="40839" xr:uid="{203209A5-79E6-48E4-A7DB-9AF7300B3AC7}"/>
    <cellStyle name="20% - Accent5 3 3 2 2 3" xfId="15536" xr:uid="{00000000-0005-0000-0000-0000B8080000}"/>
    <cellStyle name="20% - Accent5 3 3 2 2 4" xfId="32405" xr:uid="{1C4B55C2-A2B6-4D0D-BE32-5DC633F48FEC}"/>
    <cellStyle name="20% - Accent5 3 3 2 3" xfId="19753" xr:uid="{00000000-0005-0000-0000-0000B9080000}"/>
    <cellStyle name="20% - Accent5 3 3 2 3 2" xfId="36622" xr:uid="{D813BE0F-70D3-44D3-A4FB-BF0EFCC8E81D}"/>
    <cellStyle name="20% - Accent5 3 3 2 4" xfId="11318" xr:uid="{00000000-0005-0000-0000-0000BA080000}"/>
    <cellStyle name="20% - Accent5 3 3 2 5" xfId="28188" xr:uid="{9E767222-F989-4384-A88E-23B408CA2576}"/>
    <cellStyle name="20% - Accent5 3 3 3" xfId="4956" xr:uid="{00000000-0005-0000-0000-0000BB080000}"/>
    <cellStyle name="20% - Accent5 3 3 3 2" xfId="21826" xr:uid="{00000000-0005-0000-0000-0000BC080000}"/>
    <cellStyle name="20% - Accent5 3 3 3 2 2" xfId="38694" xr:uid="{83CF3530-A17E-4C3E-9DB6-F81908D09BF9}"/>
    <cellStyle name="20% - Accent5 3 3 3 3" xfId="13391" xr:uid="{00000000-0005-0000-0000-0000BD080000}"/>
    <cellStyle name="20% - Accent5 3 3 3 4" xfId="30260" xr:uid="{1FA0227A-1494-464E-B1FD-F8A9C8E2E769}"/>
    <cellStyle name="20% - Accent5 3 3 4" xfId="17608" xr:uid="{00000000-0005-0000-0000-0000BE080000}"/>
    <cellStyle name="20% - Accent5 3 3 4 2" xfId="34477" xr:uid="{61236E87-D964-4152-AA78-6046D2328231}"/>
    <cellStyle name="20% - Accent5 3 3 5" xfId="9173" xr:uid="{00000000-0005-0000-0000-0000BF080000}"/>
    <cellStyle name="20% - Accent5 3 3 6" xfId="26043" xr:uid="{508C988C-EAE3-4AAA-A4BD-2035BF203D61}"/>
    <cellStyle name="20% - Accent5 3 4" xfId="1060" xr:uid="{00000000-0005-0000-0000-0000C0080000}"/>
    <cellStyle name="20% - Accent5 3 4 2" xfId="3291" xr:uid="{00000000-0005-0000-0000-0000C1080000}"/>
    <cellStyle name="20% - Accent5 3 4 2 2" xfId="7514" xr:uid="{00000000-0005-0000-0000-0000C2080000}"/>
    <cellStyle name="20% - Accent5 3 4 2 2 2" xfId="24384" xr:uid="{00000000-0005-0000-0000-0000C3080000}"/>
    <cellStyle name="20% - Accent5 3 4 2 2 2 2" xfId="41252" xr:uid="{19AC0261-B319-4FD2-A12A-C691FD181DA8}"/>
    <cellStyle name="20% - Accent5 3 4 2 2 3" xfId="15949" xr:uid="{00000000-0005-0000-0000-0000C4080000}"/>
    <cellStyle name="20% - Accent5 3 4 2 2 4" xfId="32818" xr:uid="{7CC5960D-8D98-4C5F-AB5D-5C20C110D2A3}"/>
    <cellStyle name="20% - Accent5 3 4 2 3" xfId="20166" xr:uid="{00000000-0005-0000-0000-0000C5080000}"/>
    <cellStyle name="20% - Accent5 3 4 2 3 2" xfId="37035" xr:uid="{6083F2E3-C6D0-4562-A8DE-F6162DDD4BA9}"/>
    <cellStyle name="20% - Accent5 3 4 2 4" xfId="11731" xr:uid="{00000000-0005-0000-0000-0000C6080000}"/>
    <cellStyle name="20% - Accent5 3 4 2 5" xfId="28601" xr:uid="{BD3CDD84-A7AE-49EF-829A-A309B2CECB20}"/>
    <cellStyle name="20% - Accent5 3 4 3" xfId="5369" xr:uid="{00000000-0005-0000-0000-0000C7080000}"/>
    <cellStyle name="20% - Accent5 3 4 3 2" xfId="22239" xr:uid="{00000000-0005-0000-0000-0000C8080000}"/>
    <cellStyle name="20% - Accent5 3 4 3 2 2" xfId="39107" xr:uid="{BAB10058-CA2F-4D09-BCDF-B69544147EDE}"/>
    <cellStyle name="20% - Accent5 3 4 3 3" xfId="13804" xr:uid="{00000000-0005-0000-0000-0000C9080000}"/>
    <cellStyle name="20% - Accent5 3 4 3 4" xfId="30673" xr:uid="{39416D4F-C083-4F56-B95F-5B847108BF97}"/>
    <cellStyle name="20% - Accent5 3 4 4" xfId="18021" xr:uid="{00000000-0005-0000-0000-0000CA080000}"/>
    <cellStyle name="20% - Accent5 3 4 4 2" xfId="34890" xr:uid="{236E9068-D616-49D1-B037-BFA9E60A9AED}"/>
    <cellStyle name="20% - Accent5 3 4 5" xfId="9586" xr:uid="{00000000-0005-0000-0000-0000CB080000}"/>
    <cellStyle name="20% - Accent5 3 4 6" xfId="26456" xr:uid="{2DCAEE8B-0F51-4A04-B579-6D3DA9F9315C}"/>
    <cellStyle name="20% - Accent5 3 5" xfId="1474" xr:uid="{00000000-0005-0000-0000-0000CC080000}"/>
    <cellStyle name="20% - Accent5 3 5 2" xfId="3704" xr:uid="{00000000-0005-0000-0000-0000CD080000}"/>
    <cellStyle name="20% - Accent5 3 5 2 2" xfId="7927" xr:uid="{00000000-0005-0000-0000-0000CE080000}"/>
    <cellStyle name="20% - Accent5 3 5 2 2 2" xfId="24797" xr:uid="{00000000-0005-0000-0000-0000CF080000}"/>
    <cellStyle name="20% - Accent5 3 5 2 2 2 2" xfId="41665" xr:uid="{060111BC-3752-4ED2-B4BA-544BB45B9BBC}"/>
    <cellStyle name="20% - Accent5 3 5 2 2 3" xfId="16362" xr:uid="{00000000-0005-0000-0000-0000D0080000}"/>
    <cellStyle name="20% - Accent5 3 5 2 2 4" xfId="33231" xr:uid="{2AAC7AEE-FCF0-488C-B858-33F63564D4C8}"/>
    <cellStyle name="20% - Accent5 3 5 2 3" xfId="20579" xr:uid="{00000000-0005-0000-0000-0000D1080000}"/>
    <cellStyle name="20% - Accent5 3 5 2 3 2" xfId="37448" xr:uid="{BD85D4E6-3DE1-4D65-9DD2-6616D203FE59}"/>
    <cellStyle name="20% - Accent5 3 5 2 4" xfId="12144" xr:uid="{00000000-0005-0000-0000-0000D2080000}"/>
    <cellStyle name="20% - Accent5 3 5 2 5" xfId="29014" xr:uid="{7323BA73-169D-436E-878B-AF5497168141}"/>
    <cellStyle name="20% - Accent5 3 5 3" xfId="5782" xr:uid="{00000000-0005-0000-0000-0000D3080000}"/>
    <cellStyle name="20% - Accent5 3 5 3 2" xfId="22652" xr:uid="{00000000-0005-0000-0000-0000D4080000}"/>
    <cellStyle name="20% - Accent5 3 5 3 2 2" xfId="39520" xr:uid="{58034AC0-4FA8-4F39-BAAE-D4E37AFFDDAF}"/>
    <cellStyle name="20% - Accent5 3 5 3 3" xfId="14217" xr:uid="{00000000-0005-0000-0000-0000D5080000}"/>
    <cellStyle name="20% - Accent5 3 5 3 4" xfId="31086" xr:uid="{6F8F2F85-A607-4625-83CB-5DBD39E47ABB}"/>
    <cellStyle name="20% - Accent5 3 5 4" xfId="18434" xr:uid="{00000000-0005-0000-0000-0000D6080000}"/>
    <cellStyle name="20% - Accent5 3 5 4 2" xfId="35303" xr:uid="{9BD94D22-A1BB-47FB-BC54-0C97CBD0A1DE}"/>
    <cellStyle name="20% - Accent5 3 5 5" xfId="9999" xr:uid="{00000000-0005-0000-0000-0000D7080000}"/>
    <cellStyle name="20% - Accent5 3 5 6" xfId="26869" xr:uid="{0B520E8F-E7B6-455E-9801-4F2D09A48856}"/>
    <cellStyle name="20% - Accent5 3 6" xfId="1888" xr:uid="{00000000-0005-0000-0000-0000D8080000}"/>
    <cellStyle name="20% - Accent5 3 6 2" xfId="4117" xr:uid="{00000000-0005-0000-0000-0000D9080000}"/>
    <cellStyle name="20% - Accent5 3 6 2 2" xfId="8340" xr:uid="{00000000-0005-0000-0000-0000DA080000}"/>
    <cellStyle name="20% - Accent5 3 6 2 2 2" xfId="25210" xr:uid="{00000000-0005-0000-0000-0000DB080000}"/>
    <cellStyle name="20% - Accent5 3 6 2 2 2 2" xfId="42078" xr:uid="{DF38AF15-CDBB-4409-9875-8C1678228A50}"/>
    <cellStyle name="20% - Accent5 3 6 2 2 3" xfId="16775" xr:uid="{00000000-0005-0000-0000-0000DC080000}"/>
    <cellStyle name="20% - Accent5 3 6 2 2 4" xfId="33644" xr:uid="{39A93E63-4E58-408A-A820-E25D99FAF13F}"/>
    <cellStyle name="20% - Accent5 3 6 2 3" xfId="20992" xr:uid="{00000000-0005-0000-0000-0000DD080000}"/>
    <cellStyle name="20% - Accent5 3 6 2 3 2" xfId="37861" xr:uid="{FEA90332-8EEB-4A47-8E4A-BB1DCFD410A8}"/>
    <cellStyle name="20% - Accent5 3 6 2 4" xfId="12557" xr:uid="{00000000-0005-0000-0000-0000DE080000}"/>
    <cellStyle name="20% - Accent5 3 6 2 5" xfId="29427" xr:uid="{28A0C2F3-C3A2-45B9-B748-18533117FD0C}"/>
    <cellStyle name="20% - Accent5 3 6 3" xfId="6195" xr:uid="{00000000-0005-0000-0000-0000DF080000}"/>
    <cellStyle name="20% - Accent5 3 6 3 2" xfId="23065" xr:uid="{00000000-0005-0000-0000-0000E0080000}"/>
    <cellStyle name="20% - Accent5 3 6 3 2 2" xfId="39933" xr:uid="{05E04E40-A320-4074-B824-48B1E71F7401}"/>
    <cellStyle name="20% - Accent5 3 6 3 3" xfId="14630" xr:uid="{00000000-0005-0000-0000-0000E1080000}"/>
    <cellStyle name="20% - Accent5 3 6 3 4" xfId="31499" xr:uid="{07B3B9CB-D8EF-4BBB-BCF5-86ECC917F048}"/>
    <cellStyle name="20% - Accent5 3 6 4" xfId="18847" xr:uid="{00000000-0005-0000-0000-0000E2080000}"/>
    <cellStyle name="20% - Accent5 3 6 4 2" xfId="35716" xr:uid="{9B4BD495-2E51-46F9-8B26-3764AD032653}"/>
    <cellStyle name="20% - Accent5 3 6 5" xfId="10412" xr:uid="{00000000-0005-0000-0000-0000E3080000}"/>
    <cellStyle name="20% - Accent5 3 6 6" xfId="27282" xr:uid="{1B7E6E47-7CA8-4FCF-BC34-A4B7AB06EF58}"/>
    <cellStyle name="20% - Accent5 3 7" xfId="2301" xr:uid="{00000000-0005-0000-0000-0000E4080000}"/>
    <cellStyle name="20% - Accent5 3 7 2" xfId="6608" xr:uid="{00000000-0005-0000-0000-0000E5080000}"/>
    <cellStyle name="20% - Accent5 3 7 2 2" xfId="23478" xr:uid="{00000000-0005-0000-0000-0000E6080000}"/>
    <cellStyle name="20% - Accent5 3 7 2 2 2" xfId="40346" xr:uid="{891CDBF3-A87B-4A38-86B6-214D79FB06B0}"/>
    <cellStyle name="20% - Accent5 3 7 2 3" xfId="15043" xr:uid="{00000000-0005-0000-0000-0000E7080000}"/>
    <cellStyle name="20% - Accent5 3 7 2 4" xfId="31912" xr:uid="{D38B4AD0-252B-4DC6-A938-70076BEBDCBE}"/>
    <cellStyle name="20% - Accent5 3 7 3" xfId="19260" xr:uid="{00000000-0005-0000-0000-0000E8080000}"/>
    <cellStyle name="20% - Accent5 3 7 3 2" xfId="36129" xr:uid="{0D39E851-A4E0-462A-812A-C396E45A4DC1}"/>
    <cellStyle name="20% - Accent5 3 7 4" xfId="10825" xr:uid="{00000000-0005-0000-0000-0000E9080000}"/>
    <cellStyle name="20% - Accent5 3 7 5" xfId="27695" xr:uid="{CCBC9958-1ED7-45A3-8C98-DBCE87FF9B69}"/>
    <cellStyle name="20% - Accent5 3 8" xfId="4542" xr:uid="{00000000-0005-0000-0000-0000EA080000}"/>
    <cellStyle name="20% - Accent5 3 8 2" xfId="21412" xr:uid="{00000000-0005-0000-0000-0000EB080000}"/>
    <cellStyle name="20% - Accent5 3 8 2 2" xfId="38280" xr:uid="{D41B979C-ACC9-47FD-94B9-F13BD5880F3B}"/>
    <cellStyle name="20% - Accent5 3 8 3" xfId="12977" xr:uid="{00000000-0005-0000-0000-0000EC080000}"/>
    <cellStyle name="20% - Accent5 3 8 4" xfId="29846" xr:uid="{7212C689-B9CE-4BC0-AD14-7D6D7500BE56}"/>
    <cellStyle name="20% - Accent5 3 9" xfId="17194" xr:uid="{00000000-0005-0000-0000-0000ED080000}"/>
    <cellStyle name="20% - Accent5 3 9 2" xfId="34063" xr:uid="{28FF775F-B942-4588-BEEA-F712BA1A0C09}"/>
    <cellStyle name="20% - Accent5 4" xfId="40" xr:uid="{00000000-0005-0000-0000-0000EE080000}"/>
    <cellStyle name="20% - Accent5 4 10" xfId="25631" xr:uid="{B3E28E45-9D59-461E-9179-20FC1484FE00}"/>
    <cellStyle name="20% - Accent5 4 2" xfId="609" xr:uid="{00000000-0005-0000-0000-0000EF080000}"/>
    <cellStyle name="20% - Accent5 4 2 2" xfId="2880" xr:uid="{00000000-0005-0000-0000-0000F0080000}"/>
    <cellStyle name="20% - Accent5 4 2 2 2" xfId="7103" xr:uid="{00000000-0005-0000-0000-0000F1080000}"/>
    <cellStyle name="20% - Accent5 4 2 2 2 2" xfId="23973" xr:uid="{00000000-0005-0000-0000-0000F2080000}"/>
    <cellStyle name="20% - Accent5 4 2 2 2 2 2" xfId="40841" xr:uid="{C4BFFB3E-F6D0-4DCA-9DA6-F5012F82ACF5}"/>
    <cellStyle name="20% - Accent5 4 2 2 2 3" xfId="15538" xr:uid="{00000000-0005-0000-0000-0000F3080000}"/>
    <cellStyle name="20% - Accent5 4 2 2 2 4" xfId="32407" xr:uid="{97F427E6-EE7E-485F-8917-E93756C8DD4C}"/>
    <cellStyle name="20% - Accent5 4 2 2 3" xfId="19755" xr:uid="{00000000-0005-0000-0000-0000F4080000}"/>
    <cellStyle name="20% - Accent5 4 2 2 3 2" xfId="36624" xr:uid="{D861EA4F-0A2B-4C80-8BB4-EEF7BF5F8FCF}"/>
    <cellStyle name="20% - Accent5 4 2 2 4" xfId="11320" xr:uid="{00000000-0005-0000-0000-0000F5080000}"/>
    <cellStyle name="20% - Accent5 4 2 2 5" xfId="28190" xr:uid="{66E83598-2EE5-46E8-B75E-CCD84F816694}"/>
    <cellStyle name="20% - Accent5 4 2 3" xfId="4958" xr:uid="{00000000-0005-0000-0000-0000F6080000}"/>
    <cellStyle name="20% - Accent5 4 2 3 2" xfId="21828" xr:uid="{00000000-0005-0000-0000-0000F7080000}"/>
    <cellStyle name="20% - Accent5 4 2 3 2 2" xfId="38696" xr:uid="{572139FD-6C56-4E68-91EC-A5A2558F1494}"/>
    <cellStyle name="20% - Accent5 4 2 3 3" xfId="13393" xr:uid="{00000000-0005-0000-0000-0000F8080000}"/>
    <cellStyle name="20% - Accent5 4 2 3 4" xfId="30262" xr:uid="{3A3F4518-875F-46A3-9E48-48AE6D473B23}"/>
    <cellStyle name="20% - Accent5 4 2 4" xfId="17610" xr:uid="{00000000-0005-0000-0000-0000F9080000}"/>
    <cellStyle name="20% - Accent5 4 2 4 2" xfId="34479" xr:uid="{770A1655-6760-4E89-BBB6-11720525697C}"/>
    <cellStyle name="20% - Accent5 4 2 5" xfId="9175" xr:uid="{00000000-0005-0000-0000-0000FA080000}"/>
    <cellStyle name="20% - Accent5 4 2 6" xfId="26045" xr:uid="{62DBDA17-DA9B-4526-ADC8-89BFB85FDD4E}"/>
    <cellStyle name="20% - Accent5 4 3" xfId="1062" xr:uid="{00000000-0005-0000-0000-0000FB080000}"/>
    <cellStyle name="20% - Accent5 4 3 2" xfId="3293" xr:uid="{00000000-0005-0000-0000-0000FC080000}"/>
    <cellStyle name="20% - Accent5 4 3 2 2" xfId="7516" xr:uid="{00000000-0005-0000-0000-0000FD080000}"/>
    <cellStyle name="20% - Accent5 4 3 2 2 2" xfId="24386" xr:uid="{00000000-0005-0000-0000-0000FE080000}"/>
    <cellStyle name="20% - Accent5 4 3 2 2 2 2" xfId="41254" xr:uid="{776218E9-E313-4D43-979A-6DA103146D98}"/>
    <cellStyle name="20% - Accent5 4 3 2 2 3" xfId="15951" xr:uid="{00000000-0005-0000-0000-0000FF080000}"/>
    <cellStyle name="20% - Accent5 4 3 2 2 4" xfId="32820" xr:uid="{B3B3C8CA-F93D-4D78-A7F8-1DA2DF4EE12E}"/>
    <cellStyle name="20% - Accent5 4 3 2 3" xfId="20168" xr:uid="{00000000-0005-0000-0000-000000090000}"/>
    <cellStyle name="20% - Accent5 4 3 2 3 2" xfId="37037" xr:uid="{71FEBE79-4DE6-4EAA-A3CF-9634C84A2113}"/>
    <cellStyle name="20% - Accent5 4 3 2 4" xfId="11733" xr:uid="{00000000-0005-0000-0000-000001090000}"/>
    <cellStyle name="20% - Accent5 4 3 2 5" xfId="28603" xr:uid="{3BAB5490-619D-4890-9E68-3EC9D4D32934}"/>
    <cellStyle name="20% - Accent5 4 3 3" xfId="5371" xr:uid="{00000000-0005-0000-0000-000002090000}"/>
    <cellStyle name="20% - Accent5 4 3 3 2" xfId="22241" xr:uid="{00000000-0005-0000-0000-000003090000}"/>
    <cellStyle name="20% - Accent5 4 3 3 2 2" xfId="39109" xr:uid="{7F19CCD7-06AF-4550-85A7-50F423BA327D}"/>
    <cellStyle name="20% - Accent5 4 3 3 3" xfId="13806" xr:uid="{00000000-0005-0000-0000-000004090000}"/>
    <cellStyle name="20% - Accent5 4 3 3 4" xfId="30675" xr:uid="{036D3780-0D55-4F6D-8718-0EDB9D741B18}"/>
    <cellStyle name="20% - Accent5 4 3 4" xfId="18023" xr:uid="{00000000-0005-0000-0000-000005090000}"/>
    <cellStyle name="20% - Accent5 4 3 4 2" xfId="34892" xr:uid="{74B0FB4F-3ABA-4874-BFBB-6766696982C7}"/>
    <cellStyle name="20% - Accent5 4 3 5" xfId="9588" xr:uid="{00000000-0005-0000-0000-000006090000}"/>
    <cellStyle name="20% - Accent5 4 3 6" xfId="26458" xr:uid="{DE1673C5-AD60-4394-8067-DA473DB10F47}"/>
    <cellStyle name="20% - Accent5 4 4" xfId="1476" xr:uid="{00000000-0005-0000-0000-000007090000}"/>
    <cellStyle name="20% - Accent5 4 4 2" xfId="3706" xr:uid="{00000000-0005-0000-0000-000008090000}"/>
    <cellStyle name="20% - Accent5 4 4 2 2" xfId="7929" xr:uid="{00000000-0005-0000-0000-000009090000}"/>
    <cellStyle name="20% - Accent5 4 4 2 2 2" xfId="24799" xr:uid="{00000000-0005-0000-0000-00000A090000}"/>
    <cellStyle name="20% - Accent5 4 4 2 2 2 2" xfId="41667" xr:uid="{A6BABA22-D262-47BF-AA36-030DA5DF7474}"/>
    <cellStyle name="20% - Accent5 4 4 2 2 3" xfId="16364" xr:uid="{00000000-0005-0000-0000-00000B090000}"/>
    <cellStyle name="20% - Accent5 4 4 2 2 4" xfId="33233" xr:uid="{34A9ED9C-79F2-4B41-AAC4-3E65976FA2C3}"/>
    <cellStyle name="20% - Accent5 4 4 2 3" xfId="20581" xr:uid="{00000000-0005-0000-0000-00000C090000}"/>
    <cellStyle name="20% - Accent5 4 4 2 3 2" xfId="37450" xr:uid="{51A5952B-908D-4F58-A111-03A8DC56C42E}"/>
    <cellStyle name="20% - Accent5 4 4 2 4" xfId="12146" xr:uid="{00000000-0005-0000-0000-00000D090000}"/>
    <cellStyle name="20% - Accent5 4 4 2 5" xfId="29016" xr:uid="{7D3B1772-A185-496E-8BE5-1E3A1B912DCA}"/>
    <cellStyle name="20% - Accent5 4 4 3" xfId="5784" xr:uid="{00000000-0005-0000-0000-00000E090000}"/>
    <cellStyle name="20% - Accent5 4 4 3 2" xfId="22654" xr:uid="{00000000-0005-0000-0000-00000F090000}"/>
    <cellStyle name="20% - Accent5 4 4 3 2 2" xfId="39522" xr:uid="{765E9528-37C9-4396-982E-430A4304A8AC}"/>
    <cellStyle name="20% - Accent5 4 4 3 3" xfId="14219" xr:uid="{00000000-0005-0000-0000-000010090000}"/>
    <cellStyle name="20% - Accent5 4 4 3 4" xfId="31088" xr:uid="{6A867903-AF25-4CE1-A909-C2FC0653AC27}"/>
    <cellStyle name="20% - Accent5 4 4 4" xfId="18436" xr:uid="{00000000-0005-0000-0000-000011090000}"/>
    <cellStyle name="20% - Accent5 4 4 4 2" xfId="35305" xr:uid="{73F72CE4-2CD4-4297-9E3E-82F5D28E88E2}"/>
    <cellStyle name="20% - Accent5 4 4 5" xfId="10001" xr:uid="{00000000-0005-0000-0000-000012090000}"/>
    <cellStyle name="20% - Accent5 4 4 6" xfId="26871" xr:uid="{BFC2050F-785D-458B-BB16-48E23924E7D2}"/>
    <cellStyle name="20% - Accent5 4 5" xfId="1890" xr:uid="{00000000-0005-0000-0000-000013090000}"/>
    <cellStyle name="20% - Accent5 4 5 2" xfId="4119" xr:uid="{00000000-0005-0000-0000-000014090000}"/>
    <cellStyle name="20% - Accent5 4 5 2 2" xfId="8342" xr:uid="{00000000-0005-0000-0000-000015090000}"/>
    <cellStyle name="20% - Accent5 4 5 2 2 2" xfId="25212" xr:uid="{00000000-0005-0000-0000-000016090000}"/>
    <cellStyle name="20% - Accent5 4 5 2 2 2 2" xfId="42080" xr:uid="{0F1B8D4F-50DD-4F94-9C3E-CA993C6ED779}"/>
    <cellStyle name="20% - Accent5 4 5 2 2 3" xfId="16777" xr:uid="{00000000-0005-0000-0000-000017090000}"/>
    <cellStyle name="20% - Accent5 4 5 2 2 4" xfId="33646" xr:uid="{26F83BF5-A542-42BE-A574-9FA27AEAE180}"/>
    <cellStyle name="20% - Accent5 4 5 2 3" xfId="20994" xr:uid="{00000000-0005-0000-0000-000018090000}"/>
    <cellStyle name="20% - Accent5 4 5 2 3 2" xfId="37863" xr:uid="{8841AA2C-C623-4A7F-B287-FDA4FCB8BE43}"/>
    <cellStyle name="20% - Accent5 4 5 2 4" xfId="12559" xr:uid="{00000000-0005-0000-0000-000019090000}"/>
    <cellStyle name="20% - Accent5 4 5 2 5" xfId="29429" xr:uid="{0B4016AC-CDE6-479D-90D2-517C282EA5B3}"/>
    <cellStyle name="20% - Accent5 4 5 3" xfId="6197" xr:uid="{00000000-0005-0000-0000-00001A090000}"/>
    <cellStyle name="20% - Accent5 4 5 3 2" xfId="23067" xr:uid="{00000000-0005-0000-0000-00001B090000}"/>
    <cellStyle name="20% - Accent5 4 5 3 2 2" xfId="39935" xr:uid="{B0EB7CA3-20A3-4990-8DEE-0B4E25617F8B}"/>
    <cellStyle name="20% - Accent5 4 5 3 3" xfId="14632" xr:uid="{00000000-0005-0000-0000-00001C090000}"/>
    <cellStyle name="20% - Accent5 4 5 3 4" xfId="31501" xr:uid="{047879F9-E07A-4513-8AB1-FFA633AD58AF}"/>
    <cellStyle name="20% - Accent5 4 5 4" xfId="18849" xr:uid="{00000000-0005-0000-0000-00001D090000}"/>
    <cellStyle name="20% - Accent5 4 5 4 2" xfId="35718" xr:uid="{BDA37366-054C-4984-982C-748EDE60E54F}"/>
    <cellStyle name="20% - Accent5 4 5 5" xfId="10414" xr:uid="{00000000-0005-0000-0000-00001E090000}"/>
    <cellStyle name="20% - Accent5 4 5 6" xfId="27284" xr:uid="{1BB72988-55BA-4FD5-8187-A1AFBCFF8564}"/>
    <cellStyle name="20% - Accent5 4 6" xfId="2303" xr:uid="{00000000-0005-0000-0000-00001F090000}"/>
    <cellStyle name="20% - Accent5 4 6 2" xfId="6610" xr:uid="{00000000-0005-0000-0000-000020090000}"/>
    <cellStyle name="20% - Accent5 4 6 2 2" xfId="23480" xr:uid="{00000000-0005-0000-0000-000021090000}"/>
    <cellStyle name="20% - Accent5 4 6 2 2 2" xfId="40348" xr:uid="{4FB87F9B-98FE-4BB9-AE8E-38BC8DF0E16E}"/>
    <cellStyle name="20% - Accent5 4 6 2 3" xfId="15045" xr:uid="{00000000-0005-0000-0000-000022090000}"/>
    <cellStyle name="20% - Accent5 4 6 2 4" xfId="31914" xr:uid="{ADAC13F0-F902-4A02-A427-FFF790F33027}"/>
    <cellStyle name="20% - Accent5 4 6 3" xfId="19262" xr:uid="{00000000-0005-0000-0000-000023090000}"/>
    <cellStyle name="20% - Accent5 4 6 3 2" xfId="36131" xr:uid="{5FDAF8C1-6CEF-469A-AD3B-1B8E6728255A}"/>
    <cellStyle name="20% - Accent5 4 6 4" xfId="10827" xr:uid="{00000000-0005-0000-0000-000024090000}"/>
    <cellStyle name="20% - Accent5 4 6 5" xfId="27697" xr:uid="{B3DFDFAE-70B4-443E-87F6-BA8625CCCDB4}"/>
    <cellStyle name="20% - Accent5 4 7" xfId="4544" xr:uid="{00000000-0005-0000-0000-000025090000}"/>
    <cellStyle name="20% - Accent5 4 7 2" xfId="21414" xr:uid="{00000000-0005-0000-0000-000026090000}"/>
    <cellStyle name="20% - Accent5 4 7 2 2" xfId="38282" xr:uid="{D4E35579-73E5-4091-9678-81FBF239D8CF}"/>
    <cellStyle name="20% - Accent5 4 7 3" xfId="12979" xr:uid="{00000000-0005-0000-0000-000027090000}"/>
    <cellStyle name="20% - Accent5 4 7 4" xfId="29848" xr:uid="{7667FBF4-7921-4DC4-992B-6FDC7306C89B}"/>
    <cellStyle name="20% - Accent5 4 8" xfId="17196" xr:uid="{00000000-0005-0000-0000-000028090000}"/>
    <cellStyle name="20% - Accent5 4 8 2" xfId="34065" xr:uid="{FF8FFB10-5FC0-4AD4-ABA0-7075FD34DADF}"/>
    <cellStyle name="20% - Accent5 4 9" xfId="8761" xr:uid="{00000000-0005-0000-0000-000029090000}"/>
    <cellStyle name="20% - Accent5 5" xfId="602" xr:uid="{00000000-0005-0000-0000-00002A090000}"/>
    <cellStyle name="20% - Accent5 5 2" xfId="2873" xr:uid="{00000000-0005-0000-0000-00002B090000}"/>
    <cellStyle name="20% - Accent5 5 2 2" xfId="7096" xr:uid="{00000000-0005-0000-0000-00002C090000}"/>
    <cellStyle name="20% - Accent5 5 2 2 2" xfId="23966" xr:uid="{00000000-0005-0000-0000-00002D090000}"/>
    <cellStyle name="20% - Accent5 5 2 2 2 2" xfId="40834" xr:uid="{34EC6E39-8814-4273-81EA-4482D6D6D33C}"/>
    <cellStyle name="20% - Accent5 5 2 2 3" xfId="15531" xr:uid="{00000000-0005-0000-0000-00002E090000}"/>
    <cellStyle name="20% - Accent5 5 2 2 4" xfId="32400" xr:uid="{2B0B8A84-13BA-4BF0-AC7B-22530AE9AD44}"/>
    <cellStyle name="20% - Accent5 5 2 3" xfId="19748" xr:uid="{00000000-0005-0000-0000-00002F090000}"/>
    <cellStyle name="20% - Accent5 5 2 3 2" xfId="36617" xr:uid="{15780752-8F96-4D39-ADF7-F7D218E21184}"/>
    <cellStyle name="20% - Accent5 5 2 4" xfId="11313" xr:uid="{00000000-0005-0000-0000-000030090000}"/>
    <cellStyle name="20% - Accent5 5 2 5" xfId="28183" xr:uid="{64666FDA-7E7B-4129-AA4A-8AAD522A9F0C}"/>
    <cellStyle name="20% - Accent5 5 3" xfId="4951" xr:uid="{00000000-0005-0000-0000-000031090000}"/>
    <cellStyle name="20% - Accent5 5 3 2" xfId="21821" xr:uid="{00000000-0005-0000-0000-000032090000}"/>
    <cellStyle name="20% - Accent5 5 3 2 2" xfId="38689" xr:uid="{AB787132-F2DB-4693-83F5-80C2E315A89A}"/>
    <cellStyle name="20% - Accent5 5 3 3" xfId="13386" xr:uid="{00000000-0005-0000-0000-000033090000}"/>
    <cellStyle name="20% - Accent5 5 3 4" xfId="30255" xr:uid="{93AD4EA0-4055-4030-9A61-C0A509E5D878}"/>
    <cellStyle name="20% - Accent5 5 4" xfId="17603" xr:uid="{00000000-0005-0000-0000-000034090000}"/>
    <cellStyle name="20% - Accent5 5 4 2" xfId="34472" xr:uid="{8A3612ED-BD2C-44A7-B86B-70FB3E8A9A10}"/>
    <cellStyle name="20% - Accent5 5 5" xfId="9168" xr:uid="{00000000-0005-0000-0000-000035090000}"/>
    <cellStyle name="20% - Accent5 5 6" xfId="26038" xr:uid="{729F0BC3-EAA7-4064-970D-DF7E79F8B586}"/>
    <cellStyle name="20% - Accent5 6" xfId="1055" xr:uid="{00000000-0005-0000-0000-000036090000}"/>
    <cellStyle name="20% - Accent5 6 2" xfId="3286" xr:uid="{00000000-0005-0000-0000-000037090000}"/>
    <cellStyle name="20% - Accent5 6 2 2" xfId="7509" xr:uid="{00000000-0005-0000-0000-000038090000}"/>
    <cellStyle name="20% - Accent5 6 2 2 2" xfId="24379" xr:uid="{00000000-0005-0000-0000-000039090000}"/>
    <cellStyle name="20% - Accent5 6 2 2 2 2" xfId="41247" xr:uid="{C11A5F4C-2A49-4674-A529-F6682F1CC332}"/>
    <cellStyle name="20% - Accent5 6 2 2 3" xfId="15944" xr:uid="{00000000-0005-0000-0000-00003A090000}"/>
    <cellStyle name="20% - Accent5 6 2 2 4" xfId="32813" xr:uid="{DD8151E0-618C-481B-9629-A3FCAA13FFA0}"/>
    <cellStyle name="20% - Accent5 6 2 3" xfId="20161" xr:uid="{00000000-0005-0000-0000-00003B090000}"/>
    <cellStyle name="20% - Accent5 6 2 3 2" xfId="37030" xr:uid="{DA052AF2-5E47-48D3-BE93-882271210F97}"/>
    <cellStyle name="20% - Accent5 6 2 4" xfId="11726" xr:uid="{00000000-0005-0000-0000-00003C090000}"/>
    <cellStyle name="20% - Accent5 6 2 5" xfId="28596" xr:uid="{E2B8EACC-72E0-445C-8583-80808E5E53B5}"/>
    <cellStyle name="20% - Accent5 6 3" xfId="5364" xr:uid="{00000000-0005-0000-0000-00003D090000}"/>
    <cellStyle name="20% - Accent5 6 3 2" xfId="22234" xr:uid="{00000000-0005-0000-0000-00003E090000}"/>
    <cellStyle name="20% - Accent5 6 3 2 2" xfId="39102" xr:uid="{073F5B2D-1A51-4239-9FF7-82FCF3867015}"/>
    <cellStyle name="20% - Accent5 6 3 3" xfId="13799" xr:uid="{00000000-0005-0000-0000-00003F090000}"/>
    <cellStyle name="20% - Accent5 6 3 4" xfId="30668" xr:uid="{75E39841-0373-469A-A313-01DBE7E4FC97}"/>
    <cellStyle name="20% - Accent5 6 4" xfId="18016" xr:uid="{00000000-0005-0000-0000-000040090000}"/>
    <cellStyle name="20% - Accent5 6 4 2" xfId="34885" xr:uid="{F68FF73A-A4A1-424C-BBA9-E2D8F83EB2CF}"/>
    <cellStyle name="20% - Accent5 6 5" xfId="9581" xr:uid="{00000000-0005-0000-0000-000041090000}"/>
    <cellStyle name="20% - Accent5 6 6" xfId="26451" xr:uid="{92CB3DAB-F836-4C77-98CD-C94808E9A4DD}"/>
    <cellStyle name="20% - Accent5 7" xfId="1469" xr:uid="{00000000-0005-0000-0000-000042090000}"/>
    <cellStyle name="20% - Accent5 7 2" xfId="3699" xr:uid="{00000000-0005-0000-0000-000043090000}"/>
    <cellStyle name="20% - Accent5 7 2 2" xfId="7922" xr:uid="{00000000-0005-0000-0000-000044090000}"/>
    <cellStyle name="20% - Accent5 7 2 2 2" xfId="24792" xr:uid="{00000000-0005-0000-0000-000045090000}"/>
    <cellStyle name="20% - Accent5 7 2 2 2 2" xfId="41660" xr:uid="{CD5F4328-8D86-43A2-92FC-6BD71C1EB82C}"/>
    <cellStyle name="20% - Accent5 7 2 2 3" xfId="16357" xr:uid="{00000000-0005-0000-0000-000046090000}"/>
    <cellStyle name="20% - Accent5 7 2 2 4" xfId="33226" xr:uid="{9D4EDF14-ED29-48F7-B837-BEDF35BA3689}"/>
    <cellStyle name="20% - Accent5 7 2 3" xfId="20574" xr:uid="{00000000-0005-0000-0000-000047090000}"/>
    <cellStyle name="20% - Accent5 7 2 3 2" xfId="37443" xr:uid="{F7B6D136-CBC3-49EF-A6F5-33F2EA28D77C}"/>
    <cellStyle name="20% - Accent5 7 2 4" xfId="12139" xr:uid="{00000000-0005-0000-0000-000048090000}"/>
    <cellStyle name="20% - Accent5 7 2 5" xfId="29009" xr:uid="{D234DDEF-D597-40F0-A138-69F0F730D043}"/>
    <cellStyle name="20% - Accent5 7 3" xfId="5777" xr:uid="{00000000-0005-0000-0000-000049090000}"/>
    <cellStyle name="20% - Accent5 7 3 2" xfId="22647" xr:uid="{00000000-0005-0000-0000-00004A090000}"/>
    <cellStyle name="20% - Accent5 7 3 2 2" xfId="39515" xr:uid="{20FC49BB-63CF-4702-B298-CCF0BA26ACF2}"/>
    <cellStyle name="20% - Accent5 7 3 3" xfId="14212" xr:uid="{00000000-0005-0000-0000-00004B090000}"/>
    <cellStyle name="20% - Accent5 7 3 4" xfId="31081" xr:uid="{6248C07D-15CE-4182-836C-CC480904DC8B}"/>
    <cellStyle name="20% - Accent5 7 4" xfId="18429" xr:uid="{00000000-0005-0000-0000-00004C090000}"/>
    <cellStyle name="20% - Accent5 7 4 2" xfId="35298" xr:uid="{4310F799-6ECB-40B2-82AF-AE1947F72FF4}"/>
    <cellStyle name="20% - Accent5 7 5" xfId="9994" xr:uid="{00000000-0005-0000-0000-00004D090000}"/>
    <cellStyle name="20% - Accent5 7 6" xfId="26864" xr:uid="{5A7B7D0C-14A7-41D0-B2BB-D086CCEC6284}"/>
    <cellStyle name="20% - Accent5 8" xfId="1883" xr:uid="{00000000-0005-0000-0000-00004E090000}"/>
    <cellStyle name="20% - Accent5 8 2" xfId="4112" xr:uid="{00000000-0005-0000-0000-00004F090000}"/>
    <cellStyle name="20% - Accent5 8 2 2" xfId="8335" xr:uid="{00000000-0005-0000-0000-000050090000}"/>
    <cellStyle name="20% - Accent5 8 2 2 2" xfId="25205" xr:uid="{00000000-0005-0000-0000-000051090000}"/>
    <cellStyle name="20% - Accent5 8 2 2 2 2" xfId="42073" xr:uid="{90315AF8-C6E8-44F4-9FD9-58B108C2A185}"/>
    <cellStyle name="20% - Accent5 8 2 2 3" xfId="16770" xr:uid="{00000000-0005-0000-0000-000052090000}"/>
    <cellStyle name="20% - Accent5 8 2 2 4" xfId="33639" xr:uid="{B736F532-ECD7-40B5-ADBB-ADCA566F3F8D}"/>
    <cellStyle name="20% - Accent5 8 2 3" xfId="20987" xr:uid="{00000000-0005-0000-0000-000053090000}"/>
    <cellStyle name="20% - Accent5 8 2 3 2" xfId="37856" xr:uid="{FF3EAD78-FADD-4946-9444-78C3C886C172}"/>
    <cellStyle name="20% - Accent5 8 2 4" xfId="12552" xr:uid="{00000000-0005-0000-0000-000054090000}"/>
    <cellStyle name="20% - Accent5 8 2 5" xfId="29422" xr:uid="{076DACC5-53D2-4FBB-A205-1C6A9CC9DDEE}"/>
    <cellStyle name="20% - Accent5 8 3" xfId="6190" xr:uid="{00000000-0005-0000-0000-000055090000}"/>
    <cellStyle name="20% - Accent5 8 3 2" xfId="23060" xr:uid="{00000000-0005-0000-0000-000056090000}"/>
    <cellStyle name="20% - Accent5 8 3 2 2" xfId="39928" xr:uid="{7248AC36-F999-492B-887A-D0FFA936CD28}"/>
    <cellStyle name="20% - Accent5 8 3 3" xfId="14625" xr:uid="{00000000-0005-0000-0000-000057090000}"/>
    <cellStyle name="20% - Accent5 8 3 4" xfId="31494" xr:uid="{21643129-91AB-4C0F-8611-446CAF285BA0}"/>
    <cellStyle name="20% - Accent5 8 4" xfId="18842" xr:uid="{00000000-0005-0000-0000-000058090000}"/>
    <cellStyle name="20% - Accent5 8 4 2" xfId="35711" xr:uid="{5140DABA-8568-49CA-8E07-17C3571FFFF0}"/>
    <cellStyle name="20% - Accent5 8 5" xfId="10407" xr:uid="{00000000-0005-0000-0000-000059090000}"/>
    <cellStyle name="20% - Accent5 8 6" xfId="27277" xr:uid="{976476DE-4016-4CEE-9102-89C44774B4F4}"/>
    <cellStyle name="20% - Accent5 9" xfId="2296" xr:uid="{00000000-0005-0000-0000-00005A090000}"/>
    <cellStyle name="20% - Accent5 9 2" xfId="6603" xr:uid="{00000000-0005-0000-0000-00005B090000}"/>
    <cellStyle name="20% - Accent5 9 2 2" xfId="23473" xr:uid="{00000000-0005-0000-0000-00005C090000}"/>
    <cellStyle name="20% - Accent5 9 2 2 2" xfId="40341" xr:uid="{77A814F0-4A7C-48DD-914D-AC61F199F812}"/>
    <cellStyle name="20% - Accent5 9 2 3" xfId="15038" xr:uid="{00000000-0005-0000-0000-00005D090000}"/>
    <cellStyle name="20% - Accent5 9 2 4" xfId="31907" xr:uid="{39426A19-D8D3-45C7-BDA6-2948F8461201}"/>
    <cellStyle name="20% - Accent5 9 3" xfId="19255" xr:uid="{00000000-0005-0000-0000-00005E090000}"/>
    <cellStyle name="20% - Accent5 9 3 2" xfId="36124" xr:uid="{49CBE3F4-19A3-4D4A-A5F1-08A29B253067}"/>
    <cellStyle name="20% - Accent5 9 4" xfId="10820" xr:uid="{00000000-0005-0000-0000-00005F090000}"/>
    <cellStyle name="20% - Accent5 9 5" xfId="27690" xr:uid="{1E3CD64D-4123-4C14-94CF-29769331A46C}"/>
    <cellStyle name="20% - Accent6" xfId="41" builtinId="50" customBuiltin="1"/>
    <cellStyle name="20% - Accent6 10" xfId="4545" xr:uid="{00000000-0005-0000-0000-000061090000}"/>
    <cellStyle name="20% - Accent6 10 2" xfId="21415" xr:uid="{00000000-0005-0000-0000-000062090000}"/>
    <cellStyle name="20% - Accent6 10 2 2" xfId="38283" xr:uid="{78986093-8746-44AB-B6FD-C9AAEACA39BB}"/>
    <cellStyle name="20% - Accent6 10 3" xfId="12980" xr:uid="{00000000-0005-0000-0000-000063090000}"/>
    <cellStyle name="20% - Accent6 10 4" xfId="29849" xr:uid="{B6BF97E6-4CC6-411D-811A-C1900E3CE636}"/>
    <cellStyle name="20% - Accent6 11" xfId="17197" xr:uid="{00000000-0005-0000-0000-000064090000}"/>
    <cellStyle name="20% - Accent6 11 2" xfId="34066" xr:uid="{AE43E7DC-DE48-4B59-A68C-F0FFFA8C4C25}"/>
    <cellStyle name="20% - Accent6 12" xfId="8762" xr:uid="{00000000-0005-0000-0000-000065090000}"/>
    <cellStyle name="20% - Accent6 13" xfId="25632" xr:uid="{1E4C6A9B-8552-4B2F-9A80-7C447778D600}"/>
    <cellStyle name="20% - Accent6 2" xfId="42" xr:uid="{00000000-0005-0000-0000-000066090000}"/>
    <cellStyle name="20% - Accent6 2 10" xfId="17198" xr:uid="{00000000-0005-0000-0000-000067090000}"/>
    <cellStyle name="20% - Accent6 2 10 2" xfId="34067" xr:uid="{71E72752-3D38-4AE9-BDC0-28F6DAB3E39D}"/>
    <cellStyle name="20% - Accent6 2 11" xfId="8763" xr:uid="{00000000-0005-0000-0000-000068090000}"/>
    <cellStyle name="20% - Accent6 2 12" xfId="25633" xr:uid="{B84A30B3-4742-4B35-8962-467F18ACF765}"/>
    <cellStyle name="20% - Accent6 2 2" xfId="43" xr:uid="{00000000-0005-0000-0000-000069090000}"/>
    <cellStyle name="20% - Accent6 2 2 10" xfId="8764" xr:uid="{00000000-0005-0000-0000-00006A090000}"/>
    <cellStyle name="20% - Accent6 2 2 11" xfId="25634" xr:uid="{61171E16-9851-4267-AEA4-686B2AA07B35}"/>
    <cellStyle name="20% - Accent6 2 2 2" xfId="44" xr:uid="{00000000-0005-0000-0000-00006B090000}"/>
    <cellStyle name="20% - Accent6 2 2 2 10" xfId="25635" xr:uid="{9250D6C0-799D-47AA-AB1B-B78A27596968}"/>
    <cellStyle name="20% - Accent6 2 2 2 2" xfId="613" xr:uid="{00000000-0005-0000-0000-00006C090000}"/>
    <cellStyle name="20% - Accent6 2 2 2 2 2" xfId="2884" xr:uid="{00000000-0005-0000-0000-00006D090000}"/>
    <cellStyle name="20% - Accent6 2 2 2 2 2 2" xfId="7107" xr:uid="{00000000-0005-0000-0000-00006E090000}"/>
    <cellStyle name="20% - Accent6 2 2 2 2 2 2 2" xfId="23977" xr:uid="{00000000-0005-0000-0000-00006F090000}"/>
    <cellStyle name="20% - Accent6 2 2 2 2 2 2 2 2" xfId="40845" xr:uid="{21BAA752-BEB4-451F-916F-0F718F52B11C}"/>
    <cellStyle name="20% - Accent6 2 2 2 2 2 2 3" xfId="15542" xr:uid="{00000000-0005-0000-0000-000070090000}"/>
    <cellStyle name="20% - Accent6 2 2 2 2 2 2 4" xfId="32411" xr:uid="{1F95C24E-8166-4967-BEDA-05E3C576126A}"/>
    <cellStyle name="20% - Accent6 2 2 2 2 2 3" xfId="19759" xr:uid="{00000000-0005-0000-0000-000071090000}"/>
    <cellStyle name="20% - Accent6 2 2 2 2 2 3 2" xfId="36628" xr:uid="{5F16A024-92AB-43BC-BE96-EEC07262DBF0}"/>
    <cellStyle name="20% - Accent6 2 2 2 2 2 4" xfId="11324" xr:uid="{00000000-0005-0000-0000-000072090000}"/>
    <cellStyle name="20% - Accent6 2 2 2 2 2 5" xfId="28194" xr:uid="{13290A80-EF51-4E1F-8CB1-01C9E9C8C553}"/>
    <cellStyle name="20% - Accent6 2 2 2 2 3" xfId="4962" xr:uid="{00000000-0005-0000-0000-000073090000}"/>
    <cellStyle name="20% - Accent6 2 2 2 2 3 2" xfId="21832" xr:uid="{00000000-0005-0000-0000-000074090000}"/>
    <cellStyle name="20% - Accent6 2 2 2 2 3 2 2" xfId="38700" xr:uid="{4249216C-543D-404C-B207-A65E9A3CC947}"/>
    <cellStyle name="20% - Accent6 2 2 2 2 3 3" xfId="13397" xr:uid="{00000000-0005-0000-0000-000075090000}"/>
    <cellStyle name="20% - Accent6 2 2 2 2 3 4" xfId="30266" xr:uid="{387608E0-4DC0-48A3-A915-F752D823E223}"/>
    <cellStyle name="20% - Accent6 2 2 2 2 4" xfId="17614" xr:uid="{00000000-0005-0000-0000-000076090000}"/>
    <cellStyle name="20% - Accent6 2 2 2 2 4 2" xfId="34483" xr:uid="{D242BCF4-B6E1-4913-8BBD-988E23E8FDAC}"/>
    <cellStyle name="20% - Accent6 2 2 2 2 5" xfId="9179" xr:uid="{00000000-0005-0000-0000-000077090000}"/>
    <cellStyle name="20% - Accent6 2 2 2 2 6" xfId="26049" xr:uid="{192A61E8-D366-48EB-B606-7B09140A0E88}"/>
    <cellStyle name="20% - Accent6 2 2 2 3" xfId="1066" xr:uid="{00000000-0005-0000-0000-000078090000}"/>
    <cellStyle name="20% - Accent6 2 2 2 3 2" xfId="3297" xr:uid="{00000000-0005-0000-0000-000079090000}"/>
    <cellStyle name="20% - Accent6 2 2 2 3 2 2" xfId="7520" xr:uid="{00000000-0005-0000-0000-00007A090000}"/>
    <cellStyle name="20% - Accent6 2 2 2 3 2 2 2" xfId="24390" xr:uid="{00000000-0005-0000-0000-00007B090000}"/>
    <cellStyle name="20% - Accent6 2 2 2 3 2 2 2 2" xfId="41258" xr:uid="{810CB186-2A92-4FC6-9BC7-A494AB43FFED}"/>
    <cellStyle name="20% - Accent6 2 2 2 3 2 2 3" xfId="15955" xr:uid="{00000000-0005-0000-0000-00007C090000}"/>
    <cellStyle name="20% - Accent6 2 2 2 3 2 2 4" xfId="32824" xr:uid="{9B7417EE-F8D6-4787-892B-54C84D2D9C96}"/>
    <cellStyle name="20% - Accent6 2 2 2 3 2 3" xfId="20172" xr:uid="{00000000-0005-0000-0000-00007D090000}"/>
    <cellStyle name="20% - Accent6 2 2 2 3 2 3 2" xfId="37041" xr:uid="{68090512-65D2-457A-8625-B10724556E42}"/>
    <cellStyle name="20% - Accent6 2 2 2 3 2 4" xfId="11737" xr:uid="{00000000-0005-0000-0000-00007E090000}"/>
    <cellStyle name="20% - Accent6 2 2 2 3 2 5" xfId="28607" xr:uid="{B8A773EC-FE84-4DE7-8CC4-F3B327712CBB}"/>
    <cellStyle name="20% - Accent6 2 2 2 3 3" xfId="5375" xr:uid="{00000000-0005-0000-0000-00007F090000}"/>
    <cellStyle name="20% - Accent6 2 2 2 3 3 2" xfId="22245" xr:uid="{00000000-0005-0000-0000-000080090000}"/>
    <cellStyle name="20% - Accent6 2 2 2 3 3 2 2" xfId="39113" xr:uid="{F3700DA2-5DF4-4666-8D7C-B08C5312F88C}"/>
    <cellStyle name="20% - Accent6 2 2 2 3 3 3" xfId="13810" xr:uid="{00000000-0005-0000-0000-000081090000}"/>
    <cellStyle name="20% - Accent6 2 2 2 3 3 4" xfId="30679" xr:uid="{7B6A6381-262A-4691-A0C2-8CDBB484B0DD}"/>
    <cellStyle name="20% - Accent6 2 2 2 3 4" xfId="18027" xr:uid="{00000000-0005-0000-0000-000082090000}"/>
    <cellStyle name="20% - Accent6 2 2 2 3 4 2" xfId="34896" xr:uid="{0EA7D81D-AFFB-4500-B1DC-0BF855EEBD0B}"/>
    <cellStyle name="20% - Accent6 2 2 2 3 5" xfId="9592" xr:uid="{00000000-0005-0000-0000-000083090000}"/>
    <cellStyle name="20% - Accent6 2 2 2 3 6" xfId="26462" xr:uid="{0BE2B386-9120-48F3-90C4-A34A0EA47EE8}"/>
    <cellStyle name="20% - Accent6 2 2 2 4" xfId="1480" xr:uid="{00000000-0005-0000-0000-000084090000}"/>
    <cellStyle name="20% - Accent6 2 2 2 4 2" xfId="3710" xr:uid="{00000000-0005-0000-0000-000085090000}"/>
    <cellStyle name="20% - Accent6 2 2 2 4 2 2" xfId="7933" xr:uid="{00000000-0005-0000-0000-000086090000}"/>
    <cellStyle name="20% - Accent6 2 2 2 4 2 2 2" xfId="24803" xr:uid="{00000000-0005-0000-0000-000087090000}"/>
    <cellStyle name="20% - Accent6 2 2 2 4 2 2 2 2" xfId="41671" xr:uid="{B9BB36D0-0B93-4603-B92B-7BC43D34B3F4}"/>
    <cellStyle name="20% - Accent6 2 2 2 4 2 2 3" xfId="16368" xr:uid="{00000000-0005-0000-0000-000088090000}"/>
    <cellStyle name="20% - Accent6 2 2 2 4 2 2 4" xfId="33237" xr:uid="{B4A728A2-AC0B-42C5-B3BD-CEBBFEAC3A93}"/>
    <cellStyle name="20% - Accent6 2 2 2 4 2 3" xfId="20585" xr:uid="{00000000-0005-0000-0000-000089090000}"/>
    <cellStyle name="20% - Accent6 2 2 2 4 2 3 2" xfId="37454" xr:uid="{0FF790C5-0AB3-4AAE-95F9-5057BAD1DED7}"/>
    <cellStyle name="20% - Accent6 2 2 2 4 2 4" xfId="12150" xr:uid="{00000000-0005-0000-0000-00008A090000}"/>
    <cellStyle name="20% - Accent6 2 2 2 4 2 5" xfId="29020" xr:uid="{1F1BB6A8-CBB0-4724-B37F-725EB69FA038}"/>
    <cellStyle name="20% - Accent6 2 2 2 4 3" xfId="5788" xr:uid="{00000000-0005-0000-0000-00008B090000}"/>
    <cellStyle name="20% - Accent6 2 2 2 4 3 2" xfId="22658" xr:uid="{00000000-0005-0000-0000-00008C090000}"/>
    <cellStyle name="20% - Accent6 2 2 2 4 3 2 2" xfId="39526" xr:uid="{08458382-7D40-43A0-A145-3734B178C27E}"/>
    <cellStyle name="20% - Accent6 2 2 2 4 3 3" xfId="14223" xr:uid="{00000000-0005-0000-0000-00008D090000}"/>
    <cellStyle name="20% - Accent6 2 2 2 4 3 4" xfId="31092" xr:uid="{64EFEE3B-9FDB-453C-9297-61F3FFE379E7}"/>
    <cellStyle name="20% - Accent6 2 2 2 4 4" xfId="18440" xr:uid="{00000000-0005-0000-0000-00008E090000}"/>
    <cellStyle name="20% - Accent6 2 2 2 4 4 2" xfId="35309" xr:uid="{5B58184A-8ADD-47C9-80A5-08D8855D1DA2}"/>
    <cellStyle name="20% - Accent6 2 2 2 4 5" xfId="10005" xr:uid="{00000000-0005-0000-0000-00008F090000}"/>
    <cellStyle name="20% - Accent6 2 2 2 4 6" xfId="26875" xr:uid="{DC2013E6-D309-458F-8582-9B3829A82DE1}"/>
    <cellStyle name="20% - Accent6 2 2 2 5" xfId="1894" xr:uid="{00000000-0005-0000-0000-000090090000}"/>
    <cellStyle name="20% - Accent6 2 2 2 5 2" xfId="4123" xr:uid="{00000000-0005-0000-0000-000091090000}"/>
    <cellStyle name="20% - Accent6 2 2 2 5 2 2" xfId="8346" xr:uid="{00000000-0005-0000-0000-000092090000}"/>
    <cellStyle name="20% - Accent6 2 2 2 5 2 2 2" xfId="25216" xr:uid="{00000000-0005-0000-0000-000093090000}"/>
    <cellStyle name="20% - Accent6 2 2 2 5 2 2 2 2" xfId="42084" xr:uid="{0E90B06F-AFC7-4EEE-8C95-F4929D46698D}"/>
    <cellStyle name="20% - Accent6 2 2 2 5 2 2 3" xfId="16781" xr:uid="{00000000-0005-0000-0000-000094090000}"/>
    <cellStyle name="20% - Accent6 2 2 2 5 2 2 4" xfId="33650" xr:uid="{80A10487-3C0E-4588-9F32-AF61BCC3BD65}"/>
    <cellStyle name="20% - Accent6 2 2 2 5 2 3" xfId="20998" xr:uid="{00000000-0005-0000-0000-000095090000}"/>
    <cellStyle name="20% - Accent6 2 2 2 5 2 3 2" xfId="37867" xr:uid="{7327BE06-2488-4CD6-ACB7-FC41AAEFBFC1}"/>
    <cellStyle name="20% - Accent6 2 2 2 5 2 4" xfId="12563" xr:uid="{00000000-0005-0000-0000-000096090000}"/>
    <cellStyle name="20% - Accent6 2 2 2 5 2 5" xfId="29433" xr:uid="{DF2A19B4-57D3-495C-B023-8985E82D0DFD}"/>
    <cellStyle name="20% - Accent6 2 2 2 5 3" xfId="6201" xr:uid="{00000000-0005-0000-0000-000097090000}"/>
    <cellStyle name="20% - Accent6 2 2 2 5 3 2" xfId="23071" xr:uid="{00000000-0005-0000-0000-000098090000}"/>
    <cellStyle name="20% - Accent6 2 2 2 5 3 2 2" xfId="39939" xr:uid="{C27DE1E8-30A0-4199-9E06-DAAAEE02E880}"/>
    <cellStyle name="20% - Accent6 2 2 2 5 3 3" xfId="14636" xr:uid="{00000000-0005-0000-0000-000099090000}"/>
    <cellStyle name="20% - Accent6 2 2 2 5 3 4" xfId="31505" xr:uid="{0C49DE08-E9E4-4D86-811C-C5CAAF783022}"/>
    <cellStyle name="20% - Accent6 2 2 2 5 4" xfId="18853" xr:uid="{00000000-0005-0000-0000-00009A090000}"/>
    <cellStyle name="20% - Accent6 2 2 2 5 4 2" xfId="35722" xr:uid="{1F58F0FB-EC7A-4117-8FDF-BAD08855AB51}"/>
    <cellStyle name="20% - Accent6 2 2 2 5 5" xfId="10418" xr:uid="{00000000-0005-0000-0000-00009B090000}"/>
    <cellStyle name="20% - Accent6 2 2 2 5 6" xfId="27288" xr:uid="{CEB0CE0F-DF25-4EDA-A4C5-B37B0B88D7C5}"/>
    <cellStyle name="20% - Accent6 2 2 2 6" xfId="2307" xr:uid="{00000000-0005-0000-0000-00009C090000}"/>
    <cellStyle name="20% - Accent6 2 2 2 6 2" xfId="6614" xr:uid="{00000000-0005-0000-0000-00009D090000}"/>
    <cellStyle name="20% - Accent6 2 2 2 6 2 2" xfId="23484" xr:uid="{00000000-0005-0000-0000-00009E090000}"/>
    <cellStyle name="20% - Accent6 2 2 2 6 2 2 2" xfId="40352" xr:uid="{3AF81C6A-E20B-44E6-B4FD-F17B617E63AC}"/>
    <cellStyle name="20% - Accent6 2 2 2 6 2 3" xfId="15049" xr:uid="{00000000-0005-0000-0000-00009F090000}"/>
    <cellStyle name="20% - Accent6 2 2 2 6 2 4" xfId="31918" xr:uid="{6EDD4D6E-13DB-4CA7-B859-D220B58A4222}"/>
    <cellStyle name="20% - Accent6 2 2 2 6 3" xfId="19266" xr:uid="{00000000-0005-0000-0000-0000A0090000}"/>
    <cellStyle name="20% - Accent6 2 2 2 6 3 2" xfId="36135" xr:uid="{86C7FD8C-C08B-422D-BD0D-3A8FB9FE99F2}"/>
    <cellStyle name="20% - Accent6 2 2 2 6 4" xfId="10831" xr:uid="{00000000-0005-0000-0000-0000A1090000}"/>
    <cellStyle name="20% - Accent6 2 2 2 6 5" xfId="27701" xr:uid="{D3FCFF6C-7CE1-4539-8157-4245CA7A78A2}"/>
    <cellStyle name="20% - Accent6 2 2 2 7" xfId="4548" xr:uid="{00000000-0005-0000-0000-0000A2090000}"/>
    <cellStyle name="20% - Accent6 2 2 2 7 2" xfId="21418" xr:uid="{00000000-0005-0000-0000-0000A3090000}"/>
    <cellStyle name="20% - Accent6 2 2 2 7 2 2" xfId="38286" xr:uid="{26B03BCA-2D87-4FC9-BB06-A65FBADD7EA0}"/>
    <cellStyle name="20% - Accent6 2 2 2 7 3" xfId="12983" xr:uid="{00000000-0005-0000-0000-0000A4090000}"/>
    <cellStyle name="20% - Accent6 2 2 2 7 4" xfId="29852" xr:uid="{2673B28A-7A0B-40A1-ACE8-02963C8C722C}"/>
    <cellStyle name="20% - Accent6 2 2 2 8" xfId="17200" xr:uid="{00000000-0005-0000-0000-0000A5090000}"/>
    <cellStyle name="20% - Accent6 2 2 2 8 2" xfId="34069" xr:uid="{633D1285-B6B8-4FC1-B38A-788ED97BF334}"/>
    <cellStyle name="20% - Accent6 2 2 2 9" xfId="8765" xr:uid="{00000000-0005-0000-0000-0000A6090000}"/>
    <cellStyle name="20% - Accent6 2 2 3" xfId="612" xr:uid="{00000000-0005-0000-0000-0000A7090000}"/>
    <cellStyle name="20% - Accent6 2 2 3 2" xfId="2883" xr:uid="{00000000-0005-0000-0000-0000A8090000}"/>
    <cellStyle name="20% - Accent6 2 2 3 2 2" xfId="7106" xr:uid="{00000000-0005-0000-0000-0000A9090000}"/>
    <cellStyle name="20% - Accent6 2 2 3 2 2 2" xfId="23976" xr:uid="{00000000-0005-0000-0000-0000AA090000}"/>
    <cellStyle name="20% - Accent6 2 2 3 2 2 2 2" xfId="40844" xr:uid="{E912EDE4-579D-4426-8FB0-56039DFC4243}"/>
    <cellStyle name="20% - Accent6 2 2 3 2 2 3" xfId="15541" xr:uid="{00000000-0005-0000-0000-0000AB090000}"/>
    <cellStyle name="20% - Accent6 2 2 3 2 2 4" xfId="32410" xr:uid="{4567CCD0-769B-4D6B-94AD-F3C8A2A986E6}"/>
    <cellStyle name="20% - Accent6 2 2 3 2 3" xfId="19758" xr:uid="{00000000-0005-0000-0000-0000AC090000}"/>
    <cellStyle name="20% - Accent6 2 2 3 2 3 2" xfId="36627" xr:uid="{0E2B275D-D508-4459-AFB4-BF4C6943267F}"/>
    <cellStyle name="20% - Accent6 2 2 3 2 4" xfId="11323" xr:uid="{00000000-0005-0000-0000-0000AD090000}"/>
    <cellStyle name="20% - Accent6 2 2 3 2 5" xfId="28193" xr:uid="{2A142B5C-37A7-4197-A966-32CC4460E350}"/>
    <cellStyle name="20% - Accent6 2 2 3 3" xfId="4961" xr:uid="{00000000-0005-0000-0000-0000AE090000}"/>
    <cellStyle name="20% - Accent6 2 2 3 3 2" xfId="21831" xr:uid="{00000000-0005-0000-0000-0000AF090000}"/>
    <cellStyle name="20% - Accent6 2 2 3 3 2 2" xfId="38699" xr:uid="{FDD8E7A1-EDF9-4AB6-8F9A-A43773C85040}"/>
    <cellStyle name="20% - Accent6 2 2 3 3 3" xfId="13396" xr:uid="{00000000-0005-0000-0000-0000B0090000}"/>
    <cellStyle name="20% - Accent6 2 2 3 3 4" xfId="30265" xr:uid="{D7E07949-CA0A-48BE-86FD-DC734564A2EF}"/>
    <cellStyle name="20% - Accent6 2 2 3 4" xfId="17613" xr:uid="{00000000-0005-0000-0000-0000B1090000}"/>
    <cellStyle name="20% - Accent6 2 2 3 4 2" xfId="34482" xr:uid="{ECCA66FB-B471-4201-8258-F1BFB5D102D0}"/>
    <cellStyle name="20% - Accent6 2 2 3 5" xfId="9178" xr:uid="{00000000-0005-0000-0000-0000B2090000}"/>
    <cellStyle name="20% - Accent6 2 2 3 6" xfId="26048" xr:uid="{83F418D1-EBDF-4027-806A-B05954DBB47B}"/>
    <cellStyle name="20% - Accent6 2 2 4" xfId="1065" xr:uid="{00000000-0005-0000-0000-0000B3090000}"/>
    <cellStyle name="20% - Accent6 2 2 4 2" xfId="3296" xr:uid="{00000000-0005-0000-0000-0000B4090000}"/>
    <cellStyle name="20% - Accent6 2 2 4 2 2" xfId="7519" xr:uid="{00000000-0005-0000-0000-0000B5090000}"/>
    <cellStyle name="20% - Accent6 2 2 4 2 2 2" xfId="24389" xr:uid="{00000000-0005-0000-0000-0000B6090000}"/>
    <cellStyle name="20% - Accent6 2 2 4 2 2 2 2" xfId="41257" xr:uid="{2433DE64-C3B0-477B-9BEA-BA6286448CDB}"/>
    <cellStyle name="20% - Accent6 2 2 4 2 2 3" xfId="15954" xr:uid="{00000000-0005-0000-0000-0000B7090000}"/>
    <cellStyle name="20% - Accent6 2 2 4 2 2 4" xfId="32823" xr:uid="{726B2176-93ED-4115-86DE-2DBE627C0717}"/>
    <cellStyle name="20% - Accent6 2 2 4 2 3" xfId="20171" xr:uid="{00000000-0005-0000-0000-0000B8090000}"/>
    <cellStyle name="20% - Accent6 2 2 4 2 3 2" xfId="37040" xr:uid="{3508E06B-685D-4AC1-9741-61F3606C0DFE}"/>
    <cellStyle name="20% - Accent6 2 2 4 2 4" xfId="11736" xr:uid="{00000000-0005-0000-0000-0000B9090000}"/>
    <cellStyle name="20% - Accent6 2 2 4 2 5" xfId="28606" xr:uid="{CA917963-73B9-4FC0-ACCF-D2460D81E620}"/>
    <cellStyle name="20% - Accent6 2 2 4 3" xfId="5374" xr:uid="{00000000-0005-0000-0000-0000BA090000}"/>
    <cellStyle name="20% - Accent6 2 2 4 3 2" xfId="22244" xr:uid="{00000000-0005-0000-0000-0000BB090000}"/>
    <cellStyle name="20% - Accent6 2 2 4 3 2 2" xfId="39112" xr:uid="{B5F2B9B2-59DE-4D57-A61A-91FFA134368B}"/>
    <cellStyle name="20% - Accent6 2 2 4 3 3" xfId="13809" xr:uid="{00000000-0005-0000-0000-0000BC090000}"/>
    <cellStyle name="20% - Accent6 2 2 4 3 4" xfId="30678" xr:uid="{7C86342D-6005-4BFB-B382-38DCB77C1983}"/>
    <cellStyle name="20% - Accent6 2 2 4 4" xfId="18026" xr:uid="{00000000-0005-0000-0000-0000BD090000}"/>
    <cellStyle name="20% - Accent6 2 2 4 4 2" xfId="34895" xr:uid="{83E56715-9BF8-4CAA-8B1A-65F68D33B3A5}"/>
    <cellStyle name="20% - Accent6 2 2 4 5" xfId="9591" xr:uid="{00000000-0005-0000-0000-0000BE090000}"/>
    <cellStyle name="20% - Accent6 2 2 4 6" xfId="26461" xr:uid="{F574C2D9-AEAF-4581-B907-C338AFA576A2}"/>
    <cellStyle name="20% - Accent6 2 2 5" xfId="1479" xr:uid="{00000000-0005-0000-0000-0000BF090000}"/>
    <cellStyle name="20% - Accent6 2 2 5 2" xfId="3709" xr:uid="{00000000-0005-0000-0000-0000C0090000}"/>
    <cellStyle name="20% - Accent6 2 2 5 2 2" xfId="7932" xr:uid="{00000000-0005-0000-0000-0000C1090000}"/>
    <cellStyle name="20% - Accent6 2 2 5 2 2 2" xfId="24802" xr:uid="{00000000-0005-0000-0000-0000C2090000}"/>
    <cellStyle name="20% - Accent6 2 2 5 2 2 2 2" xfId="41670" xr:uid="{9D9CC6E1-A4E9-471E-ADB3-4903E712A37F}"/>
    <cellStyle name="20% - Accent6 2 2 5 2 2 3" xfId="16367" xr:uid="{00000000-0005-0000-0000-0000C3090000}"/>
    <cellStyle name="20% - Accent6 2 2 5 2 2 4" xfId="33236" xr:uid="{C54AE783-5124-449F-BD21-138F5D91A6E2}"/>
    <cellStyle name="20% - Accent6 2 2 5 2 3" xfId="20584" xr:uid="{00000000-0005-0000-0000-0000C4090000}"/>
    <cellStyle name="20% - Accent6 2 2 5 2 3 2" xfId="37453" xr:uid="{666A5000-15CA-4212-8F78-BD6CDCE7BC33}"/>
    <cellStyle name="20% - Accent6 2 2 5 2 4" xfId="12149" xr:uid="{00000000-0005-0000-0000-0000C5090000}"/>
    <cellStyle name="20% - Accent6 2 2 5 2 5" xfId="29019" xr:uid="{096A86C0-8A26-42CE-A6CC-800A4CF56B49}"/>
    <cellStyle name="20% - Accent6 2 2 5 3" xfId="5787" xr:uid="{00000000-0005-0000-0000-0000C6090000}"/>
    <cellStyle name="20% - Accent6 2 2 5 3 2" xfId="22657" xr:uid="{00000000-0005-0000-0000-0000C7090000}"/>
    <cellStyle name="20% - Accent6 2 2 5 3 2 2" xfId="39525" xr:uid="{E78E0691-5219-40AA-9D80-E4CBEDC53D27}"/>
    <cellStyle name="20% - Accent6 2 2 5 3 3" xfId="14222" xr:uid="{00000000-0005-0000-0000-0000C8090000}"/>
    <cellStyle name="20% - Accent6 2 2 5 3 4" xfId="31091" xr:uid="{22BEFCDC-F5E6-46AB-B739-52531186B994}"/>
    <cellStyle name="20% - Accent6 2 2 5 4" xfId="18439" xr:uid="{00000000-0005-0000-0000-0000C9090000}"/>
    <cellStyle name="20% - Accent6 2 2 5 4 2" xfId="35308" xr:uid="{B55103C7-5E73-4709-8B0E-E8DD22EF57C4}"/>
    <cellStyle name="20% - Accent6 2 2 5 5" xfId="10004" xr:uid="{00000000-0005-0000-0000-0000CA090000}"/>
    <cellStyle name="20% - Accent6 2 2 5 6" xfId="26874" xr:uid="{D6A402C5-B49C-46E8-93E6-C3A10D00A60A}"/>
    <cellStyle name="20% - Accent6 2 2 6" xfId="1893" xr:uid="{00000000-0005-0000-0000-0000CB090000}"/>
    <cellStyle name="20% - Accent6 2 2 6 2" xfId="4122" xr:uid="{00000000-0005-0000-0000-0000CC090000}"/>
    <cellStyle name="20% - Accent6 2 2 6 2 2" xfId="8345" xr:uid="{00000000-0005-0000-0000-0000CD090000}"/>
    <cellStyle name="20% - Accent6 2 2 6 2 2 2" xfId="25215" xr:uid="{00000000-0005-0000-0000-0000CE090000}"/>
    <cellStyle name="20% - Accent6 2 2 6 2 2 2 2" xfId="42083" xr:uid="{7FDC49B0-2CF7-4827-860D-8B56B148308C}"/>
    <cellStyle name="20% - Accent6 2 2 6 2 2 3" xfId="16780" xr:uid="{00000000-0005-0000-0000-0000CF090000}"/>
    <cellStyle name="20% - Accent6 2 2 6 2 2 4" xfId="33649" xr:uid="{4DFC3C3A-25F7-436B-9A40-882C30213744}"/>
    <cellStyle name="20% - Accent6 2 2 6 2 3" xfId="20997" xr:uid="{00000000-0005-0000-0000-0000D0090000}"/>
    <cellStyle name="20% - Accent6 2 2 6 2 3 2" xfId="37866" xr:uid="{D5F04EC7-6B4C-4F1B-9C8A-70C0F1B18048}"/>
    <cellStyle name="20% - Accent6 2 2 6 2 4" xfId="12562" xr:uid="{00000000-0005-0000-0000-0000D1090000}"/>
    <cellStyle name="20% - Accent6 2 2 6 2 5" xfId="29432" xr:uid="{9092D6F4-09C2-470D-9B79-6BB13577C39D}"/>
    <cellStyle name="20% - Accent6 2 2 6 3" xfId="6200" xr:uid="{00000000-0005-0000-0000-0000D2090000}"/>
    <cellStyle name="20% - Accent6 2 2 6 3 2" xfId="23070" xr:uid="{00000000-0005-0000-0000-0000D3090000}"/>
    <cellStyle name="20% - Accent6 2 2 6 3 2 2" xfId="39938" xr:uid="{0ACEC899-7F56-4F5C-8EDD-3BBE99AFAFDF}"/>
    <cellStyle name="20% - Accent6 2 2 6 3 3" xfId="14635" xr:uid="{00000000-0005-0000-0000-0000D4090000}"/>
    <cellStyle name="20% - Accent6 2 2 6 3 4" xfId="31504" xr:uid="{D07C1EE9-1FD7-4FBA-88FE-81443511F9BE}"/>
    <cellStyle name="20% - Accent6 2 2 6 4" xfId="18852" xr:uid="{00000000-0005-0000-0000-0000D5090000}"/>
    <cellStyle name="20% - Accent6 2 2 6 4 2" xfId="35721" xr:uid="{68B483BE-F697-415D-A861-CF9E317CDD48}"/>
    <cellStyle name="20% - Accent6 2 2 6 5" xfId="10417" xr:uid="{00000000-0005-0000-0000-0000D6090000}"/>
    <cellStyle name="20% - Accent6 2 2 6 6" xfId="27287" xr:uid="{107AF974-636D-4B43-B0CA-0FF49F9A23E1}"/>
    <cellStyle name="20% - Accent6 2 2 7" xfId="2306" xr:uid="{00000000-0005-0000-0000-0000D7090000}"/>
    <cellStyle name="20% - Accent6 2 2 7 2" xfId="6613" xr:uid="{00000000-0005-0000-0000-0000D8090000}"/>
    <cellStyle name="20% - Accent6 2 2 7 2 2" xfId="23483" xr:uid="{00000000-0005-0000-0000-0000D9090000}"/>
    <cellStyle name="20% - Accent6 2 2 7 2 2 2" xfId="40351" xr:uid="{BC052CE3-0365-46C5-BCA5-2B796F67E092}"/>
    <cellStyle name="20% - Accent6 2 2 7 2 3" xfId="15048" xr:uid="{00000000-0005-0000-0000-0000DA090000}"/>
    <cellStyle name="20% - Accent6 2 2 7 2 4" xfId="31917" xr:uid="{9C43698F-A2F7-4584-8C4C-86E19B39312C}"/>
    <cellStyle name="20% - Accent6 2 2 7 3" xfId="19265" xr:uid="{00000000-0005-0000-0000-0000DB090000}"/>
    <cellStyle name="20% - Accent6 2 2 7 3 2" xfId="36134" xr:uid="{7267AAB4-32C0-42C4-B05B-C02C802BEDD9}"/>
    <cellStyle name="20% - Accent6 2 2 7 4" xfId="10830" xr:uid="{00000000-0005-0000-0000-0000DC090000}"/>
    <cellStyle name="20% - Accent6 2 2 7 5" xfId="27700" xr:uid="{7BE87D55-9603-4308-A2CF-22D0F8DA8996}"/>
    <cellStyle name="20% - Accent6 2 2 8" xfId="4547" xr:uid="{00000000-0005-0000-0000-0000DD090000}"/>
    <cellStyle name="20% - Accent6 2 2 8 2" xfId="21417" xr:uid="{00000000-0005-0000-0000-0000DE090000}"/>
    <cellStyle name="20% - Accent6 2 2 8 2 2" xfId="38285" xr:uid="{41D0F5DA-BE8A-4922-BB61-8FB839B14C14}"/>
    <cellStyle name="20% - Accent6 2 2 8 3" xfId="12982" xr:uid="{00000000-0005-0000-0000-0000DF090000}"/>
    <cellStyle name="20% - Accent6 2 2 8 4" xfId="29851" xr:uid="{196828E8-BC5A-4F9F-86B1-E77850212B06}"/>
    <cellStyle name="20% - Accent6 2 2 9" xfId="17199" xr:uid="{00000000-0005-0000-0000-0000E0090000}"/>
    <cellStyle name="20% - Accent6 2 2 9 2" xfId="34068" xr:uid="{52692773-9539-4E97-8EC9-0F15224E9FA5}"/>
    <cellStyle name="20% - Accent6 2 3" xfId="45" xr:uid="{00000000-0005-0000-0000-0000E1090000}"/>
    <cellStyle name="20% - Accent6 2 3 10" xfId="25636" xr:uid="{3568B664-C535-438D-8CE9-6B004A560123}"/>
    <cellStyle name="20% - Accent6 2 3 2" xfId="614" xr:uid="{00000000-0005-0000-0000-0000E2090000}"/>
    <cellStyle name="20% - Accent6 2 3 2 2" xfId="2885" xr:uid="{00000000-0005-0000-0000-0000E3090000}"/>
    <cellStyle name="20% - Accent6 2 3 2 2 2" xfId="7108" xr:uid="{00000000-0005-0000-0000-0000E4090000}"/>
    <cellStyle name="20% - Accent6 2 3 2 2 2 2" xfId="23978" xr:uid="{00000000-0005-0000-0000-0000E5090000}"/>
    <cellStyle name="20% - Accent6 2 3 2 2 2 2 2" xfId="40846" xr:uid="{EB135DB7-37A6-4C09-A4DB-C145A3B133ED}"/>
    <cellStyle name="20% - Accent6 2 3 2 2 2 3" xfId="15543" xr:uid="{00000000-0005-0000-0000-0000E6090000}"/>
    <cellStyle name="20% - Accent6 2 3 2 2 2 4" xfId="32412" xr:uid="{E848EFFE-A69D-4BCA-9026-8ECEA8CAC39E}"/>
    <cellStyle name="20% - Accent6 2 3 2 2 3" xfId="19760" xr:uid="{00000000-0005-0000-0000-0000E7090000}"/>
    <cellStyle name="20% - Accent6 2 3 2 2 3 2" xfId="36629" xr:uid="{00E92A54-1562-411B-BAA9-9880E50D5334}"/>
    <cellStyle name="20% - Accent6 2 3 2 2 4" xfId="11325" xr:uid="{00000000-0005-0000-0000-0000E8090000}"/>
    <cellStyle name="20% - Accent6 2 3 2 2 5" xfId="28195" xr:uid="{E45F43C6-1081-48B9-ABA1-94335463C1CC}"/>
    <cellStyle name="20% - Accent6 2 3 2 3" xfId="4963" xr:uid="{00000000-0005-0000-0000-0000E9090000}"/>
    <cellStyle name="20% - Accent6 2 3 2 3 2" xfId="21833" xr:uid="{00000000-0005-0000-0000-0000EA090000}"/>
    <cellStyle name="20% - Accent6 2 3 2 3 2 2" xfId="38701" xr:uid="{9259DB56-77C1-4D45-A4C8-D043CE474429}"/>
    <cellStyle name="20% - Accent6 2 3 2 3 3" xfId="13398" xr:uid="{00000000-0005-0000-0000-0000EB090000}"/>
    <cellStyle name="20% - Accent6 2 3 2 3 4" xfId="30267" xr:uid="{908E0036-D919-447B-953E-7A51D5E93366}"/>
    <cellStyle name="20% - Accent6 2 3 2 4" xfId="17615" xr:uid="{00000000-0005-0000-0000-0000EC090000}"/>
    <cellStyle name="20% - Accent6 2 3 2 4 2" xfId="34484" xr:uid="{BE5F85A8-CF43-4CF1-8592-A116402E8118}"/>
    <cellStyle name="20% - Accent6 2 3 2 5" xfId="9180" xr:uid="{00000000-0005-0000-0000-0000ED090000}"/>
    <cellStyle name="20% - Accent6 2 3 2 6" xfId="26050" xr:uid="{8F65A476-EEA1-4278-AD38-0A1C3AE33C17}"/>
    <cellStyle name="20% - Accent6 2 3 3" xfId="1067" xr:uid="{00000000-0005-0000-0000-0000EE090000}"/>
    <cellStyle name="20% - Accent6 2 3 3 2" xfId="3298" xr:uid="{00000000-0005-0000-0000-0000EF090000}"/>
    <cellStyle name="20% - Accent6 2 3 3 2 2" xfId="7521" xr:uid="{00000000-0005-0000-0000-0000F0090000}"/>
    <cellStyle name="20% - Accent6 2 3 3 2 2 2" xfId="24391" xr:uid="{00000000-0005-0000-0000-0000F1090000}"/>
    <cellStyle name="20% - Accent6 2 3 3 2 2 2 2" xfId="41259" xr:uid="{7C3566DC-6D41-45FF-AA84-3408C05C6355}"/>
    <cellStyle name="20% - Accent6 2 3 3 2 2 3" xfId="15956" xr:uid="{00000000-0005-0000-0000-0000F2090000}"/>
    <cellStyle name="20% - Accent6 2 3 3 2 2 4" xfId="32825" xr:uid="{5B86083A-234E-4725-825E-05AA48F1133B}"/>
    <cellStyle name="20% - Accent6 2 3 3 2 3" xfId="20173" xr:uid="{00000000-0005-0000-0000-0000F3090000}"/>
    <cellStyle name="20% - Accent6 2 3 3 2 3 2" xfId="37042" xr:uid="{8C2D339D-B073-4928-8C3D-ED02C009892B}"/>
    <cellStyle name="20% - Accent6 2 3 3 2 4" xfId="11738" xr:uid="{00000000-0005-0000-0000-0000F4090000}"/>
    <cellStyle name="20% - Accent6 2 3 3 2 5" xfId="28608" xr:uid="{0924AC42-FA40-4E09-A69A-D19508EB1F29}"/>
    <cellStyle name="20% - Accent6 2 3 3 3" xfId="5376" xr:uid="{00000000-0005-0000-0000-0000F5090000}"/>
    <cellStyle name="20% - Accent6 2 3 3 3 2" xfId="22246" xr:uid="{00000000-0005-0000-0000-0000F6090000}"/>
    <cellStyle name="20% - Accent6 2 3 3 3 2 2" xfId="39114" xr:uid="{100D5FED-B729-45D7-AA87-99C1EEC8ED9F}"/>
    <cellStyle name="20% - Accent6 2 3 3 3 3" xfId="13811" xr:uid="{00000000-0005-0000-0000-0000F7090000}"/>
    <cellStyle name="20% - Accent6 2 3 3 3 4" xfId="30680" xr:uid="{EF21A056-647D-4ED9-A268-B8A9CD0BD3F7}"/>
    <cellStyle name="20% - Accent6 2 3 3 4" xfId="18028" xr:uid="{00000000-0005-0000-0000-0000F8090000}"/>
    <cellStyle name="20% - Accent6 2 3 3 4 2" xfId="34897" xr:uid="{C7628774-99AE-4863-BFD8-B9C8DECF2F74}"/>
    <cellStyle name="20% - Accent6 2 3 3 5" xfId="9593" xr:uid="{00000000-0005-0000-0000-0000F9090000}"/>
    <cellStyle name="20% - Accent6 2 3 3 6" xfId="26463" xr:uid="{22A23E36-9CB8-49B0-BC87-07D1F0630275}"/>
    <cellStyle name="20% - Accent6 2 3 4" xfId="1481" xr:uid="{00000000-0005-0000-0000-0000FA090000}"/>
    <cellStyle name="20% - Accent6 2 3 4 2" xfId="3711" xr:uid="{00000000-0005-0000-0000-0000FB090000}"/>
    <cellStyle name="20% - Accent6 2 3 4 2 2" xfId="7934" xr:uid="{00000000-0005-0000-0000-0000FC090000}"/>
    <cellStyle name="20% - Accent6 2 3 4 2 2 2" xfId="24804" xr:uid="{00000000-0005-0000-0000-0000FD090000}"/>
    <cellStyle name="20% - Accent6 2 3 4 2 2 2 2" xfId="41672" xr:uid="{D93A0301-BADF-43F8-9ABC-442B832AD0BA}"/>
    <cellStyle name="20% - Accent6 2 3 4 2 2 3" xfId="16369" xr:uid="{00000000-0005-0000-0000-0000FE090000}"/>
    <cellStyle name="20% - Accent6 2 3 4 2 2 4" xfId="33238" xr:uid="{87225935-5B27-4702-B118-D88EA545B50B}"/>
    <cellStyle name="20% - Accent6 2 3 4 2 3" xfId="20586" xr:uid="{00000000-0005-0000-0000-0000FF090000}"/>
    <cellStyle name="20% - Accent6 2 3 4 2 3 2" xfId="37455" xr:uid="{F28D336B-714F-437F-AA1A-A7A9B6CC4E1B}"/>
    <cellStyle name="20% - Accent6 2 3 4 2 4" xfId="12151" xr:uid="{00000000-0005-0000-0000-0000000A0000}"/>
    <cellStyle name="20% - Accent6 2 3 4 2 5" xfId="29021" xr:uid="{32716FB5-EFD1-4913-AE73-D6CB7C4481CA}"/>
    <cellStyle name="20% - Accent6 2 3 4 3" xfId="5789" xr:uid="{00000000-0005-0000-0000-0000010A0000}"/>
    <cellStyle name="20% - Accent6 2 3 4 3 2" xfId="22659" xr:uid="{00000000-0005-0000-0000-0000020A0000}"/>
    <cellStyle name="20% - Accent6 2 3 4 3 2 2" xfId="39527" xr:uid="{597DB225-4BF9-47DD-8C1D-579D9198608A}"/>
    <cellStyle name="20% - Accent6 2 3 4 3 3" xfId="14224" xr:uid="{00000000-0005-0000-0000-0000030A0000}"/>
    <cellStyle name="20% - Accent6 2 3 4 3 4" xfId="31093" xr:uid="{FC454F68-D639-49E9-A244-54F69BB42D0C}"/>
    <cellStyle name="20% - Accent6 2 3 4 4" xfId="18441" xr:uid="{00000000-0005-0000-0000-0000040A0000}"/>
    <cellStyle name="20% - Accent6 2 3 4 4 2" xfId="35310" xr:uid="{6F62FCD1-0EC4-4376-8F82-1E19680718A6}"/>
    <cellStyle name="20% - Accent6 2 3 4 5" xfId="10006" xr:uid="{00000000-0005-0000-0000-0000050A0000}"/>
    <cellStyle name="20% - Accent6 2 3 4 6" xfId="26876" xr:uid="{9FE55671-1B07-423D-B8A3-FAA5AD9A38AC}"/>
    <cellStyle name="20% - Accent6 2 3 5" xfId="1895" xr:uid="{00000000-0005-0000-0000-0000060A0000}"/>
    <cellStyle name="20% - Accent6 2 3 5 2" xfId="4124" xr:uid="{00000000-0005-0000-0000-0000070A0000}"/>
    <cellStyle name="20% - Accent6 2 3 5 2 2" xfId="8347" xr:uid="{00000000-0005-0000-0000-0000080A0000}"/>
    <cellStyle name="20% - Accent6 2 3 5 2 2 2" xfId="25217" xr:uid="{00000000-0005-0000-0000-0000090A0000}"/>
    <cellStyle name="20% - Accent6 2 3 5 2 2 2 2" xfId="42085" xr:uid="{B19F5186-07CC-42C2-A205-E5F5BDB3D6E3}"/>
    <cellStyle name="20% - Accent6 2 3 5 2 2 3" xfId="16782" xr:uid="{00000000-0005-0000-0000-00000A0A0000}"/>
    <cellStyle name="20% - Accent6 2 3 5 2 2 4" xfId="33651" xr:uid="{8348F69A-9F38-4803-A3FD-9EF91AD29E7A}"/>
    <cellStyle name="20% - Accent6 2 3 5 2 3" xfId="20999" xr:uid="{00000000-0005-0000-0000-00000B0A0000}"/>
    <cellStyle name="20% - Accent6 2 3 5 2 3 2" xfId="37868" xr:uid="{9105A1E4-CE50-4B26-827B-55B1997A78D5}"/>
    <cellStyle name="20% - Accent6 2 3 5 2 4" xfId="12564" xr:uid="{00000000-0005-0000-0000-00000C0A0000}"/>
    <cellStyle name="20% - Accent6 2 3 5 2 5" xfId="29434" xr:uid="{C9C75571-052E-4D62-8182-E343166D89BE}"/>
    <cellStyle name="20% - Accent6 2 3 5 3" xfId="6202" xr:uid="{00000000-0005-0000-0000-00000D0A0000}"/>
    <cellStyle name="20% - Accent6 2 3 5 3 2" xfId="23072" xr:uid="{00000000-0005-0000-0000-00000E0A0000}"/>
    <cellStyle name="20% - Accent6 2 3 5 3 2 2" xfId="39940" xr:uid="{99547B4D-CE60-4230-AC36-B8F7C8088A7C}"/>
    <cellStyle name="20% - Accent6 2 3 5 3 3" xfId="14637" xr:uid="{00000000-0005-0000-0000-00000F0A0000}"/>
    <cellStyle name="20% - Accent6 2 3 5 3 4" xfId="31506" xr:uid="{539CC09E-A932-49F6-9F06-A5C4412EEBA0}"/>
    <cellStyle name="20% - Accent6 2 3 5 4" xfId="18854" xr:uid="{00000000-0005-0000-0000-0000100A0000}"/>
    <cellStyle name="20% - Accent6 2 3 5 4 2" xfId="35723" xr:uid="{E7B0D31A-8108-4C71-80F9-9C66D8B5B266}"/>
    <cellStyle name="20% - Accent6 2 3 5 5" xfId="10419" xr:uid="{00000000-0005-0000-0000-0000110A0000}"/>
    <cellStyle name="20% - Accent6 2 3 5 6" xfId="27289" xr:uid="{E699ED83-03E6-49F8-9692-98E379AF0F15}"/>
    <cellStyle name="20% - Accent6 2 3 6" xfId="2308" xr:uid="{00000000-0005-0000-0000-0000120A0000}"/>
    <cellStyle name="20% - Accent6 2 3 6 2" xfId="6615" xr:uid="{00000000-0005-0000-0000-0000130A0000}"/>
    <cellStyle name="20% - Accent6 2 3 6 2 2" xfId="23485" xr:uid="{00000000-0005-0000-0000-0000140A0000}"/>
    <cellStyle name="20% - Accent6 2 3 6 2 2 2" xfId="40353" xr:uid="{77E06A9C-5BCC-4FCA-8E86-F5E682C39ED3}"/>
    <cellStyle name="20% - Accent6 2 3 6 2 3" xfId="15050" xr:uid="{00000000-0005-0000-0000-0000150A0000}"/>
    <cellStyle name="20% - Accent6 2 3 6 2 4" xfId="31919" xr:uid="{58DDC669-4496-42F6-954E-8013D12DF3A8}"/>
    <cellStyle name="20% - Accent6 2 3 6 3" xfId="19267" xr:uid="{00000000-0005-0000-0000-0000160A0000}"/>
    <cellStyle name="20% - Accent6 2 3 6 3 2" xfId="36136" xr:uid="{D324DCC0-45E1-44B7-8271-11C3EFC1C3FB}"/>
    <cellStyle name="20% - Accent6 2 3 6 4" xfId="10832" xr:uid="{00000000-0005-0000-0000-0000170A0000}"/>
    <cellStyle name="20% - Accent6 2 3 6 5" xfId="27702" xr:uid="{FFB5F05A-F40C-48B2-9B89-68CD0C5F136E}"/>
    <cellStyle name="20% - Accent6 2 3 7" xfId="4549" xr:uid="{00000000-0005-0000-0000-0000180A0000}"/>
    <cellStyle name="20% - Accent6 2 3 7 2" xfId="21419" xr:uid="{00000000-0005-0000-0000-0000190A0000}"/>
    <cellStyle name="20% - Accent6 2 3 7 2 2" xfId="38287" xr:uid="{C47714BE-6478-4875-A62A-7F183D60EA66}"/>
    <cellStyle name="20% - Accent6 2 3 7 3" xfId="12984" xr:uid="{00000000-0005-0000-0000-00001A0A0000}"/>
    <cellStyle name="20% - Accent6 2 3 7 4" xfId="29853" xr:uid="{81E13ABC-88FF-4919-BCE6-A84055AC0894}"/>
    <cellStyle name="20% - Accent6 2 3 8" xfId="17201" xr:uid="{00000000-0005-0000-0000-00001B0A0000}"/>
    <cellStyle name="20% - Accent6 2 3 8 2" xfId="34070" xr:uid="{CBFB9A92-4DEE-44BD-9146-DAD03605C8A9}"/>
    <cellStyle name="20% - Accent6 2 3 9" xfId="8766" xr:uid="{00000000-0005-0000-0000-00001C0A0000}"/>
    <cellStyle name="20% - Accent6 2 4" xfId="611" xr:uid="{00000000-0005-0000-0000-00001D0A0000}"/>
    <cellStyle name="20% - Accent6 2 4 2" xfId="2882" xr:uid="{00000000-0005-0000-0000-00001E0A0000}"/>
    <cellStyle name="20% - Accent6 2 4 2 2" xfId="7105" xr:uid="{00000000-0005-0000-0000-00001F0A0000}"/>
    <cellStyle name="20% - Accent6 2 4 2 2 2" xfId="23975" xr:uid="{00000000-0005-0000-0000-0000200A0000}"/>
    <cellStyle name="20% - Accent6 2 4 2 2 2 2" xfId="40843" xr:uid="{AA994311-C559-4CD2-90E7-8CACF3B2C666}"/>
    <cellStyle name="20% - Accent6 2 4 2 2 3" xfId="15540" xr:uid="{00000000-0005-0000-0000-0000210A0000}"/>
    <cellStyle name="20% - Accent6 2 4 2 2 4" xfId="32409" xr:uid="{3B9663B1-3995-42B9-A786-1DB791C8AF0A}"/>
    <cellStyle name="20% - Accent6 2 4 2 3" xfId="19757" xr:uid="{00000000-0005-0000-0000-0000220A0000}"/>
    <cellStyle name="20% - Accent6 2 4 2 3 2" xfId="36626" xr:uid="{F80A4BF7-D841-48E4-B879-3800C691D8CA}"/>
    <cellStyle name="20% - Accent6 2 4 2 4" xfId="11322" xr:uid="{00000000-0005-0000-0000-0000230A0000}"/>
    <cellStyle name="20% - Accent6 2 4 2 5" xfId="28192" xr:uid="{E976C28A-58B9-46B4-8847-6F9AC80C60A8}"/>
    <cellStyle name="20% - Accent6 2 4 3" xfId="4960" xr:uid="{00000000-0005-0000-0000-0000240A0000}"/>
    <cellStyle name="20% - Accent6 2 4 3 2" xfId="21830" xr:uid="{00000000-0005-0000-0000-0000250A0000}"/>
    <cellStyle name="20% - Accent6 2 4 3 2 2" xfId="38698" xr:uid="{4C1B08CC-6C90-436B-9EDD-53AE94A13285}"/>
    <cellStyle name="20% - Accent6 2 4 3 3" xfId="13395" xr:uid="{00000000-0005-0000-0000-0000260A0000}"/>
    <cellStyle name="20% - Accent6 2 4 3 4" xfId="30264" xr:uid="{594A7022-B943-42D4-B892-087C795C3E60}"/>
    <cellStyle name="20% - Accent6 2 4 4" xfId="17612" xr:uid="{00000000-0005-0000-0000-0000270A0000}"/>
    <cellStyle name="20% - Accent6 2 4 4 2" xfId="34481" xr:uid="{361BD19A-5E99-435C-A930-EA481E413C4A}"/>
    <cellStyle name="20% - Accent6 2 4 5" xfId="9177" xr:uid="{00000000-0005-0000-0000-0000280A0000}"/>
    <cellStyle name="20% - Accent6 2 4 6" xfId="26047" xr:uid="{DC64E325-96E4-428C-B19D-0A7F20C25B60}"/>
    <cellStyle name="20% - Accent6 2 5" xfId="1064" xr:uid="{00000000-0005-0000-0000-0000290A0000}"/>
    <cellStyle name="20% - Accent6 2 5 2" xfId="3295" xr:uid="{00000000-0005-0000-0000-00002A0A0000}"/>
    <cellStyle name="20% - Accent6 2 5 2 2" xfId="7518" xr:uid="{00000000-0005-0000-0000-00002B0A0000}"/>
    <cellStyle name="20% - Accent6 2 5 2 2 2" xfId="24388" xr:uid="{00000000-0005-0000-0000-00002C0A0000}"/>
    <cellStyle name="20% - Accent6 2 5 2 2 2 2" xfId="41256" xr:uid="{57D32BA7-6C7C-4E74-9C08-48C6F70310A9}"/>
    <cellStyle name="20% - Accent6 2 5 2 2 3" xfId="15953" xr:uid="{00000000-0005-0000-0000-00002D0A0000}"/>
    <cellStyle name="20% - Accent6 2 5 2 2 4" xfId="32822" xr:uid="{9DABEA19-2E12-40A6-99EF-EB98AF34BB14}"/>
    <cellStyle name="20% - Accent6 2 5 2 3" xfId="20170" xr:uid="{00000000-0005-0000-0000-00002E0A0000}"/>
    <cellStyle name="20% - Accent6 2 5 2 3 2" xfId="37039" xr:uid="{D0066859-6ECF-4D48-8464-A1DC2B26099C}"/>
    <cellStyle name="20% - Accent6 2 5 2 4" xfId="11735" xr:uid="{00000000-0005-0000-0000-00002F0A0000}"/>
    <cellStyle name="20% - Accent6 2 5 2 5" xfId="28605" xr:uid="{7F1022F2-8660-4390-A2E9-B221EB1D3C4C}"/>
    <cellStyle name="20% - Accent6 2 5 3" xfId="5373" xr:uid="{00000000-0005-0000-0000-0000300A0000}"/>
    <cellStyle name="20% - Accent6 2 5 3 2" xfId="22243" xr:uid="{00000000-0005-0000-0000-0000310A0000}"/>
    <cellStyle name="20% - Accent6 2 5 3 2 2" xfId="39111" xr:uid="{5810B7F9-974B-4906-94C7-CD6BF3C247E9}"/>
    <cellStyle name="20% - Accent6 2 5 3 3" xfId="13808" xr:uid="{00000000-0005-0000-0000-0000320A0000}"/>
    <cellStyle name="20% - Accent6 2 5 3 4" xfId="30677" xr:uid="{1870AB56-8B5B-4DA7-8454-E44B6CB42657}"/>
    <cellStyle name="20% - Accent6 2 5 4" xfId="18025" xr:uid="{00000000-0005-0000-0000-0000330A0000}"/>
    <cellStyle name="20% - Accent6 2 5 4 2" xfId="34894" xr:uid="{4A428D2F-F126-495B-845A-71625640B09A}"/>
    <cellStyle name="20% - Accent6 2 5 5" xfId="9590" xr:uid="{00000000-0005-0000-0000-0000340A0000}"/>
    <cellStyle name="20% - Accent6 2 5 6" xfId="26460" xr:uid="{30374E93-08A0-46B5-BB8E-56CCE33786CC}"/>
    <cellStyle name="20% - Accent6 2 6" xfId="1478" xr:uid="{00000000-0005-0000-0000-0000350A0000}"/>
    <cellStyle name="20% - Accent6 2 6 2" xfId="3708" xr:uid="{00000000-0005-0000-0000-0000360A0000}"/>
    <cellStyle name="20% - Accent6 2 6 2 2" xfId="7931" xr:uid="{00000000-0005-0000-0000-0000370A0000}"/>
    <cellStyle name="20% - Accent6 2 6 2 2 2" xfId="24801" xr:uid="{00000000-0005-0000-0000-0000380A0000}"/>
    <cellStyle name="20% - Accent6 2 6 2 2 2 2" xfId="41669" xr:uid="{DD28CA1C-AF11-4505-97BE-E18BEDC4FD08}"/>
    <cellStyle name="20% - Accent6 2 6 2 2 3" xfId="16366" xr:uid="{00000000-0005-0000-0000-0000390A0000}"/>
    <cellStyle name="20% - Accent6 2 6 2 2 4" xfId="33235" xr:uid="{BB642977-46B8-44A1-AD01-22E2CB493567}"/>
    <cellStyle name="20% - Accent6 2 6 2 3" xfId="20583" xr:uid="{00000000-0005-0000-0000-00003A0A0000}"/>
    <cellStyle name="20% - Accent6 2 6 2 3 2" xfId="37452" xr:uid="{C1431BDA-9DB9-44A5-9F90-BB4CB4D4E20B}"/>
    <cellStyle name="20% - Accent6 2 6 2 4" xfId="12148" xr:uid="{00000000-0005-0000-0000-00003B0A0000}"/>
    <cellStyle name="20% - Accent6 2 6 2 5" xfId="29018" xr:uid="{467FF545-57C3-446B-B998-910E5D016938}"/>
    <cellStyle name="20% - Accent6 2 6 3" xfId="5786" xr:uid="{00000000-0005-0000-0000-00003C0A0000}"/>
    <cellStyle name="20% - Accent6 2 6 3 2" xfId="22656" xr:uid="{00000000-0005-0000-0000-00003D0A0000}"/>
    <cellStyle name="20% - Accent6 2 6 3 2 2" xfId="39524" xr:uid="{5F05244B-2F54-4ABE-954B-A6937AE58981}"/>
    <cellStyle name="20% - Accent6 2 6 3 3" xfId="14221" xr:uid="{00000000-0005-0000-0000-00003E0A0000}"/>
    <cellStyle name="20% - Accent6 2 6 3 4" xfId="31090" xr:uid="{2A244893-9EFF-4392-919A-6E7C82B292F0}"/>
    <cellStyle name="20% - Accent6 2 6 4" xfId="18438" xr:uid="{00000000-0005-0000-0000-00003F0A0000}"/>
    <cellStyle name="20% - Accent6 2 6 4 2" xfId="35307" xr:uid="{2BDB6F22-8126-4A63-B3ED-E2963FE05A79}"/>
    <cellStyle name="20% - Accent6 2 6 5" xfId="10003" xr:uid="{00000000-0005-0000-0000-0000400A0000}"/>
    <cellStyle name="20% - Accent6 2 6 6" xfId="26873" xr:uid="{E2E71E84-7E0E-4E73-BF95-FA9E92FB971C}"/>
    <cellStyle name="20% - Accent6 2 7" xfId="1892" xr:uid="{00000000-0005-0000-0000-0000410A0000}"/>
    <cellStyle name="20% - Accent6 2 7 2" xfId="4121" xr:uid="{00000000-0005-0000-0000-0000420A0000}"/>
    <cellStyle name="20% - Accent6 2 7 2 2" xfId="8344" xr:uid="{00000000-0005-0000-0000-0000430A0000}"/>
    <cellStyle name="20% - Accent6 2 7 2 2 2" xfId="25214" xr:uid="{00000000-0005-0000-0000-0000440A0000}"/>
    <cellStyle name="20% - Accent6 2 7 2 2 2 2" xfId="42082" xr:uid="{80C2557C-C89C-4AD6-8EB5-5DA87B2412E9}"/>
    <cellStyle name="20% - Accent6 2 7 2 2 3" xfId="16779" xr:uid="{00000000-0005-0000-0000-0000450A0000}"/>
    <cellStyle name="20% - Accent6 2 7 2 2 4" xfId="33648" xr:uid="{B135A60E-2C76-47BE-B042-B8DFB374F317}"/>
    <cellStyle name="20% - Accent6 2 7 2 3" xfId="20996" xr:uid="{00000000-0005-0000-0000-0000460A0000}"/>
    <cellStyle name="20% - Accent6 2 7 2 3 2" xfId="37865" xr:uid="{105B6EBB-6C05-4BFF-8F2E-F7A2E46521DB}"/>
    <cellStyle name="20% - Accent6 2 7 2 4" xfId="12561" xr:uid="{00000000-0005-0000-0000-0000470A0000}"/>
    <cellStyle name="20% - Accent6 2 7 2 5" xfId="29431" xr:uid="{0ABBE7A3-7D41-410A-9CD4-5D384C9A5D55}"/>
    <cellStyle name="20% - Accent6 2 7 3" xfId="6199" xr:uid="{00000000-0005-0000-0000-0000480A0000}"/>
    <cellStyle name="20% - Accent6 2 7 3 2" xfId="23069" xr:uid="{00000000-0005-0000-0000-0000490A0000}"/>
    <cellStyle name="20% - Accent6 2 7 3 2 2" xfId="39937" xr:uid="{981A37A2-D92E-40FD-A6BB-E4228A00BCF4}"/>
    <cellStyle name="20% - Accent6 2 7 3 3" xfId="14634" xr:uid="{00000000-0005-0000-0000-00004A0A0000}"/>
    <cellStyle name="20% - Accent6 2 7 3 4" xfId="31503" xr:uid="{C56D1B5F-6ED3-4C3E-B000-8238605AE177}"/>
    <cellStyle name="20% - Accent6 2 7 4" xfId="18851" xr:uid="{00000000-0005-0000-0000-00004B0A0000}"/>
    <cellStyle name="20% - Accent6 2 7 4 2" xfId="35720" xr:uid="{F6CA8FFA-DC70-4265-9C09-9E7D255EF035}"/>
    <cellStyle name="20% - Accent6 2 7 5" xfId="10416" xr:uid="{00000000-0005-0000-0000-00004C0A0000}"/>
    <cellStyle name="20% - Accent6 2 7 6" xfId="27286" xr:uid="{B43938E3-D64C-496F-AF24-94E7A4463CEF}"/>
    <cellStyle name="20% - Accent6 2 8" xfId="2305" xr:uid="{00000000-0005-0000-0000-00004D0A0000}"/>
    <cellStyle name="20% - Accent6 2 8 2" xfId="6612" xr:uid="{00000000-0005-0000-0000-00004E0A0000}"/>
    <cellStyle name="20% - Accent6 2 8 2 2" xfId="23482" xr:uid="{00000000-0005-0000-0000-00004F0A0000}"/>
    <cellStyle name="20% - Accent6 2 8 2 2 2" xfId="40350" xr:uid="{5232A0F3-3E54-4223-BB0B-97FD3BDD933D}"/>
    <cellStyle name="20% - Accent6 2 8 2 3" xfId="15047" xr:uid="{00000000-0005-0000-0000-0000500A0000}"/>
    <cellStyle name="20% - Accent6 2 8 2 4" xfId="31916" xr:uid="{7F86F41F-61E7-48E6-8927-FDCE320B14D3}"/>
    <cellStyle name="20% - Accent6 2 8 3" xfId="19264" xr:uid="{00000000-0005-0000-0000-0000510A0000}"/>
    <cellStyle name="20% - Accent6 2 8 3 2" xfId="36133" xr:uid="{3C732CAD-899B-4030-A5B0-318B26EA36B4}"/>
    <cellStyle name="20% - Accent6 2 8 4" xfId="10829" xr:uid="{00000000-0005-0000-0000-0000520A0000}"/>
    <cellStyle name="20% - Accent6 2 8 5" xfId="27699" xr:uid="{2057967F-32BC-429E-86DB-530DC273051D}"/>
    <cellStyle name="20% - Accent6 2 9" xfId="4546" xr:uid="{00000000-0005-0000-0000-0000530A0000}"/>
    <cellStyle name="20% - Accent6 2 9 2" xfId="21416" xr:uid="{00000000-0005-0000-0000-0000540A0000}"/>
    <cellStyle name="20% - Accent6 2 9 2 2" xfId="38284" xr:uid="{D5E1E7CF-3959-434A-886E-BF094A5D9462}"/>
    <cellStyle name="20% - Accent6 2 9 3" xfId="12981" xr:uid="{00000000-0005-0000-0000-0000550A0000}"/>
    <cellStyle name="20% - Accent6 2 9 4" xfId="29850" xr:uid="{F76AF45E-A17B-4E64-BB73-96AEBA4CA4EF}"/>
    <cellStyle name="20% - Accent6 3" xfId="46" xr:uid="{00000000-0005-0000-0000-0000560A0000}"/>
    <cellStyle name="20% - Accent6 3 10" xfId="8767" xr:uid="{00000000-0005-0000-0000-0000570A0000}"/>
    <cellStyle name="20% - Accent6 3 11" xfId="25637" xr:uid="{9DEFA54D-4709-4032-98EF-EF7FB3D4B1CD}"/>
    <cellStyle name="20% - Accent6 3 2" xfId="47" xr:uid="{00000000-0005-0000-0000-0000580A0000}"/>
    <cellStyle name="20% - Accent6 3 2 10" xfId="25638" xr:uid="{3F7EEBA0-6CE6-42D9-B8CD-316DD70F0F9F}"/>
    <cellStyle name="20% - Accent6 3 2 2" xfId="616" xr:uid="{00000000-0005-0000-0000-0000590A0000}"/>
    <cellStyle name="20% - Accent6 3 2 2 2" xfId="2887" xr:uid="{00000000-0005-0000-0000-00005A0A0000}"/>
    <cellStyle name="20% - Accent6 3 2 2 2 2" xfId="7110" xr:uid="{00000000-0005-0000-0000-00005B0A0000}"/>
    <cellStyle name="20% - Accent6 3 2 2 2 2 2" xfId="23980" xr:uid="{00000000-0005-0000-0000-00005C0A0000}"/>
    <cellStyle name="20% - Accent6 3 2 2 2 2 2 2" xfId="40848" xr:uid="{A1F91C18-ABF8-41E2-BA6D-ECEE4D841F2F}"/>
    <cellStyle name="20% - Accent6 3 2 2 2 2 3" xfId="15545" xr:uid="{00000000-0005-0000-0000-00005D0A0000}"/>
    <cellStyle name="20% - Accent6 3 2 2 2 2 4" xfId="32414" xr:uid="{E1009B8C-B6DE-4E95-998C-D03EC008D7B3}"/>
    <cellStyle name="20% - Accent6 3 2 2 2 3" xfId="19762" xr:uid="{00000000-0005-0000-0000-00005E0A0000}"/>
    <cellStyle name="20% - Accent6 3 2 2 2 3 2" xfId="36631" xr:uid="{77B1BB8A-DBA3-4409-8291-B16760809C91}"/>
    <cellStyle name="20% - Accent6 3 2 2 2 4" xfId="11327" xr:uid="{00000000-0005-0000-0000-00005F0A0000}"/>
    <cellStyle name="20% - Accent6 3 2 2 2 5" xfId="28197" xr:uid="{ABCA7D0C-E9C8-4F27-B02F-2E4461110E7E}"/>
    <cellStyle name="20% - Accent6 3 2 2 3" xfId="4965" xr:uid="{00000000-0005-0000-0000-0000600A0000}"/>
    <cellStyle name="20% - Accent6 3 2 2 3 2" xfId="21835" xr:uid="{00000000-0005-0000-0000-0000610A0000}"/>
    <cellStyle name="20% - Accent6 3 2 2 3 2 2" xfId="38703" xr:uid="{E281EE77-FBA1-44A5-AFD2-B9C016E9CB74}"/>
    <cellStyle name="20% - Accent6 3 2 2 3 3" xfId="13400" xr:uid="{00000000-0005-0000-0000-0000620A0000}"/>
    <cellStyle name="20% - Accent6 3 2 2 3 4" xfId="30269" xr:uid="{41B74788-EB08-4F59-841D-90E374A3C64D}"/>
    <cellStyle name="20% - Accent6 3 2 2 4" xfId="17617" xr:uid="{00000000-0005-0000-0000-0000630A0000}"/>
    <cellStyle name="20% - Accent6 3 2 2 4 2" xfId="34486" xr:uid="{522BAA48-D9E5-47B9-88C9-E78C9154F590}"/>
    <cellStyle name="20% - Accent6 3 2 2 5" xfId="9182" xr:uid="{00000000-0005-0000-0000-0000640A0000}"/>
    <cellStyle name="20% - Accent6 3 2 2 6" xfId="26052" xr:uid="{4C54117C-78DC-4CE8-80B9-A603EF4C934C}"/>
    <cellStyle name="20% - Accent6 3 2 3" xfId="1069" xr:uid="{00000000-0005-0000-0000-0000650A0000}"/>
    <cellStyle name="20% - Accent6 3 2 3 2" xfId="3300" xr:uid="{00000000-0005-0000-0000-0000660A0000}"/>
    <cellStyle name="20% - Accent6 3 2 3 2 2" xfId="7523" xr:uid="{00000000-0005-0000-0000-0000670A0000}"/>
    <cellStyle name="20% - Accent6 3 2 3 2 2 2" xfId="24393" xr:uid="{00000000-0005-0000-0000-0000680A0000}"/>
    <cellStyle name="20% - Accent6 3 2 3 2 2 2 2" xfId="41261" xr:uid="{37FA9B80-C6FB-4895-986C-65556EDE9C64}"/>
    <cellStyle name="20% - Accent6 3 2 3 2 2 3" xfId="15958" xr:uid="{00000000-0005-0000-0000-0000690A0000}"/>
    <cellStyle name="20% - Accent6 3 2 3 2 2 4" xfId="32827" xr:uid="{BC206F62-3FEE-4406-B056-E5AD7F997975}"/>
    <cellStyle name="20% - Accent6 3 2 3 2 3" xfId="20175" xr:uid="{00000000-0005-0000-0000-00006A0A0000}"/>
    <cellStyle name="20% - Accent6 3 2 3 2 3 2" xfId="37044" xr:uid="{A57118DF-D194-45E5-9CCB-70876BD6274C}"/>
    <cellStyle name="20% - Accent6 3 2 3 2 4" xfId="11740" xr:uid="{00000000-0005-0000-0000-00006B0A0000}"/>
    <cellStyle name="20% - Accent6 3 2 3 2 5" xfId="28610" xr:uid="{1CFD6BF6-2926-4BC9-8DEE-630C2067BF59}"/>
    <cellStyle name="20% - Accent6 3 2 3 3" xfId="5378" xr:uid="{00000000-0005-0000-0000-00006C0A0000}"/>
    <cellStyle name="20% - Accent6 3 2 3 3 2" xfId="22248" xr:uid="{00000000-0005-0000-0000-00006D0A0000}"/>
    <cellStyle name="20% - Accent6 3 2 3 3 2 2" xfId="39116" xr:uid="{07C02AE4-8EE0-4141-A9D2-AAA716F3CB40}"/>
    <cellStyle name="20% - Accent6 3 2 3 3 3" xfId="13813" xr:uid="{00000000-0005-0000-0000-00006E0A0000}"/>
    <cellStyle name="20% - Accent6 3 2 3 3 4" xfId="30682" xr:uid="{D2C7CD76-072A-4D1B-A029-FFB118DF3BB7}"/>
    <cellStyle name="20% - Accent6 3 2 3 4" xfId="18030" xr:uid="{00000000-0005-0000-0000-00006F0A0000}"/>
    <cellStyle name="20% - Accent6 3 2 3 4 2" xfId="34899" xr:uid="{15EE24F0-ACBE-43EF-99A5-3ADDD1F01BCC}"/>
    <cellStyle name="20% - Accent6 3 2 3 5" xfId="9595" xr:uid="{00000000-0005-0000-0000-0000700A0000}"/>
    <cellStyle name="20% - Accent6 3 2 3 6" xfId="26465" xr:uid="{A86DD738-B7FB-43AF-885A-3C1C9D9A2A6E}"/>
    <cellStyle name="20% - Accent6 3 2 4" xfId="1483" xr:uid="{00000000-0005-0000-0000-0000710A0000}"/>
    <cellStyle name="20% - Accent6 3 2 4 2" xfId="3713" xr:uid="{00000000-0005-0000-0000-0000720A0000}"/>
    <cellStyle name="20% - Accent6 3 2 4 2 2" xfId="7936" xr:uid="{00000000-0005-0000-0000-0000730A0000}"/>
    <cellStyle name="20% - Accent6 3 2 4 2 2 2" xfId="24806" xr:uid="{00000000-0005-0000-0000-0000740A0000}"/>
    <cellStyle name="20% - Accent6 3 2 4 2 2 2 2" xfId="41674" xr:uid="{1CA1C682-DF3F-4C7B-A716-C4FBE1A56F1E}"/>
    <cellStyle name="20% - Accent6 3 2 4 2 2 3" xfId="16371" xr:uid="{00000000-0005-0000-0000-0000750A0000}"/>
    <cellStyle name="20% - Accent6 3 2 4 2 2 4" xfId="33240" xr:uid="{97D75004-022F-455C-94BC-F159136ACDD6}"/>
    <cellStyle name="20% - Accent6 3 2 4 2 3" xfId="20588" xr:uid="{00000000-0005-0000-0000-0000760A0000}"/>
    <cellStyle name="20% - Accent6 3 2 4 2 3 2" xfId="37457" xr:uid="{33E34AF6-1634-4D99-A605-E601D6D0B9BD}"/>
    <cellStyle name="20% - Accent6 3 2 4 2 4" xfId="12153" xr:uid="{00000000-0005-0000-0000-0000770A0000}"/>
    <cellStyle name="20% - Accent6 3 2 4 2 5" xfId="29023" xr:uid="{D369861B-0C66-4A98-B43A-1884088770DE}"/>
    <cellStyle name="20% - Accent6 3 2 4 3" xfId="5791" xr:uid="{00000000-0005-0000-0000-0000780A0000}"/>
    <cellStyle name="20% - Accent6 3 2 4 3 2" xfId="22661" xr:uid="{00000000-0005-0000-0000-0000790A0000}"/>
    <cellStyle name="20% - Accent6 3 2 4 3 2 2" xfId="39529" xr:uid="{1F05A913-D3A3-4B94-8A56-503FA48474E3}"/>
    <cellStyle name="20% - Accent6 3 2 4 3 3" xfId="14226" xr:uid="{00000000-0005-0000-0000-00007A0A0000}"/>
    <cellStyle name="20% - Accent6 3 2 4 3 4" xfId="31095" xr:uid="{E3F43A57-C297-448F-A4DD-8B864D2B5593}"/>
    <cellStyle name="20% - Accent6 3 2 4 4" xfId="18443" xr:uid="{00000000-0005-0000-0000-00007B0A0000}"/>
    <cellStyle name="20% - Accent6 3 2 4 4 2" xfId="35312" xr:uid="{A8F17E71-69AC-4F04-9E31-A715B025F8E8}"/>
    <cellStyle name="20% - Accent6 3 2 4 5" xfId="10008" xr:uid="{00000000-0005-0000-0000-00007C0A0000}"/>
    <cellStyle name="20% - Accent6 3 2 4 6" xfId="26878" xr:uid="{D431C9FE-6006-445A-A371-38431444B7EC}"/>
    <cellStyle name="20% - Accent6 3 2 5" xfId="1897" xr:uid="{00000000-0005-0000-0000-00007D0A0000}"/>
    <cellStyle name="20% - Accent6 3 2 5 2" xfId="4126" xr:uid="{00000000-0005-0000-0000-00007E0A0000}"/>
    <cellStyle name="20% - Accent6 3 2 5 2 2" xfId="8349" xr:uid="{00000000-0005-0000-0000-00007F0A0000}"/>
    <cellStyle name="20% - Accent6 3 2 5 2 2 2" xfId="25219" xr:uid="{00000000-0005-0000-0000-0000800A0000}"/>
    <cellStyle name="20% - Accent6 3 2 5 2 2 2 2" xfId="42087" xr:uid="{D5D55936-29AB-4ACB-B8F8-CD2DB0AA341C}"/>
    <cellStyle name="20% - Accent6 3 2 5 2 2 3" xfId="16784" xr:uid="{00000000-0005-0000-0000-0000810A0000}"/>
    <cellStyle name="20% - Accent6 3 2 5 2 2 4" xfId="33653" xr:uid="{2EE391C3-065B-4D63-8BBE-3491E352DECE}"/>
    <cellStyle name="20% - Accent6 3 2 5 2 3" xfId="21001" xr:uid="{00000000-0005-0000-0000-0000820A0000}"/>
    <cellStyle name="20% - Accent6 3 2 5 2 3 2" xfId="37870" xr:uid="{A1D4149B-6070-4210-A29B-51CA4A25CBD6}"/>
    <cellStyle name="20% - Accent6 3 2 5 2 4" xfId="12566" xr:uid="{00000000-0005-0000-0000-0000830A0000}"/>
    <cellStyle name="20% - Accent6 3 2 5 2 5" xfId="29436" xr:uid="{25B32C04-CBDF-48ED-BA5E-8946E380F6AD}"/>
    <cellStyle name="20% - Accent6 3 2 5 3" xfId="6204" xr:uid="{00000000-0005-0000-0000-0000840A0000}"/>
    <cellStyle name="20% - Accent6 3 2 5 3 2" xfId="23074" xr:uid="{00000000-0005-0000-0000-0000850A0000}"/>
    <cellStyle name="20% - Accent6 3 2 5 3 2 2" xfId="39942" xr:uid="{B95DFA74-E96B-47BB-AFBA-FCED4348F521}"/>
    <cellStyle name="20% - Accent6 3 2 5 3 3" xfId="14639" xr:uid="{00000000-0005-0000-0000-0000860A0000}"/>
    <cellStyle name="20% - Accent6 3 2 5 3 4" xfId="31508" xr:uid="{15E3C6D0-A222-442C-A06B-298749EFEC42}"/>
    <cellStyle name="20% - Accent6 3 2 5 4" xfId="18856" xr:uid="{00000000-0005-0000-0000-0000870A0000}"/>
    <cellStyle name="20% - Accent6 3 2 5 4 2" xfId="35725" xr:uid="{0F0C022A-1D4A-405F-BE74-890B952E0ECB}"/>
    <cellStyle name="20% - Accent6 3 2 5 5" xfId="10421" xr:uid="{00000000-0005-0000-0000-0000880A0000}"/>
    <cellStyle name="20% - Accent6 3 2 5 6" xfId="27291" xr:uid="{4160F16E-E599-49F9-ACEE-7D370E4628C9}"/>
    <cellStyle name="20% - Accent6 3 2 6" xfId="2310" xr:uid="{00000000-0005-0000-0000-0000890A0000}"/>
    <cellStyle name="20% - Accent6 3 2 6 2" xfId="6617" xr:uid="{00000000-0005-0000-0000-00008A0A0000}"/>
    <cellStyle name="20% - Accent6 3 2 6 2 2" xfId="23487" xr:uid="{00000000-0005-0000-0000-00008B0A0000}"/>
    <cellStyle name="20% - Accent6 3 2 6 2 2 2" xfId="40355" xr:uid="{DAD9E065-C741-45F1-9798-F3F328EB41F6}"/>
    <cellStyle name="20% - Accent6 3 2 6 2 3" xfId="15052" xr:uid="{00000000-0005-0000-0000-00008C0A0000}"/>
    <cellStyle name="20% - Accent6 3 2 6 2 4" xfId="31921" xr:uid="{A645BC79-0E73-4554-8DF1-CEABD3E3F561}"/>
    <cellStyle name="20% - Accent6 3 2 6 3" xfId="19269" xr:uid="{00000000-0005-0000-0000-00008D0A0000}"/>
    <cellStyle name="20% - Accent6 3 2 6 3 2" xfId="36138" xr:uid="{B1B4E48C-8247-44CF-9B87-11BB7F5F1FA7}"/>
    <cellStyle name="20% - Accent6 3 2 6 4" xfId="10834" xr:uid="{00000000-0005-0000-0000-00008E0A0000}"/>
    <cellStyle name="20% - Accent6 3 2 6 5" xfId="27704" xr:uid="{88BAF685-0C14-4378-9083-1BA2E99EADFC}"/>
    <cellStyle name="20% - Accent6 3 2 7" xfId="4551" xr:uid="{00000000-0005-0000-0000-00008F0A0000}"/>
    <cellStyle name="20% - Accent6 3 2 7 2" xfId="21421" xr:uid="{00000000-0005-0000-0000-0000900A0000}"/>
    <cellStyle name="20% - Accent6 3 2 7 2 2" xfId="38289" xr:uid="{230C3AE4-9004-4F78-8C9F-6335AD48ED52}"/>
    <cellStyle name="20% - Accent6 3 2 7 3" xfId="12986" xr:uid="{00000000-0005-0000-0000-0000910A0000}"/>
    <cellStyle name="20% - Accent6 3 2 7 4" xfId="29855" xr:uid="{D9A97E7E-81C7-4AE3-BD9E-B2F51ABF1797}"/>
    <cellStyle name="20% - Accent6 3 2 8" xfId="17203" xr:uid="{00000000-0005-0000-0000-0000920A0000}"/>
    <cellStyle name="20% - Accent6 3 2 8 2" xfId="34072" xr:uid="{81C72343-C7EE-450C-A449-3EA152D84CC6}"/>
    <cellStyle name="20% - Accent6 3 2 9" xfId="8768" xr:uid="{00000000-0005-0000-0000-0000930A0000}"/>
    <cellStyle name="20% - Accent6 3 3" xfId="615" xr:uid="{00000000-0005-0000-0000-0000940A0000}"/>
    <cellStyle name="20% - Accent6 3 3 2" xfId="2886" xr:uid="{00000000-0005-0000-0000-0000950A0000}"/>
    <cellStyle name="20% - Accent6 3 3 2 2" xfId="7109" xr:uid="{00000000-0005-0000-0000-0000960A0000}"/>
    <cellStyle name="20% - Accent6 3 3 2 2 2" xfId="23979" xr:uid="{00000000-0005-0000-0000-0000970A0000}"/>
    <cellStyle name="20% - Accent6 3 3 2 2 2 2" xfId="40847" xr:uid="{00A8E78E-D745-42EF-BC0A-1E40FF04E584}"/>
    <cellStyle name="20% - Accent6 3 3 2 2 3" xfId="15544" xr:uid="{00000000-0005-0000-0000-0000980A0000}"/>
    <cellStyle name="20% - Accent6 3 3 2 2 4" xfId="32413" xr:uid="{5185064B-640B-4FE4-B0E8-4D893E379E3E}"/>
    <cellStyle name="20% - Accent6 3 3 2 3" xfId="19761" xr:uid="{00000000-0005-0000-0000-0000990A0000}"/>
    <cellStyle name="20% - Accent6 3 3 2 3 2" xfId="36630" xr:uid="{0DC09EA1-A4D6-4270-868B-091C2BE4F88F}"/>
    <cellStyle name="20% - Accent6 3 3 2 4" xfId="11326" xr:uid="{00000000-0005-0000-0000-00009A0A0000}"/>
    <cellStyle name="20% - Accent6 3 3 2 5" xfId="28196" xr:uid="{20300254-D03C-4A15-8AE8-2A797DCC4030}"/>
    <cellStyle name="20% - Accent6 3 3 3" xfId="4964" xr:uid="{00000000-0005-0000-0000-00009B0A0000}"/>
    <cellStyle name="20% - Accent6 3 3 3 2" xfId="21834" xr:uid="{00000000-0005-0000-0000-00009C0A0000}"/>
    <cellStyle name="20% - Accent6 3 3 3 2 2" xfId="38702" xr:uid="{4BA70B67-1F4E-4D11-807F-7955CAD90331}"/>
    <cellStyle name="20% - Accent6 3 3 3 3" xfId="13399" xr:uid="{00000000-0005-0000-0000-00009D0A0000}"/>
    <cellStyle name="20% - Accent6 3 3 3 4" xfId="30268" xr:uid="{9597AEC1-4A4D-4598-A736-D595F23181EE}"/>
    <cellStyle name="20% - Accent6 3 3 4" xfId="17616" xr:uid="{00000000-0005-0000-0000-00009E0A0000}"/>
    <cellStyle name="20% - Accent6 3 3 4 2" xfId="34485" xr:uid="{748B7926-B9F4-4942-8C1A-5C13E8013B93}"/>
    <cellStyle name="20% - Accent6 3 3 5" xfId="9181" xr:uid="{00000000-0005-0000-0000-00009F0A0000}"/>
    <cellStyle name="20% - Accent6 3 3 6" xfId="26051" xr:uid="{45080498-46EA-48EE-9D11-7705ED104EFF}"/>
    <cellStyle name="20% - Accent6 3 4" xfId="1068" xr:uid="{00000000-0005-0000-0000-0000A00A0000}"/>
    <cellStyle name="20% - Accent6 3 4 2" xfId="3299" xr:uid="{00000000-0005-0000-0000-0000A10A0000}"/>
    <cellStyle name="20% - Accent6 3 4 2 2" xfId="7522" xr:uid="{00000000-0005-0000-0000-0000A20A0000}"/>
    <cellStyle name="20% - Accent6 3 4 2 2 2" xfId="24392" xr:uid="{00000000-0005-0000-0000-0000A30A0000}"/>
    <cellStyle name="20% - Accent6 3 4 2 2 2 2" xfId="41260" xr:uid="{3AD36FA7-5A66-4F9E-8F68-511C2D18132E}"/>
    <cellStyle name="20% - Accent6 3 4 2 2 3" xfId="15957" xr:uid="{00000000-0005-0000-0000-0000A40A0000}"/>
    <cellStyle name="20% - Accent6 3 4 2 2 4" xfId="32826" xr:uid="{60D326A7-C102-4B04-80D8-8AC6E47470ED}"/>
    <cellStyle name="20% - Accent6 3 4 2 3" xfId="20174" xr:uid="{00000000-0005-0000-0000-0000A50A0000}"/>
    <cellStyle name="20% - Accent6 3 4 2 3 2" xfId="37043" xr:uid="{85CC63F8-9EDE-41B6-BBE6-0D88B6832F69}"/>
    <cellStyle name="20% - Accent6 3 4 2 4" xfId="11739" xr:uid="{00000000-0005-0000-0000-0000A60A0000}"/>
    <cellStyle name="20% - Accent6 3 4 2 5" xfId="28609" xr:uid="{34980043-A3E1-45B6-9C48-9B476C5D3541}"/>
    <cellStyle name="20% - Accent6 3 4 3" xfId="5377" xr:uid="{00000000-0005-0000-0000-0000A70A0000}"/>
    <cellStyle name="20% - Accent6 3 4 3 2" xfId="22247" xr:uid="{00000000-0005-0000-0000-0000A80A0000}"/>
    <cellStyle name="20% - Accent6 3 4 3 2 2" xfId="39115" xr:uid="{FEEFF6F9-C760-4B30-B430-96B101A7F435}"/>
    <cellStyle name="20% - Accent6 3 4 3 3" xfId="13812" xr:uid="{00000000-0005-0000-0000-0000A90A0000}"/>
    <cellStyle name="20% - Accent6 3 4 3 4" xfId="30681" xr:uid="{48351082-2D0C-4ED7-874A-9BEF03204D07}"/>
    <cellStyle name="20% - Accent6 3 4 4" xfId="18029" xr:uid="{00000000-0005-0000-0000-0000AA0A0000}"/>
    <cellStyle name="20% - Accent6 3 4 4 2" xfId="34898" xr:uid="{3513DDA0-BE25-487C-93F0-3D1B475BB7D8}"/>
    <cellStyle name="20% - Accent6 3 4 5" xfId="9594" xr:uid="{00000000-0005-0000-0000-0000AB0A0000}"/>
    <cellStyle name="20% - Accent6 3 4 6" xfId="26464" xr:uid="{7D410483-1764-4ECA-B37E-1F9CA979D790}"/>
    <cellStyle name="20% - Accent6 3 5" xfId="1482" xr:uid="{00000000-0005-0000-0000-0000AC0A0000}"/>
    <cellStyle name="20% - Accent6 3 5 2" xfId="3712" xr:uid="{00000000-0005-0000-0000-0000AD0A0000}"/>
    <cellStyle name="20% - Accent6 3 5 2 2" xfId="7935" xr:uid="{00000000-0005-0000-0000-0000AE0A0000}"/>
    <cellStyle name="20% - Accent6 3 5 2 2 2" xfId="24805" xr:uid="{00000000-0005-0000-0000-0000AF0A0000}"/>
    <cellStyle name="20% - Accent6 3 5 2 2 2 2" xfId="41673" xr:uid="{E18E8BB3-65DA-4226-90D7-482F9D9B2633}"/>
    <cellStyle name="20% - Accent6 3 5 2 2 3" xfId="16370" xr:uid="{00000000-0005-0000-0000-0000B00A0000}"/>
    <cellStyle name="20% - Accent6 3 5 2 2 4" xfId="33239" xr:uid="{D3DC740D-9323-4089-AEA6-67986F20A1E8}"/>
    <cellStyle name="20% - Accent6 3 5 2 3" xfId="20587" xr:uid="{00000000-0005-0000-0000-0000B10A0000}"/>
    <cellStyle name="20% - Accent6 3 5 2 3 2" xfId="37456" xr:uid="{BE99AB78-033F-444C-B32F-0BAA8BEDE82F}"/>
    <cellStyle name="20% - Accent6 3 5 2 4" xfId="12152" xr:uid="{00000000-0005-0000-0000-0000B20A0000}"/>
    <cellStyle name="20% - Accent6 3 5 2 5" xfId="29022" xr:uid="{1897FC54-97F7-41FB-BEEC-8D103608A7B9}"/>
    <cellStyle name="20% - Accent6 3 5 3" xfId="5790" xr:uid="{00000000-0005-0000-0000-0000B30A0000}"/>
    <cellStyle name="20% - Accent6 3 5 3 2" xfId="22660" xr:uid="{00000000-0005-0000-0000-0000B40A0000}"/>
    <cellStyle name="20% - Accent6 3 5 3 2 2" xfId="39528" xr:uid="{D90C4044-7CFF-4DFC-B08E-0C15CDF34F48}"/>
    <cellStyle name="20% - Accent6 3 5 3 3" xfId="14225" xr:uid="{00000000-0005-0000-0000-0000B50A0000}"/>
    <cellStyle name="20% - Accent6 3 5 3 4" xfId="31094" xr:uid="{C72189EC-6C4C-4028-AC4E-EDE8CCC19954}"/>
    <cellStyle name="20% - Accent6 3 5 4" xfId="18442" xr:uid="{00000000-0005-0000-0000-0000B60A0000}"/>
    <cellStyle name="20% - Accent6 3 5 4 2" xfId="35311" xr:uid="{CBF62D4F-496D-43DF-BBC1-30FFC6AA0BF5}"/>
    <cellStyle name="20% - Accent6 3 5 5" xfId="10007" xr:uid="{00000000-0005-0000-0000-0000B70A0000}"/>
    <cellStyle name="20% - Accent6 3 5 6" xfId="26877" xr:uid="{2BC8E8C2-A011-4BEA-8CDD-AD837EA1D1F7}"/>
    <cellStyle name="20% - Accent6 3 6" xfId="1896" xr:uid="{00000000-0005-0000-0000-0000B80A0000}"/>
    <cellStyle name="20% - Accent6 3 6 2" xfId="4125" xr:uid="{00000000-0005-0000-0000-0000B90A0000}"/>
    <cellStyle name="20% - Accent6 3 6 2 2" xfId="8348" xr:uid="{00000000-0005-0000-0000-0000BA0A0000}"/>
    <cellStyle name="20% - Accent6 3 6 2 2 2" xfId="25218" xr:uid="{00000000-0005-0000-0000-0000BB0A0000}"/>
    <cellStyle name="20% - Accent6 3 6 2 2 2 2" xfId="42086" xr:uid="{4735A568-5695-407F-AD07-DFAFE5951AA0}"/>
    <cellStyle name="20% - Accent6 3 6 2 2 3" xfId="16783" xr:uid="{00000000-0005-0000-0000-0000BC0A0000}"/>
    <cellStyle name="20% - Accent6 3 6 2 2 4" xfId="33652" xr:uid="{6BD1093C-20EF-46C0-97E6-9576E881F1E2}"/>
    <cellStyle name="20% - Accent6 3 6 2 3" xfId="21000" xr:uid="{00000000-0005-0000-0000-0000BD0A0000}"/>
    <cellStyle name="20% - Accent6 3 6 2 3 2" xfId="37869" xr:uid="{E7EEBAEF-D71A-4F6B-8EDA-F36DF0A9AC4B}"/>
    <cellStyle name="20% - Accent6 3 6 2 4" xfId="12565" xr:uid="{00000000-0005-0000-0000-0000BE0A0000}"/>
    <cellStyle name="20% - Accent6 3 6 2 5" xfId="29435" xr:uid="{3B27A007-125F-4351-A9D1-081B802CEAAE}"/>
    <cellStyle name="20% - Accent6 3 6 3" xfId="6203" xr:uid="{00000000-0005-0000-0000-0000BF0A0000}"/>
    <cellStyle name="20% - Accent6 3 6 3 2" xfId="23073" xr:uid="{00000000-0005-0000-0000-0000C00A0000}"/>
    <cellStyle name="20% - Accent6 3 6 3 2 2" xfId="39941" xr:uid="{2C4AF879-8449-4E1C-B02B-D9C942503711}"/>
    <cellStyle name="20% - Accent6 3 6 3 3" xfId="14638" xr:uid="{00000000-0005-0000-0000-0000C10A0000}"/>
    <cellStyle name="20% - Accent6 3 6 3 4" xfId="31507" xr:uid="{9241BD55-51F0-45E5-9131-77866F74F769}"/>
    <cellStyle name="20% - Accent6 3 6 4" xfId="18855" xr:uid="{00000000-0005-0000-0000-0000C20A0000}"/>
    <cellStyle name="20% - Accent6 3 6 4 2" xfId="35724" xr:uid="{B4A07703-92EA-4C75-A74F-D8346D385B66}"/>
    <cellStyle name="20% - Accent6 3 6 5" xfId="10420" xr:uid="{00000000-0005-0000-0000-0000C30A0000}"/>
    <cellStyle name="20% - Accent6 3 6 6" xfId="27290" xr:uid="{87F3E473-316F-42AC-AB5D-0C997C9F6BB6}"/>
    <cellStyle name="20% - Accent6 3 7" xfId="2309" xr:uid="{00000000-0005-0000-0000-0000C40A0000}"/>
    <cellStyle name="20% - Accent6 3 7 2" xfId="6616" xr:uid="{00000000-0005-0000-0000-0000C50A0000}"/>
    <cellStyle name="20% - Accent6 3 7 2 2" xfId="23486" xr:uid="{00000000-0005-0000-0000-0000C60A0000}"/>
    <cellStyle name="20% - Accent6 3 7 2 2 2" xfId="40354" xr:uid="{F60D1B88-6BD5-436C-BAC6-9AA6F6457617}"/>
    <cellStyle name="20% - Accent6 3 7 2 3" xfId="15051" xr:uid="{00000000-0005-0000-0000-0000C70A0000}"/>
    <cellStyle name="20% - Accent6 3 7 2 4" xfId="31920" xr:uid="{397B44A9-B86B-4F3B-9769-06F95B50764D}"/>
    <cellStyle name="20% - Accent6 3 7 3" xfId="19268" xr:uid="{00000000-0005-0000-0000-0000C80A0000}"/>
    <cellStyle name="20% - Accent6 3 7 3 2" xfId="36137" xr:uid="{F96F3232-33E2-4896-B294-5BAB47DF2D96}"/>
    <cellStyle name="20% - Accent6 3 7 4" xfId="10833" xr:uid="{00000000-0005-0000-0000-0000C90A0000}"/>
    <cellStyle name="20% - Accent6 3 7 5" xfId="27703" xr:uid="{3C41FFF9-870C-4E6F-8C45-213C3E6821BD}"/>
    <cellStyle name="20% - Accent6 3 8" xfId="4550" xr:uid="{00000000-0005-0000-0000-0000CA0A0000}"/>
    <cellStyle name="20% - Accent6 3 8 2" xfId="21420" xr:uid="{00000000-0005-0000-0000-0000CB0A0000}"/>
    <cellStyle name="20% - Accent6 3 8 2 2" xfId="38288" xr:uid="{47B8BFBA-FCC1-443E-B2BE-6798E7CB7541}"/>
    <cellStyle name="20% - Accent6 3 8 3" xfId="12985" xr:uid="{00000000-0005-0000-0000-0000CC0A0000}"/>
    <cellStyle name="20% - Accent6 3 8 4" xfId="29854" xr:uid="{B46AC998-58A4-496C-9985-72B2A32FB908}"/>
    <cellStyle name="20% - Accent6 3 9" xfId="17202" xr:uid="{00000000-0005-0000-0000-0000CD0A0000}"/>
    <cellStyle name="20% - Accent6 3 9 2" xfId="34071" xr:uid="{EC399F28-C417-443F-82E5-D9645C2112E4}"/>
    <cellStyle name="20% - Accent6 4" xfId="48" xr:uid="{00000000-0005-0000-0000-0000CE0A0000}"/>
    <cellStyle name="20% - Accent6 4 10" xfId="25639" xr:uid="{D414DD6D-6BA4-4A5B-80D2-AE6B47328C07}"/>
    <cellStyle name="20% - Accent6 4 2" xfId="617" xr:uid="{00000000-0005-0000-0000-0000CF0A0000}"/>
    <cellStyle name="20% - Accent6 4 2 2" xfId="2888" xr:uid="{00000000-0005-0000-0000-0000D00A0000}"/>
    <cellStyle name="20% - Accent6 4 2 2 2" xfId="7111" xr:uid="{00000000-0005-0000-0000-0000D10A0000}"/>
    <cellStyle name="20% - Accent6 4 2 2 2 2" xfId="23981" xr:uid="{00000000-0005-0000-0000-0000D20A0000}"/>
    <cellStyle name="20% - Accent6 4 2 2 2 2 2" xfId="40849" xr:uid="{BA959538-1547-4F98-AB50-C2E98C2C66EE}"/>
    <cellStyle name="20% - Accent6 4 2 2 2 3" xfId="15546" xr:uid="{00000000-0005-0000-0000-0000D30A0000}"/>
    <cellStyle name="20% - Accent6 4 2 2 2 4" xfId="32415" xr:uid="{A24047B5-3B7E-4292-9DB4-7BEE27CC5348}"/>
    <cellStyle name="20% - Accent6 4 2 2 3" xfId="19763" xr:uid="{00000000-0005-0000-0000-0000D40A0000}"/>
    <cellStyle name="20% - Accent6 4 2 2 3 2" xfId="36632" xr:uid="{F512AA9A-E98A-452A-9555-8AE7C72EB1D9}"/>
    <cellStyle name="20% - Accent6 4 2 2 4" xfId="11328" xr:uid="{00000000-0005-0000-0000-0000D50A0000}"/>
    <cellStyle name="20% - Accent6 4 2 2 5" xfId="28198" xr:uid="{9C187214-3964-4609-ABF8-5D406A788A05}"/>
    <cellStyle name="20% - Accent6 4 2 3" xfId="4966" xr:uid="{00000000-0005-0000-0000-0000D60A0000}"/>
    <cellStyle name="20% - Accent6 4 2 3 2" xfId="21836" xr:uid="{00000000-0005-0000-0000-0000D70A0000}"/>
    <cellStyle name="20% - Accent6 4 2 3 2 2" xfId="38704" xr:uid="{B82695EF-CFB0-48FC-8A6D-D900D264F80B}"/>
    <cellStyle name="20% - Accent6 4 2 3 3" xfId="13401" xr:uid="{00000000-0005-0000-0000-0000D80A0000}"/>
    <cellStyle name="20% - Accent6 4 2 3 4" xfId="30270" xr:uid="{037F627F-3CE1-4651-814F-9DD0F59F09B3}"/>
    <cellStyle name="20% - Accent6 4 2 4" xfId="17618" xr:uid="{00000000-0005-0000-0000-0000D90A0000}"/>
    <cellStyle name="20% - Accent6 4 2 4 2" xfId="34487" xr:uid="{70F6EEBB-D967-4A50-A028-8E815B0D56FE}"/>
    <cellStyle name="20% - Accent6 4 2 5" xfId="9183" xr:uid="{00000000-0005-0000-0000-0000DA0A0000}"/>
    <cellStyle name="20% - Accent6 4 2 6" xfId="26053" xr:uid="{20EF46CB-7FF5-4708-8594-17ED46AFFFD4}"/>
    <cellStyle name="20% - Accent6 4 3" xfId="1070" xr:uid="{00000000-0005-0000-0000-0000DB0A0000}"/>
    <cellStyle name="20% - Accent6 4 3 2" xfId="3301" xr:uid="{00000000-0005-0000-0000-0000DC0A0000}"/>
    <cellStyle name="20% - Accent6 4 3 2 2" xfId="7524" xr:uid="{00000000-0005-0000-0000-0000DD0A0000}"/>
    <cellStyle name="20% - Accent6 4 3 2 2 2" xfId="24394" xr:uid="{00000000-0005-0000-0000-0000DE0A0000}"/>
    <cellStyle name="20% - Accent6 4 3 2 2 2 2" xfId="41262" xr:uid="{CBC41BA0-26B0-4055-81C5-B58D73B51A15}"/>
    <cellStyle name="20% - Accent6 4 3 2 2 3" xfId="15959" xr:uid="{00000000-0005-0000-0000-0000DF0A0000}"/>
    <cellStyle name="20% - Accent6 4 3 2 2 4" xfId="32828" xr:uid="{24455BDC-26B5-45DA-9873-D8A59C3C1F58}"/>
    <cellStyle name="20% - Accent6 4 3 2 3" xfId="20176" xr:uid="{00000000-0005-0000-0000-0000E00A0000}"/>
    <cellStyle name="20% - Accent6 4 3 2 3 2" xfId="37045" xr:uid="{5A0DC5DC-D825-42FB-A735-FBEF487B8020}"/>
    <cellStyle name="20% - Accent6 4 3 2 4" xfId="11741" xr:uid="{00000000-0005-0000-0000-0000E10A0000}"/>
    <cellStyle name="20% - Accent6 4 3 2 5" xfId="28611" xr:uid="{A7F4CF65-164E-404E-A09F-B6D5D2ADDE13}"/>
    <cellStyle name="20% - Accent6 4 3 3" xfId="5379" xr:uid="{00000000-0005-0000-0000-0000E20A0000}"/>
    <cellStyle name="20% - Accent6 4 3 3 2" xfId="22249" xr:uid="{00000000-0005-0000-0000-0000E30A0000}"/>
    <cellStyle name="20% - Accent6 4 3 3 2 2" xfId="39117" xr:uid="{E7068675-6474-4FAA-81C2-EB1FB4B9B6AA}"/>
    <cellStyle name="20% - Accent6 4 3 3 3" xfId="13814" xr:uid="{00000000-0005-0000-0000-0000E40A0000}"/>
    <cellStyle name="20% - Accent6 4 3 3 4" xfId="30683" xr:uid="{5D0374F7-1087-4AFD-85D1-B050C1A4C846}"/>
    <cellStyle name="20% - Accent6 4 3 4" xfId="18031" xr:uid="{00000000-0005-0000-0000-0000E50A0000}"/>
    <cellStyle name="20% - Accent6 4 3 4 2" xfId="34900" xr:uid="{0BA14E52-9580-4154-A197-41DDB351B3CF}"/>
    <cellStyle name="20% - Accent6 4 3 5" xfId="9596" xr:uid="{00000000-0005-0000-0000-0000E60A0000}"/>
    <cellStyle name="20% - Accent6 4 3 6" xfId="26466" xr:uid="{137D656A-0F43-476D-868D-F59376D40561}"/>
    <cellStyle name="20% - Accent6 4 4" xfId="1484" xr:uid="{00000000-0005-0000-0000-0000E70A0000}"/>
    <cellStyle name="20% - Accent6 4 4 2" xfId="3714" xr:uid="{00000000-0005-0000-0000-0000E80A0000}"/>
    <cellStyle name="20% - Accent6 4 4 2 2" xfId="7937" xr:uid="{00000000-0005-0000-0000-0000E90A0000}"/>
    <cellStyle name="20% - Accent6 4 4 2 2 2" xfId="24807" xr:uid="{00000000-0005-0000-0000-0000EA0A0000}"/>
    <cellStyle name="20% - Accent6 4 4 2 2 2 2" xfId="41675" xr:uid="{D5EAF62C-7AEC-48E1-9ED9-440EC34801B7}"/>
    <cellStyle name="20% - Accent6 4 4 2 2 3" xfId="16372" xr:uid="{00000000-0005-0000-0000-0000EB0A0000}"/>
    <cellStyle name="20% - Accent6 4 4 2 2 4" xfId="33241" xr:uid="{3C923D35-DBA2-4202-9247-A3D5DB620613}"/>
    <cellStyle name="20% - Accent6 4 4 2 3" xfId="20589" xr:uid="{00000000-0005-0000-0000-0000EC0A0000}"/>
    <cellStyle name="20% - Accent6 4 4 2 3 2" xfId="37458" xr:uid="{1BF856C0-B530-4747-A276-FE9C0946AECE}"/>
    <cellStyle name="20% - Accent6 4 4 2 4" xfId="12154" xr:uid="{00000000-0005-0000-0000-0000ED0A0000}"/>
    <cellStyle name="20% - Accent6 4 4 2 5" xfId="29024" xr:uid="{CD095900-A05D-4162-A6AE-44A27C2FEC06}"/>
    <cellStyle name="20% - Accent6 4 4 3" xfId="5792" xr:uid="{00000000-0005-0000-0000-0000EE0A0000}"/>
    <cellStyle name="20% - Accent6 4 4 3 2" xfId="22662" xr:uid="{00000000-0005-0000-0000-0000EF0A0000}"/>
    <cellStyle name="20% - Accent6 4 4 3 2 2" xfId="39530" xr:uid="{9611094A-887D-466E-B2E3-3677E2AFBEF1}"/>
    <cellStyle name="20% - Accent6 4 4 3 3" xfId="14227" xr:uid="{00000000-0005-0000-0000-0000F00A0000}"/>
    <cellStyle name="20% - Accent6 4 4 3 4" xfId="31096" xr:uid="{04427BC0-B7DF-41FC-AFB9-EFDCA54D2D6B}"/>
    <cellStyle name="20% - Accent6 4 4 4" xfId="18444" xr:uid="{00000000-0005-0000-0000-0000F10A0000}"/>
    <cellStyle name="20% - Accent6 4 4 4 2" xfId="35313" xr:uid="{2A4EC94E-B8E1-4008-B8EF-5C5E31096F8C}"/>
    <cellStyle name="20% - Accent6 4 4 5" xfId="10009" xr:uid="{00000000-0005-0000-0000-0000F20A0000}"/>
    <cellStyle name="20% - Accent6 4 4 6" xfId="26879" xr:uid="{0818D933-954B-4C19-AC29-9DCBF8F0C383}"/>
    <cellStyle name="20% - Accent6 4 5" xfId="1898" xr:uid="{00000000-0005-0000-0000-0000F30A0000}"/>
    <cellStyle name="20% - Accent6 4 5 2" xfId="4127" xr:uid="{00000000-0005-0000-0000-0000F40A0000}"/>
    <cellStyle name="20% - Accent6 4 5 2 2" xfId="8350" xr:uid="{00000000-0005-0000-0000-0000F50A0000}"/>
    <cellStyle name="20% - Accent6 4 5 2 2 2" xfId="25220" xr:uid="{00000000-0005-0000-0000-0000F60A0000}"/>
    <cellStyle name="20% - Accent6 4 5 2 2 2 2" xfId="42088" xr:uid="{52FDB591-B0F8-4DA3-872E-EA822AF90338}"/>
    <cellStyle name="20% - Accent6 4 5 2 2 3" xfId="16785" xr:uid="{00000000-0005-0000-0000-0000F70A0000}"/>
    <cellStyle name="20% - Accent6 4 5 2 2 4" xfId="33654" xr:uid="{8E01B7DB-2528-48C8-A850-9C059D4174EC}"/>
    <cellStyle name="20% - Accent6 4 5 2 3" xfId="21002" xr:uid="{00000000-0005-0000-0000-0000F80A0000}"/>
    <cellStyle name="20% - Accent6 4 5 2 3 2" xfId="37871" xr:uid="{DF513256-C012-4498-BAC3-F34A2E683650}"/>
    <cellStyle name="20% - Accent6 4 5 2 4" xfId="12567" xr:uid="{00000000-0005-0000-0000-0000F90A0000}"/>
    <cellStyle name="20% - Accent6 4 5 2 5" xfId="29437" xr:uid="{80AC2422-5344-481A-9CDD-C6B4C051B7B5}"/>
    <cellStyle name="20% - Accent6 4 5 3" xfId="6205" xr:uid="{00000000-0005-0000-0000-0000FA0A0000}"/>
    <cellStyle name="20% - Accent6 4 5 3 2" xfId="23075" xr:uid="{00000000-0005-0000-0000-0000FB0A0000}"/>
    <cellStyle name="20% - Accent6 4 5 3 2 2" xfId="39943" xr:uid="{9CE27598-D297-473C-A4EA-8369D4A9A030}"/>
    <cellStyle name="20% - Accent6 4 5 3 3" xfId="14640" xr:uid="{00000000-0005-0000-0000-0000FC0A0000}"/>
    <cellStyle name="20% - Accent6 4 5 3 4" xfId="31509" xr:uid="{E8D717AC-0B83-4FD4-BEB7-25CE040F07F6}"/>
    <cellStyle name="20% - Accent6 4 5 4" xfId="18857" xr:uid="{00000000-0005-0000-0000-0000FD0A0000}"/>
    <cellStyle name="20% - Accent6 4 5 4 2" xfId="35726" xr:uid="{27B789FE-17C7-4958-9F1C-B822161EF707}"/>
    <cellStyle name="20% - Accent6 4 5 5" xfId="10422" xr:uid="{00000000-0005-0000-0000-0000FE0A0000}"/>
    <cellStyle name="20% - Accent6 4 5 6" xfId="27292" xr:uid="{62B78EDD-A92E-4E12-96F6-82315ABF4AD2}"/>
    <cellStyle name="20% - Accent6 4 6" xfId="2311" xr:uid="{00000000-0005-0000-0000-0000FF0A0000}"/>
    <cellStyle name="20% - Accent6 4 6 2" xfId="6618" xr:uid="{00000000-0005-0000-0000-0000000B0000}"/>
    <cellStyle name="20% - Accent6 4 6 2 2" xfId="23488" xr:uid="{00000000-0005-0000-0000-0000010B0000}"/>
    <cellStyle name="20% - Accent6 4 6 2 2 2" xfId="40356" xr:uid="{936E0AEF-15B1-4F7F-AD89-966C2C81ECF9}"/>
    <cellStyle name="20% - Accent6 4 6 2 3" xfId="15053" xr:uid="{00000000-0005-0000-0000-0000020B0000}"/>
    <cellStyle name="20% - Accent6 4 6 2 4" xfId="31922" xr:uid="{F052353B-675F-419B-BB90-05824DD851F2}"/>
    <cellStyle name="20% - Accent6 4 6 3" xfId="19270" xr:uid="{00000000-0005-0000-0000-0000030B0000}"/>
    <cellStyle name="20% - Accent6 4 6 3 2" xfId="36139" xr:uid="{B15F1DED-12B6-4716-A3A7-BE4C8BF8C392}"/>
    <cellStyle name="20% - Accent6 4 6 4" xfId="10835" xr:uid="{00000000-0005-0000-0000-0000040B0000}"/>
    <cellStyle name="20% - Accent6 4 6 5" xfId="27705" xr:uid="{F29869D6-D186-49D3-ACE1-B016607C0470}"/>
    <cellStyle name="20% - Accent6 4 7" xfId="4552" xr:uid="{00000000-0005-0000-0000-0000050B0000}"/>
    <cellStyle name="20% - Accent6 4 7 2" xfId="21422" xr:uid="{00000000-0005-0000-0000-0000060B0000}"/>
    <cellStyle name="20% - Accent6 4 7 2 2" xfId="38290" xr:uid="{D0F8F3A5-D0F5-44BD-A2A0-0260DE2583DE}"/>
    <cellStyle name="20% - Accent6 4 7 3" xfId="12987" xr:uid="{00000000-0005-0000-0000-0000070B0000}"/>
    <cellStyle name="20% - Accent6 4 7 4" xfId="29856" xr:uid="{3A930C79-7CAB-41B0-8A5A-91975E58577C}"/>
    <cellStyle name="20% - Accent6 4 8" xfId="17204" xr:uid="{00000000-0005-0000-0000-0000080B0000}"/>
    <cellStyle name="20% - Accent6 4 8 2" xfId="34073" xr:uid="{EDA3B259-F8CF-4773-B520-4D4AC61BF3C7}"/>
    <cellStyle name="20% - Accent6 4 9" xfId="8769" xr:uid="{00000000-0005-0000-0000-0000090B0000}"/>
    <cellStyle name="20% - Accent6 5" xfId="610" xr:uid="{00000000-0005-0000-0000-00000A0B0000}"/>
    <cellStyle name="20% - Accent6 5 2" xfId="2881" xr:uid="{00000000-0005-0000-0000-00000B0B0000}"/>
    <cellStyle name="20% - Accent6 5 2 2" xfId="7104" xr:uid="{00000000-0005-0000-0000-00000C0B0000}"/>
    <cellStyle name="20% - Accent6 5 2 2 2" xfId="23974" xr:uid="{00000000-0005-0000-0000-00000D0B0000}"/>
    <cellStyle name="20% - Accent6 5 2 2 2 2" xfId="40842" xr:uid="{503CE305-81EE-4F58-BA6A-E23CD82D19CE}"/>
    <cellStyle name="20% - Accent6 5 2 2 3" xfId="15539" xr:uid="{00000000-0005-0000-0000-00000E0B0000}"/>
    <cellStyle name="20% - Accent6 5 2 2 4" xfId="32408" xr:uid="{E03D533E-8A08-4A27-BA9A-4CD95715870E}"/>
    <cellStyle name="20% - Accent6 5 2 3" xfId="19756" xr:uid="{00000000-0005-0000-0000-00000F0B0000}"/>
    <cellStyle name="20% - Accent6 5 2 3 2" xfId="36625" xr:uid="{7E6B56B3-AD00-47E9-AD3F-F3233F794191}"/>
    <cellStyle name="20% - Accent6 5 2 4" xfId="11321" xr:uid="{00000000-0005-0000-0000-0000100B0000}"/>
    <cellStyle name="20% - Accent6 5 2 5" xfId="28191" xr:uid="{DCCC652F-5982-41D3-93CC-2B440644E6C7}"/>
    <cellStyle name="20% - Accent6 5 3" xfId="4959" xr:uid="{00000000-0005-0000-0000-0000110B0000}"/>
    <cellStyle name="20% - Accent6 5 3 2" xfId="21829" xr:uid="{00000000-0005-0000-0000-0000120B0000}"/>
    <cellStyle name="20% - Accent6 5 3 2 2" xfId="38697" xr:uid="{E8DB7199-2958-4D97-AF49-114BF619F54F}"/>
    <cellStyle name="20% - Accent6 5 3 3" xfId="13394" xr:uid="{00000000-0005-0000-0000-0000130B0000}"/>
    <cellStyle name="20% - Accent6 5 3 4" xfId="30263" xr:uid="{57098251-B996-4792-86D1-47B8551BB33C}"/>
    <cellStyle name="20% - Accent6 5 4" xfId="17611" xr:uid="{00000000-0005-0000-0000-0000140B0000}"/>
    <cellStyle name="20% - Accent6 5 4 2" xfId="34480" xr:uid="{9A0191F5-1A82-49D5-96E8-919619E4E6D6}"/>
    <cellStyle name="20% - Accent6 5 5" xfId="9176" xr:uid="{00000000-0005-0000-0000-0000150B0000}"/>
    <cellStyle name="20% - Accent6 5 6" xfId="26046" xr:uid="{C9873002-578E-43CD-A7A5-C517D27BB37B}"/>
    <cellStyle name="20% - Accent6 6" xfId="1063" xr:uid="{00000000-0005-0000-0000-0000160B0000}"/>
    <cellStyle name="20% - Accent6 6 2" xfId="3294" xr:uid="{00000000-0005-0000-0000-0000170B0000}"/>
    <cellStyle name="20% - Accent6 6 2 2" xfId="7517" xr:uid="{00000000-0005-0000-0000-0000180B0000}"/>
    <cellStyle name="20% - Accent6 6 2 2 2" xfId="24387" xr:uid="{00000000-0005-0000-0000-0000190B0000}"/>
    <cellStyle name="20% - Accent6 6 2 2 2 2" xfId="41255" xr:uid="{871C5612-0EB8-4D1D-BC01-D929232124C9}"/>
    <cellStyle name="20% - Accent6 6 2 2 3" xfId="15952" xr:uid="{00000000-0005-0000-0000-00001A0B0000}"/>
    <cellStyle name="20% - Accent6 6 2 2 4" xfId="32821" xr:uid="{94DD752F-BE5C-4925-AEBE-D4D334109840}"/>
    <cellStyle name="20% - Accent6 6 2 3" xfId="20169" xr:uid="{00000000-0005-0000-0000-00001B0B0000}"/>
    <cellStyle name="20% - Accent6 6 2 3 2" xfId="37038" xr:uid="{B33AA575-8415-4914-A652-FDE9315DE983}"/>
    <cellStyle name="20% - Accent6 6 2 4" xfId="11734" xr:uid="{00000000-0005-0000-0000-00001C0B0000}"/>
    <cellStyle name="20% - Accent6 6 2 5" xfId="28604" xr:uid="{DD4B9A16-8FD9-4CB5-80E0-4A1499B95DC8}"/>
    <cellStyle name="20% - Accent6 6 3" xfId="5372" xr:uid="{00000000-0005-0000-0000-00001D0B0000}"/>
    <cellStyle name="20% - Accent6 6 3 2" xfId="22242" xr:uid="{00000000-0005-0000-0000-00001E0B0000}"/>
    <cellStyle name="20% - Accent6 6 3 2 2" xfId="39110" xr:uid="{8C647FF9-6A9C-4E25-B581-36E7729D6AB7}"/>
    <cellStyle name="20% - Accent6 6 3 3" xfId="13807" xr:uid="{00000000-0005-0000-0000-00001F0B0000}"/>
    <cellStyle name="20% - Accent6 6 3 4" xfId="30676" xr:uid="{BD12EB06-A415-4114-B0A3-C8C1084C45F3}"/>
    <cellStyle name="20% - Accent6 6 4" xfId="18024" xr:uid="{00000000-0005-0000-0000-0000200B0000}"/>
    <cellStyle name="20% - Accent6 6 4 2" xfId="34893" xr:uid="{0A43EABD-95D7-4E08-8B3B-F1F19924B775}"/>
    <cellStyle name="20% - Accent6 6 5" xfId="9589" xr:uid="{00000000-0005-0000-0000-0000210B0000}"/>
    <cellStyle name="20% - Accent6 6 6" xfId="26459" xr:uid="{3CFD7474-E1BC-402A-A15F-7F64F62D7144}"/>
    <cellStyle name="20% - Accent6 7" xfId="1477" xr:uid="{00000000-0005-0000-0000-0000220B0000}"/>
    <cellStyle name="20% - Accent6 7 2" xfId="3707" xr:uid="{00000000-0005-0000-0000-0000230B0000}"/>
    <cellStyle name="20% - Accent6 7 2 2" xfId="7930" xr:uid="{00000000-0005-0000-0000-0000240B0000}"/>
    <cellStyle name="20% - Accent6 7 2 2 2" xfId="24800" xr:uid="{00000000-0005-0000-0000-0000250B0000}"/>
    <cellStyle name="20% - Accent6 7 2 2 2 2" xfId="41668" xr:uid="{EAE51A6E-85FA-4204-9A60-A7795722D399}"/>
    <cellStyle name="20% - Accent6 7 2 2 3" xfId="16365" xr:uid="{00000000-0005-0000-0000-0000260B0000}"/>
    <cellStyle name="20% - Accent6 7 2 2 4" xfId="33234" xr:uid="{1CCD0CC2-C6BD-4E3B-8F08-10CD735FA4E7}"/>
    <cellStyle name="20% - Accent6 7 2 3" xfId="20582" xr:uid="{00000000-0005-0000-0000-0000270B0000}"/>
    <cellStyle name="20% - Accent6 7 2 3 2" xfId="37451" xr:uid="{BAF59B4B-13D7-4D69-AF41-8236B14DEF66}"/>
    <cellStyle name="20% - Accent6 7 2 4" xfId="12147" xr:uid="{00000000-0005-0000-0000-0000280B0000}"/>
    <cellStyle name="20% - Accent6 7 2 5" xfId="29017" xr:uid="{08F19819-BE02-4962-8A40-77ADB626AFAD}"/>
    <cellStyle name="20% - Accent6 7 3" xfId="5785" xr:uid="{00000000-0005-0000-0000-0000290B0000}"/>
    <cellStyle name="20% - Accent6 7 3 2" xfId="22655" xr:uid="{00000000-0005-0000-0000-00002A0B0000}"/>
    <cellStyle name="20% - Accent6 7 3 2 2" xfId="39523" xr:uid="{F8A9B0D6-66C6-4854-98EE-E359FC5868FC}"/>
    <cellStyle name="20% - Accent6 7 3 3" xfId="14220" xr:uid="{00000000-0005-0000-0000-00002B0B0000}"/>
    <cellStyle name="20% - Accent6 7 3 4" xfId="31089" xr:uid="{A6720534-609C-405F-BCC3-2CDB873D6915}"/>
    <cellStyle name="20% - Accent6 7 4" xfId="18437" xr:uid="{00000000-0005-0000-0000-00002C0B0000}"/>
    <cellStyle name="20% - Accent6 7 4 2" xfId="35306" xr:uid="{D8D76449-6BA6-4A65-AE60-2835FFE5010F}"/>
    <cellStyle name="20% - Accent6 7 5" xfId="10002" xr:uid="{00000000-0005-0000-0000-00002D0B0000}"/>
    <cellStyle name="20% - Accent6 7 6" xfId="26872" xr:uid="{44D58953-6B21-492C-9331-1AFCCBDE12B2}"/>
    <cellStyle name="20% - Accent6 8" xfId="1891" xr:uid="{00000000-0005-0000-0000-00002E0B0000}"/>
    <cellStyle name="20% - Accent6 8 2" xfId="4120" xr:uid="{00000000-0005-0000-0000-00002F0B0000}"/>
    <cellStyle name="20% - Accent6 8 2 2" xfId="8343" xr:uid="{00000000-0005-0000-0000-0000300B0000}"/>
    <cellStyle name="20% - Accent6 8 2 2 2" xfId="25213" xr:uid="{00000000-0005-0000-0000-0000310B0000}"/>
    <cellStyle name="20% - Accent6 8 2 2 2 2" xfId="42081" xr:uid="{9F3D02DB-50C0-4BC6-9088-E3F165698D80}"/>
    <cellStyle name="20% - Accent6 8 2 2 3" xfId="16778" xr:uid="{00000000-0005-0000-0000-0000320B0000}"/>
    <cellStyle name="20% - Accent6 8 2 2 4" xfId="33647" xr:uid="{A22D6F97-E808-4701-85BC-1AD0A7008A20}"/>
    <cellStyle name="20% - Accent6 8 2 3" xfId="20995" xr:uid="{00000000-0005-0000-0000-0000330B0000}"/>
    <cellStyle name="20% - Accent6 8 2 3 2" xfId="37864" xr:uid="{F7EFDD70-DA76-4746-A31C-1D046521A853}"/>
    <cellStyle name="20% - Accent6 8 2 4" xfId="12560" xr:uid="{00000000-0005-0000-0000-0000340B0000}"/>
    <cellStyle name="20% - Accent6 8 2 5" xfId="29430" xr:uid="{527188FB-D8E0-4C3F-8888-04FCCA7AAE65}"/>
    <cellStyle name="20% - Accent6 8 3" xfId="6198" xr:uid="{00000000-0005-0000-0000-0000350B0000}"/>
    <cellStyle name="20% - Accent6 8 3 2" xfId="23068" xr:uid="{00000000-0005-0000-0000-0000360B0000}"/>
    <cellStyle name="20% - Accent6 8 3 2 2" xfId="39936" xr:uid="{4FDA323E-7C0C-4E83-ACD9-B0582ED6FCFA}"/>
    <cellStyle name="20% - Accent6 8 3 3" xfId="14633" xr:uid="{00000000-0005-0000-0000-0000370B0000}"/>
    <cellStyle name="20% - Accent6 8 3 4" xfId="31502" xr:uid="{8C28FC23-D86B-4BC2-B3EE-D7FB25CB020B}"/>
    <cellStyle name="20% - Accent6 8 4" xfId="18850" xr:uid="{00000000-0005-0000-0000-0000380B0000}"/>
    <cellStyle name="20% - Accent6 8 4 2" xfId="35719" xr:uid="{4A364B64-56C8-4CE2-8C9C-6385BD809125}"/>
    <cellStyle name="20% - Accent6 8 5" xfId="10415" xr:uid="{00000000-0005-0000-0000-0000390B0000}"/>
    <cellStyle name="20% - Accent6 8 6" xfId="27285" xr:uid="{332A7740-6B8E-48CE-8633-CF301A1C2B83}"/>
    <cellStyle name="20% - Accent6 9" xfId="2304" xr:uid="{00000000-0005-0000-0000-00003A0B0000}"/>
    <cellStyle name="20% - Accent6 9 2" xfId="6611" xr:uid="{00000000-0005-0000-0000-00003B0B0000}"/>
    <cellStyle name="20% - Accent6 9 2 2" xfId="23481" xr:uid="{00000000-0005-0000-0000-00003C0B0000}"/>
    <cellStyle name="20% - Accent6 9 2 2 2" xfId="40349" xr:uid="{888D2A67-C24B-41A0-A3AF-F05E33437D8E}"/>
    <cellStyle name="20% - Accent6 9 2 3" xfId="15046" xr:uid="{00000000-0005-0000-0000-00003D0B0000}"/>
    <cellStyle name="20% - Accent6 9 2 4" xfId="31915" xr:uid="{A24DBF2A-70CC-4152-8D91-7F8419638730}"/>
    <cellStyle name="20% - Accent6 9 3" xfId="19263" xr:uid="{00000000-0005-0000-0000-00003E0B0000}"/>
    <cellStyle name="20% - Accent6 9 3 2" xfId="36132" xr:uid="{F7967BAF-57C8-477A-8433-CA6E942FD536}"/>
    <cellStyle name="20% - Accent6 9 4" xfId="10828" xr:uid="{00000000-0005-0000-0000-00003F0B0000}"/>
    <cellStyle name="20% - Accent6 9 5" xfId="27698" xr:uid="{FD8CF37D-52E3-4344-A439-63C21224FCDC}"/>
    <cellStyle name="40% - Accent1" xfId="49" builtinId="31" customBuiltin="1"/>
    <cellStyle name="40% - Accent1 10" xfId="4553" xr:uid="{00000000-0005-0000-0000-0000410B0000}"/>
    <cellStyle name="40% - Accent1 10 2" xfId="21423" xr:uid="{00000000-0005-0000-0000-0000420B0000}"/>
    <cellStyle name="40% - Accent1 10 2 2" xfId="38291" xr:uid="{2ADB83B1-19B1-4F9E-9F43-F8CCAF1308FA}"/>
    <cellStyle name="40% - Accent1 10 3" xfId="12988" xr:uid="{00000000-0005-0000-0000-0000430B0000}"/>
    <cellStyle name="40% - Accent1 10 4" xfId="29857" xr:uid="{E28681AD-328B-4656-A9A6-764A44F24899}"/>
    <cellStyle name="40% - Accent1 11" xfId="17205" xr:uid="{00000000-0005-0000-0000-0000440B0000}"/>
    <cellStyle name="40% - Accent1 11 2" xfId="34074" xr:uid="{40A437F0-C91A-4105-8F8B-74047D47F411}"/>
    <cellStyle name="40% - Accent1 12" xfId="8770" xr:uid="{00000000-0005-0000-0000-0000450B0000}"/>
    <cellStyle name="40% - Accent1 13" xfId="25640" xr:uid="{9810534B-9516-44DC-900D-C176501C63C3}"/>
    <cellStyle name="40% - Accent1 2" xfId="50" xr:uid="{00000000-0005-0000-0000-0000460B0000}"/>
    <cellStyle name="40% - Accent1 2 10" xfId="17206" xr:uid="{00000000-0005-0000-0000-0000470B0000}"/>
    <cellStyle name="40% - Accent1 2 10 2" xfId="34075" xr:uid="{09B40A56-B25E-4244-BF39-45ADA2B7EB0B}"/>
    <cellStyle name="40% - Accent1 2 11" xfId="8771" xr:uid="{00000000-0005-0000-0000-0000480B0000}"/>
    <cellStyle name="40% - Accent1 2 12" xfId="25641" xr:uid="{3AAB872C-165F-4456-A198-921C77829F2B}"/>
    <cellStyle name="40% - Accent1 2 2" xfId="51" xr:uid="{00000000-0005-0000-0000-0000490B0000}"/>
    <cellStyle name="40% - Accent1 2 2 10" xfId="8772" xr:uid="{00000000-0005-0000-0000-00004A0B0000}"/>
    <cellStyle name="40% - Accent1 2 2 11" xfId="25642" xr:uid="{3406B314-9EE6-49D5-807B-EF36EC519EFC}"/>
    <cellStyle name="40% - Accent1 2 2 2" xfId="52" xr:uid="{00000000-0005-0000-0000-00004B0B0000}"/>
    <cellStyle name="40% - Accent1 2 2 2 10" xfId="25643" xr:uid="{5A67375E-CA10-4BC2-AF31-BA90D3FCFDB7}"/>
    <cellStyle name="40% - Accent1 2 2 2 2" xfId="621" xr:uid="{00000000-0005-0000-0000-00004C0B0000}"/>
    <cellStyle name="40% - Accent1 2 2 2 2 2" xfId="2892" xr:uid="{00000000-0005-0000-0000-00004D0B0000}"/>
    <cellStyle name="40% - Accent1 2 2 2 2 2 2" xfId="7115" xr:uid="{00000000-0005-0000-0000-00004E0B0000}"/>
    <cellStyle name="40% - Accent1 2 2 2 2 2 2 2" xfId="23985" xr:uid="{00000000-0005-0000-0000-00004F0B0000}"/>
    <cellStyle name="40% - Accent1 2 2 2 2 2 2 2 2" xfId="40853" xr:uid="{D7707491-359B-4E09-BF0C-22526A2A5DB5}"/>
    <cellStyle name="40% - Accent1 2 2 2 2 2 2 3" xfId="15550" xr:uid="{00000000-0005-0000-0000-0000500B0000}"/>
    <cellStyle name="40% - Accent1 2 2 2 2 2 2 4" xfId="32419" xr:uid="{0B66AFF3-4FD2-4B73-B6A9-851A5691ECA0}"/>
    <cellStyle name="40% - Accent1 2 2 2 2 2 3" xfId="19767" xr:uid="{00000000-0005-0000-0000-0000510B0000}"/>
    <cellStyle name="40% - Accent1 2 2 2 2 2 3 2" xfId="36636" xr:uid="{EC93B080-F479-4BBC-99DE-A63BB174CCD3}"/>
    <cellStyle name="40% - Accent1 2 2 2 2 2 4" xfId="11332" xr:uid="{00000000-0005-0000-0000-0000520B0000}"/>
    <cellStyle name="40% - Accent1 2 2 2 2 2 5" xfId="28202" xr:uid="{AA7D0156-A506-4749-9FF4-72E5B3C047BA}"/>
    <cellStyle name="40% - Accent1 2 2 2 2 3" xfId="4970" xr:uid="{00000000-0005-0000-0000-0000530B0000}"/>
    <cellStyle name="40% - Accent1 2 2 2 2 3 2" xfId="21840" xr:uid="{00000000-0005-0000-0000-0000540B0000}"/>
    <cellStyle name="40% - Accent1 2 2 2 2 3 2 2" xfId="38708" xr:uid="{B7B676DF-D88C-4F3F-9524-DF250666A1F1}"/>
    <cellStyle name="40% - Accent1 2 2 2 2 3 3" xfId="13405" xr:uid="{00000000-0005-0000-0000-0000550B0000}"/>
    <cellStyle name="40% - Accent1 2 2 2 2 3 4" xfId="30274" xr:uid="{D2654D36-D305-48DD-B429-CE7541FF2339}"/>
    <cellStyle name="40% - Accent1 2 2 2 2 4" xfId="17622" xr:uid="{00000000-0005-0000-0000-0000560B0000}"/>
    <cellStyle name="40% - Accent1 2 2 2 2 4 2" xfId="34491" xr:uid="{6E382895-710F-406B-9A53-39FC88F106F5}"/>
    <cellStyle name="40% - Accent1 2 2 2 2 5" xfId="9187" xr:uid="{00000000-0005-0000-0000-0000570B0000}"/>
    <cellStyle name="40% - Accent1 2 2 2 2 6" xfId="26057" xr:uid="{F7606687-C3F4-4942-AA75-E48C3CC65E13}"/>
    <cellStyle name="40% - Accent1 2 2 2 3" xfId="1074" xr:uid="{00000000-0005-0000-0000-0000580B0000}"/>
    <cellStyle name="40% - Accent1 2 2 2 3 2" xfId="3305" xr:uid="{00000000-0005-0000-0000-0000590B0000}"/>
    <cellStyle name="40% - Accent1 2 2 2 3 2 2" xfId="7528" xr:uid="{00000000-0005-0000-0000-00005A0B0000}"/>
    <cellStyle name="40% - Accent1 2 2 2 3 2 2 2" xfId="24398" xr:uid="{00000000-0005-0000-0000-00005B0B0000}"/>
    <cellStyle name="40% - Accent1 2 2 2 3 2 2 2 2" xfId="41266" xr:uid="{D7EBC2B2-DDF0-45E0-9CD5-517554747304}"/>
    <cellStyle name="40% - Accent1 2 2 2 3 2 2 3" xfId="15963" xr:uid="{00000000-0005-0000-0000-00005C0B0000}"/>
    <cellStyle name="40% - Accent1 2 2 2 3 2 2 4" xfId="32832" xr:uid="{5B65C688-11B1-4E49-A4CE-7B30BF019B82}"/>
    <cellStyle name="40% - Accent1 2 2 2 3 2 3" xfId="20180" xr:uid="{00000000-0005-0000-0000-00005D0B0000}"/>
    <cellStyle name="40% - Accent1 2 2 2 3 2 3 2" xfId="37049" xr:uid="{359B1992-AAFF-4F2E-ABF7-F7FC85F245E6}"/>
    <cellStyle name="40% - Accent1 2 2 2 3 2 4" xfId="11745" xr:uid="{00000000-0005-0000-0000-00005E0B0000}"/>
    <cellStyle name="40% - Accent1 2 2 2 3 2 5" xfId="28615" xr:uid="{B1602BA4-19E2-4AAC-B800-DA93A20BBD5D}"/>
    <cellStyle name="40% - Accent1 2 2 2 3 3" xfId="5383" xr:uid="{00000000-0005-0000-0000-00005F0B0000}"/>
    <cellStyle name="40% - Accent1 2 2 2 3 3 2" xfId="22253" xr:uid="{00000000-0005-0000-0000-0000600B0000}"/>
    <cellStyle name="40% - Accent1 2 2 2 3 3 2 2" xfId="39121" xr:uid="{BBDA4E17-B366-4FD1-97CD-2D0FA97DA88C}"/>
    <cellStyle name="40% - Accent1 2 2 2 3 3 3" xfId="13818" xr:uid="{00000000-0005-0000-0000-0000610B0000}"/>
    <cellStyle name="40% - Accent1 2 2 2 3 3 4" xfId="30687" xr:uid="{9F70FA5C-3134-4244-A9EE-8FF18E38F0E2}"/>
    <cellStyle name="40% - Accent1 2 2 2 3 4" xfId="18035" xr:uid="{00000000-0005-0000-0000-0000620B0000}"/>
    <cellStyle name="40% - Accent1 2 2 2 3 4 2" xfId="34904" xr:uid="{2B3D8A78-7E00-4783-B383-5F25B5DCF17B}"/>
    <cellStyle name="40% - Accent1 2 2 2 3 5" xfId="9600" xr:uid="{00000000-0005-0000-0000-0000630B0000}"/>
    <cellStyle name="40% - Accent1 2 2 2 3 6" xfId="26470" xr:uid="{D2692416-74EC-4322-8FBF-0D0AE0CABAC6}"/>
    <cellStyle name="40% - Accent1 2 2 2 4" xfId="1488" xr:uid="{00000000-0005-0000-0000-0000640B0000}"/>
    <cellStyle name="40% - Accent1 2 2 2 4 2" xfId="3718" xr:uid="{00000000-0005-0000-0000-0000650B0000}"/>
    <cellStyle name="40% - Accent1 2 2 2 4 2 2" xfId="7941" xr:uid="{00000000-0005-0000-0000-0000660B0000}"/>
    <cellStyle name="40% - Accent1 2 2 2 4 2 2 2" xfId="24811" xr:uid="{00000000-0005-0000-0000-0000670B0000}"/>
    <cellStyle name="40% - Accent1 2 2 2 4 2 2 2 2" xfId="41679" xr:uid="{035678F7-2809-4A03-8A72-27D9AF4D740E}"/>
    <cellStyle name="40% - Accent1 2 2 2 4 2 2 3" xfId="16376" xr:uid="{00000000-0005-0000-0000-0000680B0000}"/>
    <cellStyle name="40% - Accent1 2 2 2 4 2 2 4" xfId="33245" xr:uid="{0741B56C-19E2-4C5C-97F3-1BB9460AB7DB}"/>
    <cellStyle name="40% - Accent1 2 2 2 4 2 3" xfId="20593" xr:uid="{00000000-0005-0000-0000-0000690B0000}"/>
    <cellStyle name="40% - Accent1 2 2 2 4 2 3 2" xfId="37462" xr:uid="{58BE949D-2707-4AEA-8293-B8D921EA1452}"/>
    <cellStyle name="40% - Accent1 2 2 2 4 2 4" xfId="12158" xr:uid="{00000000-0005-0000-0000-00006A0B0000}"/>
    <cellStyle name="40% - Accent1 2 2 2 4 2 5" xfId="29028" xr:uid="{BCDF2BF6-C9F0-4B9F-B810-9A345D7FC4FF}"/>
    <cellStyle name="40% - Accent1 2 2 2 4 3" xfId="5796" xr:uid="{00000000-0005-0000-0000-00006B0B0000}"/>
    <cellStyle name="40% - Accent1 2 2 2 4 3 2" xfId="22666" xr:uid="{00000000-0005-0000-0000-00006C0B0000}"/>
    <cellStyle name="40% - Accent1 2 2 2 4 3 2 2" xfId="39534" xr:uid="{46242ECF-373C-4919-B260-31ABC63BD756}"/>
    <cellStyle name="40% - Accent1 2 2 2 4 3 3" xfId="14231" xr:uid="{00000000-0005-0000-0000-00006D0B0000}"/>
    <cellStyle name="40% - Accent1 2 2 2 4 3 4" xfId="31100" xr:uid="{0231BFE9-148A-4C12-9CCA-C2917B2C0F47}"/>
    <cellStyle name="40% - Accent1 2 2 2 4 4" xfId="18448" xr:uid="{00000000-0005-0000-0000-00006E0B0000}"/>
    <cellStyle name="40% - Accent1 2 2 2 4 4 2" xfId="35317" xr:uid="{62FD73E8-A9D4-480A-9A97-8BF717BEA527}"/>
    <cellStyle name="40% - Accent1 2 2 2 4 5" xfId="10013" xr:uid="{00000000-0005-0000-0000-00006F0B0000}"/>
    <cellStyle name="40% - Accent1 2 2 2 4 6" xfId="26883" xr:uid="{EC46CA41-8D93-4F6E-9DDB-A3FF19FB2EEA}"/>
    <cellStyle name="40% - Accent1 2 2 2 5" xfId="1902" xr:uid="{00000000-0005-0000-0000-0000700B0000}"/>
    <cellStyle name="40% - Accent1 2 2 2 5 2" xfId="4131" xr:uid="{00000000-0005-0000-0000-0000710B0000}"/>
    <cellStyle name="40% - Accent1 2 2 2 5 2 2" xfId="8354" xr:uid="{00000000-0005-0000-0000-0000720B0000}"/>
    <cellStyle name="40% - Accent1 2 2 2 5 2 2 2" xfId="25224" xr:uid="{00000000-0005-0000-0000-0000730B0000}"/>
    <cellStyle name="40% - Accent1 2 2 2 5 2 2 2 2" xfId="42092" xr:uid="{AF99765E-2B04-43D8-9A86-1791A6981528}"/>
    <cellStyle name="40% - Accent1 2 2 2 5 2 2 3" xfId="16789" xr:uid="{00000000-0005-0000-0000-0000740B0000}"/>
    <cellStyle name="40% - Accent1 2 2 2 5 2 2 4" xfId="33658" xr:uid="{4962430B-DF66-4C33-A36D-A10F7FC5D8BE}"/>
    <cellStyle name="40% - Accent1 2 2 2 5 2 3" xfId="21006" xr:uid="{00000000-0005-0000-0000-0000750B0000}"/>
    <cellStyle name="40% - Accent1 2 2 2 5 2 3 2" xfId="37875" xr:uid="{FEA094B8-BB91-4D51-A2F4-19557888DE7D}"/>
    <cellStyle name="40% - Accent1 2 2 2 5 2 4" xfId="12571" xr:uid="{00000000-0005-0000-0000-0000760B0000}"/>
    <cellStyle name="40% - Accent1 2 2 2 5 2 5" xfId="29441" xr:uid="{3985EE60-E306-4A69-8529-F1EFAEDF386D}"/>
    <cellStyle name="40% - Accent1 2 2 2 5 3" xfId="6209" xr:uid="{00000000-0005-0000-0000-0000770B0000}"/>
    <cellStyle name="40% - Accent1 2 2 2 5 3 2" xfId="23079" xr:uid="{00000000-0005-0000-0000-0000780B0000}"/>
    <cellStyle name="40% - Accent1 2 2 2 5 3 2 2" xfId="39947" xr:uid="{B4C71990-4A32-4585-92E6-E53AF1877C8C}"/>
    <cellStyle name="40% - Accent1 2 2 2 5 3 3" xfId="14644" xr:uid="{00000000-0005-0000-0000-0000790B0000}"/>
    <cellStyle name="40% - Accent1 2 2 2 5 3 4" xfId="31513" xr:uid="{8C894937-7E41-4922-8DFB-3F3579FE10D6}"/>
    <cellStyle name="40% - Accent1 2 2 2 5 4" xfId="18861" xr:uid="{00000000-0005-0000-0000-00007A0B0000}"/>
    <cellStyle name="40% - Accent1 2 2 2 5 4 2" xfId="35730" xr:uid="{612F2719-AEB6-49D8-B0BB-762EBCDF49FB}"/>
    <cellStyle name="40% - Accent1 2 2 2 5 5" xfId="10426" xr:uid="{00000000-0005-0000-0000-00007B0B0000}"/>
    <cellStyle name="40% - Accent1 2 2 2 5 6" xfId="27296" xr:uid="{51684704-C8E7-4399-8B37-377543439B1E}"/>
    <cellStyle name="40% - Accent1 2 2 2 6" xfId="2315" xr:uid="{00000000-0005-0000-0000-00007C0B0000}"/>
    <cellStyle name="40% - Accent1 2 2 2 6 2" xfId="6622" xr:uid="{00000000-0005-0000-0000-00007D0B0000}"/>
    <cellStyle name="40% - Accent1 2 2 2 6 2 2" xfId="23492" xr:uid="{00000000-0005-0000-0000-00007E0B0000}"/>
    <cellStyle name="40% - Accent1 2 2 2 6 2 2 2" xfId="40360" xr:uid="{F44FAE37-EB16-4E9E-860A-40B72507B7F9}"/>
    <cellStyle name="40% - Accent1 2 2 2 6 2 3" xfId="15057" xr:uid="{00000000-0005-0000-0000-00007F0B0000}"/>
    <cellStyle name="40% - Accent1 2 2 2 6 2 4" xfId="31926" xr:uid="{F048BEB8-95C5-415E-9D80-BF7682899BFD}"/>
    <cellStyle name="40% - Accent1 2 2 2 6 3" xfId="19274" xr:uid="{00000000-0005-0000-0000-0000800B0000}"/>
    <cellStyle name="40% - Accent1 2 2 2 6 3 2" xfId="36143" xr:uid="{D4466136-5C5E-4311-B776-2678B8626832}"/>
    <cellStyle name="40% - Accent1 2 2 2 6 4" xfId="10839" xr:uid="{00000000-0005-0000-0000-0000810B0000}"/>
    <cellStyle name="40% - Accent1 2 2 2 6 5" xfId="27709" xr:uid="{73875D99-8D75-44CC-AAF5-99E7F85D8C44}"/>
    <cellStyle name="40% - Accent1 2 2 2 7" xfId="4556" xr:uid="{00000000-0005-0000-0000-0000820B0000}"/>
    <cellStyle name="40% - Accent1 2 2 2 7 2" xfId="21426" xr:uid="{00000000-0005-0000-0000-0000830B0000}"/>
    <cellStyle name="40% - Accent1 2 2 2 7 2 2" xfId="38294" xr:uid="{18CFC769-2E1E-4753-94AF-81C3E3C1A453}"/>
    <cellStyle name="40% - Accent1 2 2 2 7 3" xfId="12991" xr:uid="{00000000-0005-0000-0000-0000840B0000}"/>
    <cellStyle name="40% - Accent1 2 2 2 7 4" xfId="29860" xr:uid="{50299AAB-BCFE-41F7-AB99-351F54DBF778}"/>
    <cellStyle name="40% - Accent1 2 2 2 8" xfId="17208" xr:uid="{00000000-0005-0000-0000-0000850B0000}"/>
    <cellStyle name="40% - Accent1 2 2 2 8 2" xfId="34077" xr:uid="{747D9454-CB8F-4DDF-9372-D0C9DA12CA81}"/>
    <cellStyle name="40% - Accent1 2 2 2 9" xfId="8773" xr:uid="{00000000-0005-0000-0000-0000860B0000}"/>
    <cellStyle name="40% - Accent1 2 2 3" xfId="620" xr:uid="{00000000-0005-0000-0000-0000870B0000}"/>
    <cellStyle name="40% - Accent1 2 2 3 2" xfId="2891" xr:uid="{00000000-0005-0000-0000-0000880B0000}"/>
    <cellStyle name="40% - Accent1 2 2 3 2 2" xfId="7114" xr:uid="{00000000-0005-0000-0000-0000890B0000}"/>
    <cellStyle name="40% - Accent1 2 2 3 2 2 2" xfId="23984" xr:uid="{00000000-0005-0000-0000-00008A0B0000}"/>
    <cellStyle name="40% - Accent1 2 2 3 2 2 2 2" xfId="40852" xr:uid="{B85478B3-8895-4435-A0E0-F831FCD859D0}"/>
    <cellStyle name="40% - Accent1 2 2 3 2 2 3" xfId="15549" xr:uid="{00000000-0005-0000-0000-00008B0B0000}"/>
    <cellStyle name="40% - Accent1 2 2 3 2 2 4" xfId="32418" xr:uid="{D8B773DB-ED59-4F53-8C92-06C2DBE53AED}"/>
    <cellStyle name="40% - Accent1 2 2 3 2 3" xfId="19766" xr:uid="{00000000-0005-0000-0000-00008C0B0000}"/>
    <cellStyle name="40% - Accent1 2 2 3 2 3 2" xfId="36635" xr:uid="{C62F72A3-7917-4219-B43C-66B089309F84}"/>
    <cellStyle name="40% - Accent1 2 2 3 2 4" xfId="11331" xr:uid="{00000000-0005-0000-0000-00008D0B0000}"/>
    <cellStyle name="40% - Accent1 2 2 3 2 5" xfId="28201" xr:uid="{571F96FE-D40C-4663-82C1-AA7B9BB8693B}"/>
    <cellStyle name="40% - Accent1 2 2 3 3" xfId="4969" xr:uid="{00000000-0005-0000-0000-00008E0B0000}"/>
    <cellStyle name="40% - Accent1 2 2 3 3 2" xfId="21839" xr:uid="{00000000-0005-0000-0000-00008F0B0000}"/>
    <cellStyle name="40% - Accent1 2 2 3 3 2 2" xfId="38707" xr:uid="{4603B942-434D-459F-BA04-71EF8C1EE957}"/>
    <cellStyle name="40% - Accent1 2 2 3 3 3" xfId="13404" xr:uid="{00000000-0005-0000-0000-0000900B0000}"/>
    <cellStyle name="40% - Accent1 2 2 3 3 4" xfId="30273" xr:uid="{B972068C-B940-4C47-ADD8-34BBF904E0C0}"/>
    <cellStyle name="40% - Accent1 2 2 3 4" xfId="17621" xr:uid="{00000000-0005-0000-0000-0000910B0000}"/>
    <cellStyle name="40% - Accent1 2 2 3 4 2" xfId="34490" xr:uid="{02170610-93A4-47A7-A442-5E435C53C81A}"/>
    <cellStyle name="40% - Accent1 2 2 3 5" xfId="9186" xr:uid="{00000000-0005-0000-0000-0000920B0000}"/>
    <cellStyle name="40% - Accent1 2 2 3 6" xfId="26056" xr:uid="{07212B67-57DA-4802-BE85-0F5E28A664C8}"/>
    <cellStyle name="40% - Accent1 2 2 4" xfId="1073" xr:uid="{00000000-0005-0000-0000-0000930B0000}"/>
    <cellStyle name="40% - Accent1 2 2 4 2" xfId="3304" xr:uid="{00000000-0005-0000-0000-0000940B0000}"/>
    <cellStyle name="40% - Accent1 2 2 4 2 2" xfId="7527" xr:uid="{00000000-0005-0000-0000-0000950B0000}"/>
    <cellStyle name="40% - Accent1 2 2 4 2 2 2" xfId="24397" xr:uid="{00000000-0005-0000-0000-0000960B0000}"/>
    <cellStyle name="40% - Accent1 2 2 4 2 2 2 2" xfId="41265" xr:uid="{F763C2F5-3F91-485D-8527-D1D71F16C299}"/>
    <cellStyle name="40% - Accent1 2 2 4 2 2 3" xfId="15962" xr:uid="{00000000-0005-0000-0000-0000970B0000}"/>
    <cellStyle name="40% - Accent1 2 2 4 2 2 4" xfId="32831" xr:uid="{932A4D46-C067-4B17-8DC4-2E2D25954B7E}"/>
    <cellStyle name="40% - Accent1 2 2 4 2 3" xfId="20179" xr:uid="{00000000-0005-0000-0000-0000980B0000}"/>
    <cellStyle name="40% - Accent1 2 2 4 2 3 2" xfId="37048" xr:uid="{BDB3DC2C-3395-4764-9ACF-2A113911BC42}"/>
    <cellStyle name="40% - Accent1 2 2 4 2 4" xfId="11744" xr:uid="{00000000-0005-0000-0000-0000990B0000}"/>
    <cellStyle name="40% - Accent1 2 2 4 2 5" xfId="28614" xr:uid="{2FF74347-8FEE-4C99-B0EE-12FCD9CCC98C}"/>
    <cellStyle name="40% - Accent1 2 2 4 3" xfId="5382" xr:uid="{00000000-0005-0000-0000-00009A0B0000}"/>
    <cellStyle name="40% - Accent1 2 2 4 3 2" xfId="22252" xr:uid="{00000000-0005-0000-0000-00009B0B0000}"/>
    <cellStyle name="40% - Accent1 2 2 4 3 2 2" xfId="39120" xr:uid="{3A6563EE-EC34-43D1-9C7C-1384D74365DC}"/>
    <cellStyle name="40% - Accent1 2 2 4 3 3" xfId="13817" xr:uid="{00000000-0005-0000-0000-00009C0B0000}"/>
    <cellStyle name="40% - Accent1 2 2 4 3 4" xfId="30686" xr:uid="{CE1055BD-5CE5-4433-93D5-5A3B5742B1E8}"/>
    <cellStyle name="40% - Accent1 2 2 4 4" xfId="18034" xr:uid="{00000000-0005-0000-0000-00009D0B0000}"/>
    <cellStyle name="40% - Accent1 2 2 4 4 2" xfId="34903" xr:uid="{61489DE5-E2E4-4E11-B43F-7DD92774254F}"/>
    <cellStyle name="40% - Accent1 2 2 4 5" xfId="9599" xr:uid="{00000000-0005-0000-0000-00009E0B0000}"/>
    <cellStyle name="40% - Accent1 2 2 4 6" xfId="26469" xr:uid="{CAA886AA-E920-4F69-BCD8-60AC04001025}"/>
    <cellStyle name="40% - Accent1 2 2 5" xfId="1487" xr:uid="{00000000-0005-0000-0000-00009F0B0000}"/>
    <cellStyle name="40% - Accent1 2 2 5 2" xfId="3717" xr:uid="{00000000-0005-0000-0000-0000A00B0000}"/>
    <cellStyle name="40% - Accent1 2 2 5 2 2" xfId="7940" xr:uid="{00000000-0005-0000-0000-0000A10B0000}"/>
    <cellStyle name="40% - Accent1 2 2 5 2 2 2" xfId="24810" xr:uid="{00000000-0005-0000-0000-0000A20B0000}"/>
    <cellStyle name="40% - Accent1 2 2 5 2 2 2 2" xfId="41678" xr:uid="{CA0096B3-B9D2-4D41-95A9-92CAFC1B504E}"/>
    <cellStyle name="40% - Accent1 2 2 5 2 2 3" xfId="16375" xr:uid="{00000000-0005-0000-0000-0000A30B0000}"/>
    <cellStyle name="40% - Accent1 2 2 5 2 2 4" xfId="33244" xr:uid="{8F4C03BB-F005-418A-9691-0CF2CFBB2833}"/>
    <cellStyle name="40% - Accent1 2 2 5 2 3" xfId="20592" xr:uid="{00000000-0005-0000-0000-0000A40B0000}"/>
    <cellStyle name="40% - Accent1 2 2 5 2 3 2" xfId="37461" xr:uid="{15A238C7-9327-4F83-B9E1-BB3A0F3E022B}"/>
    <cellStyle name="40% - Accent1 2 2 5 2 4" xfId="12157" xr:uid="{00000000-0005-0000-0000-0000A50B0000}"/>
    <cellStyle name="40% - Accent1 2 2 5 2 5" xfId="29027" xr:uid="{B057F914-0C95-4B8D-848C-FA9F691A029B}"/>
    <cellStyle name="40% - Accent1 2 2 5 3" xfId="5795" xr:uid="{00000000-0005-0000-0000-0000A60B0000}"/>
    <cellStyle name="40% - Accent1 2 2 5 3 2" xfId="22665" xr:uid="{00000000-0005-0000-0000-0000A70B0000}"/>
    <cellStyle name="40% - Accent1 2 2 5 3 2 2" xfId="39533" xr:uid="{D14AFD0D-D0FB-4D58-B7E7-261B0A886B3C}"/>
    <cellStyle name="40% - Accent1 2 2 5 3 3" xfId="14230" xr:uid="{00000000-0005-0000-0000-0000A80B0000}"/>
    <cellStyle name="40% - Accent1 2 2 5 3 4" xfId="31099" xr:uid="{B89627E6-6419-4674-ABC3-FB4AF4EEC126}"/>
    <cellStyle name="40% - Accent1 2 2 5 4" xfId="18447" xr:uid="{00000000-0005-0000-0000-0000A90B0000}"/>
    <cellStyle name="40% - Accent1 2 2 5 4 2" xfId="35316" xr:uid="{5881929B-EBE3-4C33-8BDC-87F8602FBB1F}"/>
    <cellStyle name="40% - Accent1 2 2 5 5" xfId="10012" xr:uid="{00000000-0005-0000-0000-0000AA0B0000}"/>
    <cellStyle name="40% - Accent1 2 2 5 6" xfId="26882" xr:uid="{3B0DAD89-EA9E-41C8-AC49-F1C5D421227C}"/>
    <cellStyle name="40% - Accent1 2 2 6" xfId="1901" xr:uid="{00000000-0005-0000-0000-0000AB0B0000}"/>
    <cellStyle name="40% - Accent1 2 2 6 2" xfId="4130" xr:uid="{00000000-0005-0000-0000-0000AC0B0000}"/>
    <cellStyle name="40% - Accent1 2 2 6 2 2" xfId="8353" xr:uid="{00000000-0005-0000-0000-0000AD0B0000}"/>
    <cellStyle name="40% - Accent1 2 2 6 2 2 2" xfId="25223" xr:uid="{00000000-0005-0000-0000-0000AE0B0000}"/>
    <cellStyle name="40% - Accent1 2 2 6 2 2 2 2" xfId="42091" xr:uid="{088EC0CA-9131-435F-BB36-151619B0DAED}"/>
    <cellStyle name="40% - Accent1 2 2 6 2 2 3" xfId="16788" xr:uid="{00000000-0005-0000-0000-0000AF0B0000}"/>
    <cellStyle name="40% - Accent1 2 2 6 2 2 4" xfId="33657" xr:uid="{F9ACC0B0-09EB-4689-9760-1888B62AAED5}"/>
    <cellStyle name="40% - Accent1 2 2 6 2 3" xfId="21005" xr:uid="{00000000-0005-0000-0000-0000B00B0000}"/>
    <cellStyle name="40% - Accent1 2 2 6 2 3 2" xfId="37874" xr:uid="{0BAFD9B1-1575-4252-BD7A-5B0B512BBD47}"/>
    <cellStyle name="40% - Accent1 2 2 6 2 4" xfId="12570" xr:uid="{00000000-0005-0000-0000-0000B10B0000}"/>
    <cellStyle name="40% - Accent1 2 2 6 2 5" xfId="29440" xr:uid="{85A0C0A2-A5E6-4A9C-BADF-3A273F6206B2}"/>
    <cellStyle name="40% - Accent1 2 2 6 3" xfId="6208" xr:uid="{00000000-0005-0000-0000-0000B20B0000}"/>
    <cellStyle name="40% - Accent1 2 2 6 3 2" xfId="23078" xr:uid="{00000000-0005-0000-0000-0000B30B0000}"/>
    <cellStyle name="40% - Accent1 2 2 6 3 2 2" xfId="39946" xr:uid="{F1383FA9-D694-414A-B36C-E59ACACF7C6A}"/>
    <cellStyle name="40% - Accent1 2 2 6 3 3" xfId="14643" xr:uid="{00000000-0005-0000-0000-0000B40B0000}"/>
    <cellStyle name="40% - Accent1 2 2 6 3 4" xfId="31512" xr:uid="{EB1B0884-614B-4FD9-AB33-A302620A5BEF}"/>
    <cellStyle name="40% - Accent1 2 2 6 4" xfId="18860" xr:uid="{00000000-0005-0000-0000-0000B50B0000}"/>
    <cellStyle name="40% - Accent1 2 2 6 4 2" xfId="35729" xr:uid="{BC3230B1-5159-4658-A9AC-408AE7A2E204}"/>
    <cellStyle name="40% - Accent1 2 2 6 5" xfId="10425" xr:uid="{00000000-0005-0000-0000-0000B60B0000}"/>
    <cellStyle name="40% - Accent1 2 2 6 6" xfId="27295" xr:uid="{26D1A455-FCC7-4692-BF7F-7224E62BF72D}"/>
    <cellStyle name="40% - Accent1 2 2 7" xfId="2314" xr:uid="{00000000-0005-0000-0000-0000B70B0000}"/>
    <cellStyle name="40% - Accent1 2 2 7 2" xfId="6621" xr:uid="{00000000-0005-0000-0000-0000B80B0000}"/>
    <cellStyle name="40% - Accent1 2 2 7 2 2" xfId="23491" xr:uid="{00000000-0005-0000-0000-0000B90B0000}"/>
    <cellStyle name="40% - Accent1 2 2 7 2 2 2" xfId="40359" xr:uid="{5F4E99AA-EA13-4187-9F86-E05752D2077B}"/>
    <cellStyle name="40% - Accent1 2 2 7 2 3" xfId="15056" xr:uid="{00000000-0005-0000-0000-0000BA0B0000}"/>
    <cellStyle name="40% - Accent1 2 2 7 2 4" xfId="31925" xr:uid="{B4E798EE-CBB8-4B9D-ABF2-FF24571D2B8E}"/>
    <cellStyle name="40% - Accent1 2 2 7 3" xfId="19273" xr:uid="{00000000-0005-0000-0000-0000BB0B0000}"/>
    <cellStyle name="40% - Accent1 2 2 7 3 2" xfId="36142" xr:uid="{3569CC1B-3EA6-4B91-AC2F-AD8DD3CB5D16}"/>
    <cellStyle name="40% - Accent1 2 2 7 4" xfId="10838" xr:uid="{00000000-0005-0000-0000-0000BC0B0000}"/>
    <cellStyle name="40% - Accent1 2 2 7 5" xfId="27708" xr:uid="{B9E4EF59-7D35-4E6F-AFB5-7CF0D64A4FF5}"/>
    <cellStyle name="40% - Accent1 2 2 8" xfId="4555" xr:uid="{00000000-0005-0000-0000-0000BD0B0000}"/>
    <cellStyle name="40% - Accent1 2 2 8 2" xfId="21425" xr:uid="{00000000-0005-0000-0000-0000BE0B0000}"/>
    <cellStyle name="40% - Accent1 2 2 8 2 2" xfId="38293" xr:uid="{013AB574-620A-416C-8930-570EB906CF82}"/>
    <cellStyle name="40% - Accent1 2 2 8 3" xfId="12990" xr:uid="{00000000-0005-0000-0000-0000BF0B0000}"/>
    <cellStyle name="40% - Accent1 2 2 8 4" xfId="29859" xr:uid="{55912BFF-3307-4EDB-B8CB-F00359442898}"/>
    <cellStyle name="40% - Accent1 2 2 9" xfId="17207" xr:uid="{00000000-0005-0000-0000-0000C00B0000}"/>
    <cellStyle name="40% - Accent1 2 2 9 2" xfId="34076" xr:uid="{5B15ED52-DABA-4607-A4B7-94D143557285}"/>
    <cellStyle name="40% - Accent1 2 3" xfId="53" xr:uid="{00000000-0005-0000-0000-0000C10B0000}"/>
    <cellStyle name="40% - Accent1 2 3 10" xfId="25644" xr:uid="{B035D31A-0C74-488D-A2D0-1ACDE370F1F7}"/>
    <cellStyle name="40% - Accent1 2 3 2" xfId="622" xr:uid="{00000000-0005-0000-0000-0000C20B0000}"/>
    <cellStyle name="40% - Accent1 2 3 2 2" xfId="2893" xr:uid="{00000000-0005-0000-0000-0000C30B0000}"/>
    <cellStyle name="40% - Accent1 2 3 2 2 2" xfId="7116" xr:uid="{00000000-0005-0000-0000-0000C40B0000}"/>
    <cellStyle name="40% - Accent1 2 3 2 2 2 2" xfId="23986" xr:uid="{00000000-0005-0000-0000-0000C50B0000}"/>
    <cellStyle name="40% - Accent1 2 3 2 2 2 2 2" xfId="40854" xr:uid="{E5201253-20C4-488F-823E-56153B2815C6}"/>
    <cellStyle name="40% - Accent1 2 3 2 2 2 3" xfId="15551" xr:uid="{00000000-0005-0000-0000-0000C60B0000}"/>
    <cellStyle name="40% - Accent1 2 3 2 2 2 4" xfId="32420" xr:uid="{66358D55-C0E2-4CF4-BA87-38BB78CA894A}"/>
    <cellStyle name="40% - Accent1 2 3 2 2 3" xfId="19768" xr:uid="{00000000-0005-0000-0000-0000C70B0000}"/>
    <cellStyle name="40% - Accent1 2 3 2 2 3 2" xfId="36637" xr:uid="{AF2AD677-8F63-48D8-B157-95B8A01387AB}"/>
    <cellStyle name="40% - Accent1 2 3 2 2 4" xfId="11333" xr:uid="{00000000-0005-0000-0000-0000C80B0000}"/>
    <cellStyle name="40% - Accent1 2 3 2 2 5" xfId="28203" xr:uid="{1D2782E8-002E-4100-94C5-D03031ADD7E2}"/>
    <cellStyle name="40% - Accent1 2 3 2 3" xfId="4971" xr:uid="{00000000-0005-0000-0000-0000C90B0000}"/>
    <cellStyle name="40% - Accent1 2 3 2 3 2" xfId="21841" xr:uid="{00000000-0005-0000-0000-0000CA0B0000}"/>
    <cellStyle name="40% - Accent1 2 3 2 3 2 2" xfId="38709" xr:uid="{B1E01238-8C86-496F-8EEB-62D5BD2E01D8}"/>
    <cellStyle name="40% - Accent1 2 3 2 3 3" xfId="13406" xr:uid="{00000000-0005-0000-0000-0000CB0B0000}"/>
    <cellStyle name="40% - Accent1 2 3 2 3 4" xfId="30275" xr:uid="{E4172CF1-2736-4977-9D63-6C1C5EFF483F}"/>
    <cellStyle name="40% - Accent1 2 3 2 4" xfId="17623" xr:uid="{00000000-0005-0000-0000-0000CC0B0000}"/>
    <cellStyle name="40% - Accent1 2 3 2 4 2" xfId="34492" xr:uid="{230DF19F-CDFD-433D-A1EB-4F8DC2C34AE0}"/>
    <cellStyle name="40% - Accent1 2 3 2 5" xfId="9188" xr:uid="{00000000-0005-0000-0000-0000CD0B0000}"/>
    <cellStyle name="40% - Accent1 2 3 2 6" xfId="26058" xr:uid="{B87B06D8-44FA-4F62-9289-00DF8D0A9CD6}"/>
    <cellStyle name="40% - Accent1 2 3 3" xfId="1075" xr:uid="{00000000-0005-0000-0000-0000CE0B0000}"/>
    <cellStyle name="40% - Accent1 2 3 3 2" xfId="3306" xr:uid="{00000000-0005-0000-0000-0000CF0B0000}"/>
    <cellStyle name="40% - Accent1 2 3 3 2 2" xfId="7529" xr:uid="{00000000-0005-0000-0000-0000D00B0000}"/>
    <cellStyle name="40% - Accent1 2 3 3 2 2 2" xfId="24399" xr:uid="{00000000-0005-0000-0000-0000D10B0000}"/>
    <cellStyle name="40% - Accent1 2 3 3 2 2 2 2" xfId="41267" xr:uid="{F2AEE68F-FA79-482B-92C7-08EBB20E56F1}"/>
    <cellStyle name="40% - Accent1 2 3 3 2 2 3" xfId="15964" xr:uid="{00000000-0005-0000-0000-0000D20B0000}"/>
    <cellStyle name="40% - Accent1 2 3 3 2 2 4" xfId="32833" xr:uid="{BFE1C188-20C8-4A9D-ACFF-8C1C62F1416A}"/>
    <cellStyle name="40% - Accent1 2 3 3 2 3" xfId="20181" xr:uid="{00000000-0005-0000-0000-0000D30B0000}"/>
    <cellStyle name="40% - Accent1 2 3 3 2 3 2" xfId="37050" xr:uid="{6CA4B500-1661-4113-9856-C6E594B070D7}"/>
    <cellStyle name="40% - Accent1 2 3 3 2 4" xfId="11746" xr:uid="{00000000-0005-0000-0000-0000D40B0000}"/>
    <cellStyle name="40% - Accent1 2 3 3 2 5" xfId="28616" xr:uid="{373AB7F0-037C-4E59-966F-AAA5C504EDBF}"/>
    <cellStyle name="40% - Accent1 2 3 3 3" xfId="5384" xr:uid="{00000000-0005-0000-0000-0000D50B0000}"/>
    <cellStyle name="40% - Accent1 2 3 3 3 2" xfId="22254" xr:uid="{00000000-0005-0000-0000-0000D60B0000}"/>
    <cellStyle name="40% - Accent1 2 3 3 3 2 2" xfId="39122" xr:uid="{C428B276-C8FC-4133-B974-FA4E469E0FA8}"/>
    <cellStyle name="40% - Accent1 2 3 3 3 3" xfId="13819" xr:uid="{00000000-0005-0000-0000-0000D70B0000}"/>
    <cellStyle name="40% - Accent1 2 3 3 3 4" xfId="30688" xr:uid="{DBAE8133-4BEF-493C-88B2-2D1D10FE155E}"/>
    <cellStyle name="40% - Accent1 2 3 3 4" xfId="18036" xr:uid="{00000000-0005-0000-0000-0000D80B0000}"/>
    <cellStyle name="40% - Accent1 2 3 3 4 2" xfId="34905" xr:uid="{B215FFD3-C6F8-4606-BA62-61AA25B37FF6}"/>
    <cellStyle name="40% - Accent1 2 3 3 5" xfId="9601" xr:uid="{00000000-0005-0000-0000-0000D90B0000}"/>
    <cellStyle name="40% - Accent1 2 3 3 6" xfId="26471" xr:uid="{63BC9FCC-3F9E-4FDD-8D7B-4FA70787F705}"/>
    <cellStyle name="40% - Accent1 2 3 4" xfId="1489" xr:uid="{00000000-0005-0000-0000-0000DA0B0000}"/>
    <cellStyle name="40% - Accent1 2 3 4 2" xfId="3719" xr:uid="{00000000-0005-0000-0000-0000DB0B0000}"/>
    <cellStyle name="40% - Accent1 2 3 4 2 2" xfId="7942" xr:uid="{00000000-0005-0000-0000-0000DC0B0000}"/>
    <cellStyle name="40% - Accent1 2 3 4 2 2 2" xfId="24812" xr:uid="{00000000-0005-0000-0000-0000DD0B0000}"/>
    <cellStyle name="40% - Accent1 2 3 4 2 2 2 2" xfId="41680" xr:uid="{08F1132F-99AD-4E02-8A79-074D3812F4AE}"/>
    <cellStyle name="40% - Accent1 2 3 4 2 2 3" xfId="16377" xr:uid="{00000000-0005-0000-0000-0000DE0B0000}"/>
    <cellStyle name="40% - Accent1 2 3 4 2 2 4" xfId="33246" xr:uid="{42C68D34-591D-4C1C-BF05-B7315DA278EB}"/>
    <cellStyle name="40% - Accent1 2 3 4 2 3" xfId="20594" xr:uid="{00000000-0005-0000-0000-0000DF0B0000}"/>
    <cellStyle name="40% - Accent1 2 3 4 2 3 2" xfId="37463" xr:uid="{BB92F4A7-9611-4BBB-A98C-9CD9B49D136B}"/>
    <cellStyle name="40% - Accent1 2 3 4 2 4" xfId="12159" xr:uid="{00000000-0005-0000-0000-0000E00B0000}"/>
    <cellStyle name="40% - Accent1 2 3 4 2 5" xfId="29029" xr:uid="{F310E1AF-82D4-44AA-BB77-5C9110BEC928}"/>
    <cellStyle name="40% - Accent1 2 3 4 3" xfId="5797" xr:uid="{00000000-0005-0000-0000-0000E10B0000}"/>
    <cellStyle name="40% - Accent1 2 3 4 3 2" xfId="22667" xr:uid="{00000000-0005-0000-0000-0000E20B0000}"/>
    <cellStyle name="40% - Accent1 2 3 4 3 2 2" xfId="39535" xr:uid="{53D8CBD3-FD2E-4B2F-8520-567974047F3A}"/>
    <cellStyle name="40% - Accent1 2 3 4 3 3" xfId="14232" xr:uid="{00000000-0005-0000-0000-0000E30B0000}"/>
    <cellStyle name="40% - Accent1 2 3 4 3 4" xfId="31101" xr:uid="{F6D1ACFE-0001-4DCC-A7A6-C5FD5D9F6675}"/>
    <cellStyle name="40% - Accent1 2 3 4 4" xfId="18449" xr:uid="{00000000-0005-0000-0000-0000E40B0000}"/>
    <cellStyle name="40% - Accent1 2 3 4 4 2" xfId="35318" xr:uid="{712C1284-37B3-4F09-849C-1BFA493F4FBB}"/>
    <cellStyle name="40% - Accent1 2 3 4 5" xfId="10014" xr:uid="{00000000-0005-0000-0000-0000E50B0000}"/>
    <cellStyle name="40% - Accent1 2 3 4 6" xfId="26884" xr:uid="{686B0E71-0E16-4E4C-BCDA-0B07FC9D24CD}"/>
    <cellStyle name="40% - Accent1 2 3 5" xfId="1903" xr:uid="{00000000-0005-0000-0000-0000E60B0000}"/>
    <cellStyle name="40% - Accent1 2 3 5 2" xfId="4132" xr:uid="{00000000-0005-0000-0000-0000E70B0000}"/>
    <cellStyle name="40% - Accent1 2 3 5 2 2" xfId="8355" xr:uid="{00000000-0005-0000-0000-0000E80B0000}"/>
    <cellStyle name="40% - Accent1 2 3 5 2 2 2" xfId="25225" xr:uid="{00000000-0005-0000-0000-0000E90B0000}"/>
    <cellStyle name="40% - Accent1 2 3 5 2 2 2 2" xfId="42093" xr:uid="{AC319B36-0C9E-468F-A2BA-E86800C18C7E}"/>
    <cellStyle name="40% - Accent1 2 3 5 2 2 3" xfId="16790" xr:uid="{00000000-0005-0000-0000-0000EA0B0000}"/>
    <cellStyle name="40% - Accent1 2 3 5 2 2 4" xfId="33659" xr:uid="{CAF81CC9-4E82-4E70-82B6-6AF5577560DE}"/>
    <cellStyle name="40% - Accent1 2 3 5 2 3" xfId="21007" xr:uid="{00000000-0005-0000-0000-0000EB0B0000}"/>
    <cellStyle name="40% - Accent1 2 3 5 2 3 2" xfId="37876" xr:uid="{041D3A29-7C0F-484F-93CE-239233FDCE7E}"/>
    <cellStyle name="40% - Accent1 2 3 5 2 4" xfId="12572" xr:uid="{00000000-0005-0000-0000-0000EC0B0000}"/>
    <cellStyle name="40% - Accent1 2 3 5 2 5" xfId="29442" xr:uid="{C70096E3-5A3A-43BD-B9F4-741CDDC823C8}"/>
    <cellStyle name="40% - Accent1 2 3 5 3" xfId="6210" xr:uid="{00000000-0005-0000-0000-0000ED0B0000}"/>
    <cellStyle name="40% - Accent1 2 3 5 3 2" xfId="23080" xr:uid="{00000000-0005-0000-0000-0000EE0B0000}"/>
    <cellStyle name="40% - Accent1 2 3 5 3 2 2" xfId="39948" xr:uid="{F758E951-852E-4158-B393-D8AFCDC0BA1C}"/>
    <cellStyle name="40% - Accent1 2 3 5 3 3" xfId="14645" xr:uid="{00000000-0005-0000-0000-0000EF0B0000}"/>
    <cellStyle name="40% - Accent1 2 3 5 3 4" xfId="31514" xr:uid="{771BC487-B2E5-4AD6-AF35-E01C416ACF3A}"/>
    <cellStyle name="40% - Accent1 2 3 5 4" xfId="18862" xr:uid="{00000000-0005-0000-0000-0000F00B0000}"/>
    <cellStyle name="40% - Accent1 2 3 5 4 2" xfId="35731" xr:uid="{54089DC0-DFD4-4970-AAC5-FBBC12CA5241}"/>
    <cellStyle name="40% - Accent1 2 3 5 5" xfId="10427" xr:uid="{00000000-0005-0000-0000-0000F10B0000}"/>
    <cellStyle name="40% - Accent1 2 3 5 6" xfId="27297" xr:uid="{1C5C10B7-BDF7-4A79-9DD2-7BE555C4C1C2}"/>
    <cellStyle name="40% - Accent1 2 3 6" xfId="2316" xr:uid="{00000000-0005-0000-0000-0000F20B0000}"/>
    <cellStyle name="40% - Accent1 2 3 6 2" xfId="6623" xr:uid="{00000000-0005-0000-0000-0000F30B0000}"/>
    <cellStyle name="40% - Accent1 2 3 6 2 2" xfId="23493" xr:uid="{00000000-0005-0000-0000-0000F40B0000}"/>
    <cellStyle name="40% - Accent1 2 3 6 2 2 2" xfId="40361" xr:uid="{1CA08275-BC47-4DEA-A978-0A631A712854}"/>
    <cellStyle name="40% - Accent1 2 3 6 2 3" xfId="15058" xr:uid="{00000000-0005-0000-0000-0000F50B0000}"/>
    <cellStyle name="40% - Accent1 2 3 6 2 4" xfId="31927" xr:uid="{261E2257-3023-476B-84D4-05C6DDC1D74F}"/>
    <cellStyle name="40% - Accent1 2 3 6 3" xfId="19275" xr:uid="{00000000-0005-0000-0000-0000F60B0000}"/>
    <cellStyle name="40% - Accent1 2 3 6 3 2" xfId="36144" xr:uid="{A50322B0-85DA-48BB-89B4-6BD61F83515F}"/>
    <cellStyle name="40% - Accent1 2 3 6 4" xfId="10840" xr:uid="{00000000-0005-0000-0000-0000F70B0000}"/>
    <cellStyle name="40% - Accent1 2 3 6 5" xfId="27710" xr:uid="{F3C3B405-BE95-4E74-B8E1-7C9CC2C2932C}"/>
    <cellStyle name="40% - Accent1 2 3 7" xfId="4557" xr:uid="{00000000-0005-0000-0000-0000F80B0000}"/>
    <cellStyle name="40% - Accent1 2 3 7 2" xfId="21427" xr:uid="{00000000-0005-0000-0000-0000F90B0000}"/>
    <cellStyle name="40% - Accent1 2 3 7 2 2" xfId="38295" xr:uid="{0FD8868F-4A1A-49B7-9106-661A5E806330}"/>
    <cellStyle name="40% - Accent1 2 3 7 3" xfId="12992" xr:uid="{00000000-0005-0000-0000-0000FA0B0000}"/>
    <cellStyle name="40% - Accent1 2 3 7 4" xfId="29861" xr:uid="{74E73FDA-6870-4C33-B0A5-1E6164B356A8}"/>
    <cellStyle name="40% - Accent1 2 3 8" xfId="17209" xr:uid="{00000000-0005-0000-0000-0000FB0B0000}"/>
    <cellStyle name="40% - Accent1 2 3 8 2" xfId="34078" xr:uid="{FC9485DA-C8FC-45C3-A755-D1F0F7F17FC9}"/>
    <cellStyle name="40% - Accent1 2 3 9" xfId="8774" xr:uid="{00000000-0005-0000-0000-0000FC0B0000}"/>
    <cellStyle name="40% - Accent1 2 4" xfId="619" xr:uid="{00000000-0005-0000-0000-0000FD0B0000}"/>
    <cellStyle name="40% - Accent1 2 4 2" xfId="2890" xr:uid="{00000000-0005-0000-0000-0000FE0B0000}"/>
    <cellStyle name="40% - Accent1 2 4 2 2" xfId="7113" xr:uid="{00000000-0005-0000-0000-0000FF0B0000}"/>
    <cellStyle name="40% - Accent1 2 4 2 2 2" xfId="23983" xr:uid="{00000000-0005-0000-0000-0000000C0000}"/>
    <cellStyle name="40% - Accent1 2 4 2 2 2 2" xfId="40851" xr:uid="{6E5C7262-D446-4718-B18D-617731DEAB42}"/>
    <cellStyle name="40% - Accent1 2 4 2 2 3" xfId="15548" xr:uid="{00000000-0005-0000-0000-0000010C0000}"/>
    <cellStyle name="40% - Accent1 2 4 2 2 4" xfId="32417" xr:uid="{6625E4AA-5C6F-43C7-BAD9-71068049CA46}"/>
    <cellStyle name="40% - Accent1 2 4 2 3" xfId="19765" xr:uid="{00000000-0005-0000-0000-0000020C0000}"/>
    <cellStyle name="40% - Accent1 2 4 2 3 2" xfId="36634" xr:uid="{4251626F-8051-4EAD-9CBB-86636D63CE70}"/>
    <cellStyle name="40% - Accent1 2 4 2 4" xfId="11330" xr:uid="{00000000-0005-0000-0000-0000030C0000}"/>
    <cellStyle name="40% - Accent1 2 4 2 5" xfId="28200" xr:uid="{16F6651A-FC29-4E4E-B9C3-2C12470AF84E}"/>
    <cellStyle name="40% - Accent1 2 4 3" xfId="4968" xr:uid="{00000000-0005-0000-0000-0000040C0000}"/>
    <cellStyle name="40% - Accent1 2 4 3 2" xfId="21838" xr:uid="{00000000-0005-0000-0000-0000050C0000}"/>
    <cellStyle name="40% - Accent1 2 4 3 2 2" xfId="38706" xr:uid="{A6F8D8FD-9A94-41F6-AE59-9DF1A062D197}"/>
    <cellStyle name="40% - Accent1 2 4 3 3" xfId="13403" xr:uid="{00000000-0005-0000-0000-0000060C0000}"/>
    <cellStyle name="40% - Accent1 2 4 3 4" xfId="30272" xr:uid="{F57C630F-353D-45D3-A916-B84A6C781E43}"/>
    <cellStyle name="40% - Accent1 2 4 4" xfId="17620" xr:uid="{00000000-0005-0000-0000-0000070C0000}"/>
    <cellStyle name="40% - Accent1 2 4 4 2" xfId="34489" xr:uid="{28FCEBA4-4379-4059-BC7B-C53F8C635C01}"/>
    <cellStyle name="40% - Accent1 2 4 5" xfId="9185" xr:uid="{00000000-0005-0000-0000-0000080C0000}"/>
    <cellStyle name="40% - Accent1 2 4 6" xfId="26055" xr:uid="{53600C8B-B4F2-4E3B-B958-45C6077824B6}"/>
    <cellStyle name="40% - Accent1 2 5" xfId="1072" xr:uid="{00000000-0005-0000-0000-0000090C0000}"/>
    <cellStyle name="40% - Accent1 2 5 2" xfId="3303" xr:uid="{00000000-0005-0000-0000-00000A0C0000}"/>
    <cellStyle name="40% - Accent1 2 5 2 2" xfId="7526" xr:uid="{00000000-0005-0000-0000-00000B0C0000}"/>
    <cellStyle name="40% - Accent1 2 5 2 2 2" xfId="24396" xr:uid="{00000000-0005-0000-0000-00000C0C0000}"/>
    <cellStyle name="40% - Accent1 2 5 2 2 2 2" xfId="41264" xr:uid="{4AFF3117-27E3-4833-973B-24DCDC7BF787}"/>
    <cellStyle name="40% - Accent1 2 5 2 2 3" xfId="15961" xr:uid="{00000000-0005-0000-0000-00000D0C0000}"/>
    <cellStyle name="40% - Accent1 2 5 2 2 4" xfId="32830" xr:uid="{AA96EF23-61E4-4DEE-A33D-67205CF0B465}"/>
    <cellStyle name="40% - Accent1 2 5 2 3" xfId="20178" xr:uid="{00000000-0005-0000-0000-00000E0C0000}"/>
    <cellStyle name="40% - Accent1 2 5 2 3 2" xfId="37047" xr:uid="{879AE267-A5BD-4FE7-A590-B3C931625FB2}"/>
    <cellStyle name="40% - Accent1 2 5 2 4" xfId="11743" xr:uid="{00000000-0005-0000-0000-00000F0C0000}"/>
    <cellStyle name="40% - Accent1 2 5 2 5" xfId="28613" xr:uid="{F7D848CD-F18F-4C40-9C5B-1C4EFDDD111B}"/>
    <cellStyle name="40% - Accent1 2 5 3" xfId="5381" xr:uid="{00000000-0005-0000-0000-0000100C0000}"/>
    <cellStyle name="40% - Accent1 2 5 3 2" xfId="22251" xr:uid="{00000000-0005-0000-0000-0000110C0000}"/>
    <cellStyle name="40% - Accent1 2 5 3 2 2" xfId="39119" xr:uid="{B4C5E2EF-F5DC-47EE-AB75-E31FEE0666F3}"/>
    <cellStyle name="40% - Accent1 2 5 3 3" xfId="13816" xr:uid="{00000000-0005-0000-0000-0000120C0000}"/>
    <cellStyle name="40% - Accent1 2 5 3 4" xfId="30685" xr:uid="{85537C3D-C15D-47DE-ADC2-D4840BFB3645}"/>
    <cellStyle name="40% - Accent1 2 5 4" xfId="18033" xr:uid="{00000000-0005-0000-0000-0000130C0000}"/>
    <cellStyle name="40% - Accent1 2 5 4 2" xfId="34902" xr:uid="{7CC23E09-AF14-4D8A-A6BF-ADC7D4D93335}"/>
    <cellStyle name="40% - Accent1 2 5 5" xfId="9598" xr:uid="{00000000-0005-0000-0000-0000140C0000}"/>
    <cellStyle name="40% - Accent1 2 5 6" xfId="26468" xr:uid="{461D631C-22B4-412E-8707-B08D970E2EA2}"/>
    <cellStyle name="40% - Accent1 2 6" xfId="1486" xr:uid="{00000000-0005-0000-0000-0000150C0000}"/>
    <cellStyle name="40% - Accent1 2 6 2" xfId="3716" xr:uid="{00000000-0005-0000-0000-0000160C0000}"/>
    <cellStyle name="40% - Accent1 2 6 2 2" xfId="7939" xr:uid="{00000000-0005-0000-0000-0000170C0000}"/>
    <cellStyle name="40% - Accent1 2 6 2 2 2" xfId="24809" xr:uid="{00000000-0005-0000-0000-0000180C0000}"/>
    <cellStyle name="40% - Accent1 2 6 2 2 2 2" xfId="41677" xr:uid="{F730B600-A93D-4A72-A177-49B4E0A68E4F}"/>
    <cellStyle name="40% - Accent1 2 6 2 2 3" xfId="16374" xr:uid="{00000000-0005-0000-0000-0000190C0000}"/>
    <cellStyle name="40% - Accent1 2 6 2 2 4" xfId="33243" xr:uid="{0FB2487A-EB72-4A60-A57F-AD8E4D839A24}"/>
    <cellStyle name="40% - Accent1 2 6 2 3" xfId="20591" xr:uid="{00000000-0005-0000-0000-00001A0C0000}"/>
    <cellStyle name="40% - Accent1 2 6 2 3 2" xfId="37460" xr:uid="{966CABA1-7BC3-42A5-8084-1158A9E013D6}"/>
    <cellStyle name="40% - Accent1 2 6 2 4" xfId="12156" xr:uid="{00000000-0005-0000-0000-00001B0C0000}"/>
    <cellStyle name="40% - Accent1 2 6 2 5" xfId="29026" xr:uid="{F41E129C-2525-4B50-A58F-9E82C3153A63}"/>
    <cellStyle name="40% - Accent1 2 6 3" xfId="5794" xr:uid="{00000000-0005-0000-0000-00001C0C0000}"/>
    <cellStyle name="40% - Accent1 2 6 3 2" xfId="22664" xr:uid="{00000000-0005-0000-0000-00001D0C0000}"/>
    <cellStyle name="40% - Accent1 2 6 3 2 2" xfId="39532" xr:uid="{A9BFDE5B-F37E-4BD4-826D-C56DCBC0E166}"/>
    <cellStyle name="40% - Accent1 2 6 3 3" xfId="14229" xr:uid="{00000000-0005-0000-0000-00001E0C0000}"/>
    <cellStyle name="40% - Accent1 2 6 3 4" xfId="31098" xr:uid="{3C6E5AFD-DD9A-496A-879A-FBCE5568C9EB}"/>
    <cellStyle name="40% - Accent1 2 6 4" xfId="18446" xr:uid="{00000000-0005-0000-0000-00001F0C0000}"/>
    <cellStyle name="40% - Accent1 2 6 4 2" xfId="35315" xr:uid="{84122C5A-1088-4F91-9502-0ADD7EA758B6}"/>
    <cellStyle name="40% - Accent1 2 6 5" xfId="10011" xr:uid="{00000000-0005-0000-0000-0000200C0000}"/>
    <cellStyle name="40% - Accent1 2 6 6" xfId="26881" xr:uid="{9A77D1B5-47C7-45F1-989F-98B6583B706F}"/>
    <cellStyle name="40% - Accent1 2 7" xfId="1900" xr:uid="{00000000-0005-0000-0000-0000210C0000}"/>
    <cellStyle name="40% - Accent1 2 7 2" xfId="4129" xr:uid="{00000000-0005-0000-0000-0000220C0000}"/>
    <cellStyle name="40% - Accent1 2 7 2 2" xfId="8352" xr:uid="{00000000-0005-0000-0000-0000230C0000}"/>
    <cellStyle name="40% - Accent1 2 7 2 2 2" xfId="25222" xr:uid="{00000000-0005-0000-0000-0000240C0000}"/>
    <cellStyle name="40% - Accent1 2 7 2 2 2 2" xfId="42090" xr:uid="{645D69CC-C99C-4B37-A92A-72C1122096B7}"/>
    <cellStyle name="40% - Accent1 2 7 2 2 3" xfId="16787" xr:uid="{00000000-0005-0000-0000-0000250C0000}"/>
    <cellStyle name="40% - Accent1 2 7 2 2 4" xfId="33656" xr:uid="{19F3D2C1-5012-45C7-899A-F2782ED3835B}"/>
    <cellStyle name="40% - Accent1 2 7 2 3" xfId="21004" xr:uid="{00000000-0005-0000-0000-0000260C0000}"/>
    <cellStyle name="40% - Accent1 2 7 2 3 2" xfId="37873" xr:uid="{258AFA9C-5812-44FA-80F0-0AC3C6DF4768}"/>
    <cellStyle name="40% - Accent1 2 7 2 4" xfId="12569" xr:uid="{00000000-0005-0000-0000-0000270C0000}"/>
    <cellStyle name="40% - Accent1 2 7 2 5" xfId="29439" xr:uid="{6330CB98-4FCD-4E86-9A15-83E249B46872}"/>
    <cellStyle name="40% - Accent1 2 7 3" xfId="6207" xr:uid="{00000000-0005-0000-0000-0000280C0000}"/>
    <cellStyle name="40% - Accent1 2 7 3 2" xfId="23077" xr:uid="{00000000-0005-0000-0000-0000290C0000}"/>
    <cellStyle name="40% - Accent1 2 7 3 2 2" xfId="39945" xr:uid="{D37621EF-C557-419A-AD61-838E4CD6A53F}"/>
    <cellStyle name="40% - Accent1 2 7 3 3" xfId="14642" xr:uid="{00000000-0005-0000-0000-00002A0C0000}"/>
    <cellStyle name="40% - Accent1 2 7 3 4" xfId="31511" xr:uid="{D26FA064-97EF-4D43-BAAD-C79E1EEB4E5B}"/>
    <cellStyle name="40% - Accent1 2 7 4" xfId="18859" xr:uid="{00000000-0005-0000-0000-00002B0C0000}"/>
    <cellStyle name="40% - Accent1 2 7 4 2" xfId="35728" xr:uid="{A0441FCB-28E1-4B88-B30F-4EB9CAB616DC}"/>
    <cellStyle name="40% - Accent1 2 7 5" xfId="10424" xr:uid="{00000000-0005-0000-0000-00002C0C0000}"/>
    <cellStyle name="40% - Accent1 2 7 6" xfId="27294" xr:uid="{15A5F7C2-018A-45F4-AEA8-6DB5700515F2}"/>
    <cellStyle name="40% - Accent1 2 8" xfId="2313" xr:uid="{00000000-0005-0000-0000-00002D0C0000}"/>
    <cellStyle name="40% - Accent1 2 8 2" xfId="6620" xr:uid="{00000000-0005-0000-0000-00002E0C0000}"/>
    <cellStyle name="40% - Accent1 2 8 2 2" xfId="23490" xr:uid="{00000000-0005-0000-0000-00002F0C0000}"/>
    <cellStyle name="40% - Accent1 2 8 2 2 2" xfId="40358" xr:uid="{6D0ED9FC-53CC-49B6-883E-951294B9FBC4}"/>
    <cellStyle name="40% - Accent1 2 8 2 3" xfId="15055" xr:uid="{00000000-0005-0000-0000-0000300C0000}"/>
    <cellStyle name="40% - Accent1 2 8 2 4" xfId="31924" xr:uid="{9CBB8207-521F-45EB-982D-2EE794F9B872}"/>
    <cellStyle name="40% - Accent1 2 8 3" xfId="19272" xr:uid="{00000000-0005-0000-0000-0000310C0000}"/>
    <cellStyle name="40% - Accent1 2 8 3 2" xfId="36141" xr:uid="{67C2A345-5E40-4AAB-B740-CE5CAEE9E8F0}"/>
    <cellStyle name="40% - Accent1 2 8 4" xfId="10837" xr:uid="{00000000-0005-0000-0000-0000320C0000}"/>
    <cellStyle name="40% - Accent1 2 8 5" xfId="27707" xr:uid="{BC015E45-B5AD-4BE9-9279-5EE2B6AB0BE8}"/>
    <cellStyle name="40% - Accent1 2 9" xfId="4554" xr:uid="{00000000-0005-0000-0000-0000330C0000}"/>
    <cellStyle name="40% - Accent1 2 9 2" xfId="21424" xr:uid="{00000000-0005-0000-0000-0000340C0000}"/>
    <cellStyle name="40% - Accent1 2 9 2 2" xfId="38292" xr:uid="{093772FC-9A8D-4A7D-B7E9-46AFFF9BDBE4}"/>
    <cellStyle name="40% - Accent1 2 9 3" xfId="12989" xr:uid="{00000000-0005-0000-0000-0000350C0000}"/>
    <cellStyle name="40% - Accent1 2 9 4" xfId="29858" xr:uid="{7DBE4376-9AAF-4C7A-82D5-A72D927DDB93}"/>
    <cellStyle name="40% - Accent1 3" xfId="54" xr:uid="{00000000-0005-0000-0000-0000360C0000}"/>
    <cellStyle name="40% - Accent1 3 10" xfId="8775" xr:uid="{00000000-0005-0000-0000-0000370C0000}"/>
    <cellStyle name="40% - Accent1 3 11" xfId="25645" xr:uid="{FBDF4A01-6008-40BE-88BD-0C5BA6A02DCE}"/>
    <cellStyle name="40% - Accent1 3 2" xfId="55" xr:uid="{00000000-0005-0000-0000-0000380C0000}"/>
    <cellStyle name="40% - Accent1 3 2 10" xfId="25646" xr:uid="{300B7665-0261-41C9-851A-B83315E59DA9}"/>
    <cellStyle name="40% - Accent1 3 2 2" xfId="624" xr:uid="{00000000-0005-0000-0000-0000390C0000}"/>
    <cellStyle name="40% - Accent1 3 2 2 2" xfId="2895" xr:uid="{00000000-0005-0000-0000-00003A0C0000}"/>
    <cellStyle name="40% - Accent1 3 2 2 2 2" xfId="7118" xr:uid="{00000000-0005-0000-0000-00003B0C0000}"/>
    <cellStyle name="40% - Accent1 3 2 2 2 2 2" xfId="23988" xr:uid="{00000000-0005-0000-0000-00003C0C0000}"/>
    <cellStyle name="40% - Accent1 3 2 2 2 2 2 2" xfId="40856" xr:uid="{B226B6F2-993A-44E5-A2E1-70F87A0D026D}"/>
    <cellStyle name="40% - Accent1 3 2 2 2 2 3" xfId="15553" xr:uid="{00000000-0005-0000-0000-00003D0C0000}"/>
    <cellStyle name="40% - Accent1 3 2 2 2 2 4" xfId="32422" xr:uid="{2E956093-1FB6-42BD-BE6A-7392C9A95897}"/>
    <cellStyle name="40% - Accent1 3 2 2 2 3" xfId="19770" xr:uid="{00000000-0005-0000-0000-00003E0C0000}"/>
    <cellStyle name="40% - Accent1 3 2 2 2 3 2" xfId="36639" xr:uid="{C2C38596-E5B8-4B52-A587-1DB8554C1EE4}"/>
    <cellStyle name="40% - Accent1 3 2 2 2 4" xfId="11335" xr:uid="{00000000-0005-0000-0000-00003F0C0000}"/>
    <cellStyle name="40% - Accent1 3 2 2 2 5" xfId="28205" xr:uid="{9EA3D63A-C1A0-44F9-B419-B5289AC3351E}"/>
    <cellStyle name="40% - Accent1 3 2 2 3" xfId="4973" xr:uid="{00000000-0005-0000-0000-0000400C0000}"/>
    <cellStyle name="40% - Accent1 3 2 2 3 2" xfId="21843" xr:uid="{00000000-0005-0000-0000-0000410C0000}"/>
    <cellStyle name="40% - Accent1 3 2 2 3 2 2" xfId="38711" xr:uid="{2DF3F822-AAF1-45FA-8661-F2B2CE66FFF1}"/>
    <cellStyle name="40% - Accent1 3 2 2 3 3" xfId="13408" xr:uid="{00000000-0005-0000-0000-0000420C0000}"/>
    <cellStyle name="40% - Accent1 3 2 2 3 4" xfId="30277" xr:uid="{97BBB376-E743-4856-BB61-5E058A430770}"/>
    <cellStyle name="40% - Accent1 3 2 2 4" xfId="17625" xr:uid="{00000000-0005-0000-0000-0000430C0000}"/>
    <cellStyle name="40% - Accent1 3 2 2 4 2" xfId="34494" xr:uid="{15849A24-4DF9-403C-8677-2DADEC914FB7}"/>
    <cellStyle name="40% - Accent1 3 2 2 5" xfId="9190" xr:uid="{00000000-0005-0000-0000-0000440C0000}"/>
    <cellStyle name="40% - Accent1 3 2 2 6" xfId="26060" xr:uid="{8CA50628-ACD3-4204-9912-6427895A9507}"/>
    <cellStyle name="40% - Accent1 3 2 3" xfId="1077" xr:uid="{00000000-0005-0000-0000-0000450C0000}"/>
    <cellStyle name="40% - Accent1 3 2 3 2" xfId="3308" xr:uid="{00000000-0005-0000-0000-0000460C0000}"/>
    <cellStyle name="40% - Accent1 3 2 3 2 2" xfId="7531" xr:uid="{00000000-0005-0000-0000-0000470C0000}"/>
    <cellStyle name="40% - Accent1 3 2 3 2 2 2" xfId="24401" xr:uid="{00000000-0005-0000-0000-0000480C0000}"/>
    <cellStyle name="40% - Accent1 3 2 3 2 2 2 2" xfId="41269" xr:uid="{C02F80B1-CAA3-49A9-AB12-99C564A3F2CA}"/>
    <cellStyle name="40% - Accent1 3 2 3 2 2 3" xfId="15966" xr:uid="{00000000-0005-0000-0000-0000490C0000}"/>
    <cellStyle name="40% - Accent1 3 2 3 2 2 4" xfId="32835" xr:uid="{A9316F46-575B-4FDA-B0D1-71F41A8C9A60}"/>
    <cellStyle name="40% - Accent1 3 2 3 2 3" xfId="20183" xr:uid="{00000000-0005-0000-0000-00004A0C0000}"/>
    <cellStyle name="40% - Accent1 3 2 3 2 3 2" xfId="37052" xr:uid="{F3E6D503-7880-46DC-A5C8-A4F0CC775D39}"/>
    <cellStyle name="40% - Accent1 3 2 3 2 4" xfId="11748" xr:uid="{00000000-0005-0000-0000-00004B0C0000}"/>
    <cellStyle name="40% - Accent1 3 2 3 2 5" xfId="28618" xr:uid="{5A1E9498-55DA-4EA1-9138-F448B37EC2C2}"/>
    <cellStyle name="40% - Accent1 3 2 3 3" xfId="5386" xr:uid="{00000000-0005-0000-0000-00004C0C0000}"/>
    <cellStyle name="40% - Accent1 3 2 3 3 2" xfId="22256" xr:uid="{00000000-0005-0000-0000-00004D0C0000}"/>
    <cellStyle name="40% - Accent1 3 2 3 3 2 2" xfId="39124" xr:uid="{5DEF607C-9415-4BB5-9C8D-9969690AF45B}"/>
    <cellStyle name="40% - Accent1 3 2 3 3 3" xfId="13821" xr:uid="{00000000-0005-0000-0000-00004E0C0000}"/>
    <cellStyle name="40% - Accent1 3 2 3 3 4" xfId="30690" xr:uid="{8D23EA47-B9CC-4454-AA33-DFBF8DEC1431}"/>
    <cellStyle name="40% - Accent1 3 2 3 4" xfId="18038" xr:uid="{00000000-0005-0000-0000-00004F0C0000}"/>
    <cellStyle name="40% - Accent1 3 2 3 4 2" xfId="34907" xr:uid="{D80786F9-61AD-4D51-9732-6D3A00833D4E}"/>
    <cellStyle name="40% - Accent1 3 2 3 5" xfId="9603" xr:uid="{00000000-0005-0000-0000-0000500C0000}"/>
    <cellStyle name="40% - Accent1 3 2 3 6" xfId="26473" xr:uid="{6AFA564B-3E28-49DE-9B44-1D078BAB07A0}"/>
    <cellStyle name="40% - Accent1 3 2 4" xfId="1491" xr:uid="{00000000-0005-0000-0000-0000510C0000}"/>
    <cellStyle name="40% - Accent1 3 2 4 2" xfId="3721" xr:uid="{00000000-0005-0000-0000-0000520C0000}"/>
    <cellStyle name="40% - Accent1 3 2 4 2 2" xfId="7944" xr:uid="{00000000-0005-0000-0000-0000530C0000}"/>
    <cellStyle name="40% - Accent1 3 2 4 2 2 2" xfId="24814" xr:uid="{00000000-0005-0000-0000-0000540C0000}"/>
    <cellStyle name="40% - Accent1 3 2 4 2 2 2 2" xfId="41682" xr:uid="{8C48287E-BFCF-4869-9BC6-F08AC0441E1D}"/>
    <cellStyle name="40% - Accent1 3 2 4 2 2 3" xfId="16379" xr:uid="{00000000-0005-0000-0000-0000550C0000}"/>
    <cellStyle name="40% - Accent1 3 2 4 2 2 4" xfId="33248" xr:uid="{1879518F-CC6D-4168-B0A8-667F5C60C824}"/>
    <cellStyle name="40% - Accent1 3 2 4 2 3" xfId="20596" xr:uid="{00000000-0005-0000-0000-0000560C0000}"/>
    <cellStyle name="40% - Accent1 3 2 4 2 3 2" xfId="37465" xr:uid="{78E32D08-8AB0-4B71-946E-19EB185381BD}"/>
    <cellStyle name="40% - Accent1 3 2 4 2 4" xfId="12161" xr:uid="{00000000-0005-0000-0000-0000570C0000}"/>
    <cellStyle name="40% - Accent1 3 2 4 2 5" xfId="29031" xr:uid="{F2F30FAF-D12E-440B-82BF-9269DD69F4CA}"/>
    <cellStyle name="40% - Accent1 3 2 4 3" xfId="5799" xr:uid="{00000000-0005-0000-0000-0000580C0000}"/>
    <cellStyle name="40% - Accent1 3 2 4 3 2" xfId="22669" xr:uid="{00000000-0005-0000-0000-0000590C0000}"/>
    <cellStyle name="40% - Accent1 3 2 4 3 2 2" xfId="39537" xr:uid="{33678580-F2A7-4688-826B-C6175D1A9ED6}"/>
    <cellStyle name="40% - Accent1 3 2 4 3 3" xfId="14234" xr:uid="{00000000-0005-0000-0000-00005A0C0000}"/>
    <cellStyle name="40% - Accent1 3 2 4 3 4" xfId="31103" xr:uid="{FE0EDBA5-1F78-4C3F-8C55-7AB7ECD6F0DE}"/>
    <cellStyle name="40% - Accent1 3 2 4 4" xfId="18451" xr:uid="{00000000-0005-0000-0000-00005B0C0000}"/>
    <cellStyle name="40% - Accent1 3 2 4 4 2" xfId="35320" xr:uid="{55058EC9-AC01-4829-9558-E4D669A591E0}"/>
    <cellStyle name="40% - Accent1 3 2 4 5" xfId="10016" xr:uid="{00000000-0005-0000-0000-00005C0C0000}"/>
    <cellStyle name="40% - Accent1 3 2 4 6" xfId="26886" xr:uid="{98ED6544-BA58-4AD5-B1D7-2AD03CE65CE8}"/>
    <cellStyle name="40% - Accent1 3 2 5" xfId="1905" xr:uid="{00000000-0005-0000-0000-00005D0C0000}"/>
    <cellStyle name="40% - Accent1 3 2 5 2" xfId="4134" xr:uid="{00000000-0005-0000-0000-00005E0C0000}"/>
    <cellStyle name="40% - Accent1 3 2 5 2 2" xfId="8357" xr:uid="{00000000-0005-0000-0000-00005F0C0000}"/>
    <cellStyle name="40% - Accent1 3 2 5 2 2 2" xfId="25227" xr:uid="{00000000-0005-0000-0000-0000600C0000}"/>
    <cellStyle name="40% - Accent1 3 2 5 2 2 2 2" xfId="42095" xr:uid="{269967D7-C8C6-46F7-BDAA-00990FB8AE1B}"/>
    <cellStyle name="40% - Accent1 3 2 5 2 2 3" xfId="16792" xr:uid="{00000000-0005-0000-0000-0000610C0000}"/>
    <cellStyle name="40% - Accent1 3 2 5 2 2 4" xfId="33661" xr:uid="{B35CC5D2-A817-4BAE-8E07-DB40FAB388BB}"/>
    <cellStyle name="40% - Accent1 3 2 5 2 3" xfId="21009" xr:uid="{00000000-0005-0000-0000-0000620C0000}"/>
    <cellStyle name="40% - Accent1 3 2 5 2 3 2" xfId="37878" xr:uid="{0FEEE95A-F004-4EAF-9F6D-C53227EF8265}"/>
    <cellStyle name="40% - Accent1 3 2 5 2 4" xfId="12574" xr:uid="{00000000-0005-0000-0000-0000630C0000}"/>
    <cellStyle name="40% - Accent1 3 2 5 2 5" xfId="29444" xr:uid="{C224D7BC-5F15-4AD1-B44F-F3917189AC27}"/>
    <cellStyle name="40% - Accent1 3 2 5 3" xfId="6212" xr:uid="{00000000-0005-0000-0000-0000640C0000}"/>
    <cellStyle name="40% - Accent1 3 2 5 3 2" xfId="23082" xr:uid="{00000000-0005-0000-0000-0000650C0000}"/>
    <cellStyle name="40% - Accent1 3 2 5 3 2 2" xfId="39950" xr:uid="{1FFE85C8-C674-442C-BA3C-70C0552CCE7B}"/>
    <cellStyle name="40% - Accent1 3 2 5 3 3" xfId="14647" xr:uid="{00000000-0005-0000-0000-0000660C0000}"/>
    <cellStyle name="40% - Accent1 3 2 5 3 4" xfId="31516" xr:uid="{A4640D4C-4F90-4120-9E80-7755CB3491B7}"/>
    <cellStyle name="40% - Accent1 3 2 5 4" xfId="18864" xr:uid="{00000000-0005-0000-0000-0000670C0000}"/>
    <cellStyle name="40% - Accent1 3 2 5 4 2" xfId="35733" xr:uid="{0F696CB8-8E25-42AE-B517-79CED16ABF67}"/>
    <cellStyle name="40% - Accent1 3 2 5 5" xfId="10429" xr:uid="{00000000-0005-0000-0000-0000680C0000}"/>
    <cellStyle name="40% - Accent1 3 2 5 6" xfId="27299" xr:uid="{03AB4A1D-EB47-4AB4-ADE6-E37C63399F45}"/>
    <cellStyle name="40% - Accent1 3 2 6" xfId="2318" xr:uid="{00000000-0005-0000-0000-0000690C0000}"/>
    <cellStyle name="40% - Accent1 3 2 6 2" xfId="6625" xr:uid="{00000000-0005-0000-0000-00006A0C0000}"/>
    <cellStyle name="40% - Accent1 3 2 6 2 2" xfId="23495" xr:uid="{00000000-0005-0000-0000-00006B0C0000}"/>
    <cellStyle name="40% - Accent1 3 2 6 2 2 2" xfId="40363" xr:uid="{D053252E-0435-4B3E-B98C-15A15B68FBF7}"/>
    <cellStyle name="40% - Accent1 3 2 6 2 3" xfId="15060" xr:uid="{00000000-0005-0000-0000-00006C0C0000}"/>
    <cellStyle name="40% - Accent1 3 2 6 2 4" xfId="31929" xr:uid="{548ECCD5-6FE6-40C3-B3A2-FD120602DC70}"/>
    <cellStyle name="40% - Accent1 3 2 6 3" xfId="19277" xr:uid="{00000000-0005-0000-0000-00006D0C0000}"/>
    <cellStyle name="40% - Accent1 3 2 6 3 2" xfId="36146" xr:uid="{827AF8BD-674A-46A6-92D4-6CE15A8E13D0}"/>
    <cellStyle name="40% - Accent1 3 2 6 4" xfId="10842" xr:uid="{00000000-0005-0000-0000-00006E0C0000}"/>
    <cellStyle name="40% - Accent1 3 2 6 5" xfId="27712" xr:uid="{4CCB28AD-CFD3-4638-A3F5-A07C243D387E}"/>
    <cellStyle name="40% - Accent1 3 2 7" xfId="4559" xr:uid="{00000000-0005-0000-0000-00006F0C0000}"/>
    <cellStyle name="40% - Accent1 3 2 7 2" xfId="21429" xr:uid="{00000000-0005-0000-0000-0000700C0000}"/>
    <cellStyle name="40% - Accent1 3 2 7 2 2" xfId="38297" xr:uid="{7D48E586-26A3-46BD-8122-E85CB9897D6F}"/>
    <cellStyle name="40% - Accent1 3 2 7 3" xfId="12994" xr:uid="{00000000-0005-0000-0000-0000710C0000}"/>
    <cellStyle name="40% - Accent1 3 2 7 4" xfId="29863" xr:uid="{852598A0-5CAA-4993-A9CC-830B4C421709}"/>
    <cellStyle name="40% - Accent1 3 2 8" xfId="17211" xr:uid="{00000000-0005-0000-0000-0000720C0000}"/>
    <cellStyle name="40% - Accent1 3 2 8 2" xfId="34080" xr:uid="{0706D17F-DB45-48F6-9327-04CD4CB8C74E}"/>
    <cellStyle name="40% - Accent1 3 2 9" xfId="8776" xr:uid="{00000000-0005-0000-0000-0000730C0000}"/>
    <cellStyle name="40% - Accent1 3 3" xfId="623" xr:uid="{00000000-0005-0000-0000-0000740C0000}"/>
    <cellStyle name="40% - Accent1 3 3 2" xfId="2894" xr:uid="{00000000-0005-0000-0000-0000750C0000}"/>
    <cellStyle name="40% - Accent1 3 3 2 2" xfId="7117" xr:uid="{00000000-0005-0000-0000-0000760C0000}"/>
    <cellStyle name="40% - Accent1 3 3 2 2 2" xfId="23987" xr:uid="{00000000-0005-0000-0000-0000770C0000}"/>
    <cellStyle name="40% - Accent1 3 3 2 2 2 2" xfId="40855" xr:uid="{93F1B0C9-81A5-43BA-81C9-14CE9DE2D5FF}"/>
    <cellStyle name="40% - Accent1 3 3 2 2 3" xfId="15552" xr:uid="{00000000-0005-0000-0000-0000780C0000}"/>
    <cellStyle name="40% - Accent1 3 3 2 2 4" xfId="32421" xr:uid="{CDC13571-CD47-4AA9-9936-28627D25FEE4}"/>
    <cellStyle name="40% - Accent1 3 3 2 3" xfId="19769" xr:uid="{00000000-0005-0000-0000-0000790C0000}"/>
    <cellStyle name="40% - Accent1 3 3 2 3 2" xfId="36638" xr:uid="{7E9852BB-9F00-4848-B29E-C037348BD46A}"/>
    <cellStyle name="40% - Accent1 3 3 2 4" xfId="11334" xr:uid="{00000000-0005-0000-0000-00007A0C0000}"/>
    <cellStyle name="40% - Accent1 3 3 2 5" xfId="28204" xr:uid="{B2A2C1B4-1A7D-4901-9B4D-603AE0C8DE82}"/>
    <cellStyle name="40% - Accent1 3 3 3" xfId="4972" xr:uid="{00000000-0005-0000-0000-00007B0C0000}"/>
    <cellStyle name="40% - Accent1 3 3 3 2" xfId="21842" xr:uid="{00000000-0005-0000-0000-00007C0C0000}"/>
    <cellStyle name="40% - Accent1 3 3 3 2 2" xfId="38710" xr:uid="{8E02169C-B5CB-46EA-964E-AE7D568AA51A}"/>
    <cellStyle name="40% - Accent1 3 3 3 3" xfId="13407" xr:uid="{00000000-0005-0000-0000-00007D0C0000}"/>
    <cellStyle name="40% - Accent1 3 3 3 4" xfId="30276" xr:uid="{6AD27043-839A-4B6F-9E42-5C8A3E964D38}"/>
    <cellStyle name="40% - Accent1 3 3 4" xfId="17624" xr:uid="{00000000-0005-0000-0000-00007E0C0000}"/>
    <cellStyle name="40% - Accent1 3 3 4 2" xfId="34493" xr:uid="{6973BBEB-D4D9-4C57-A5D6-8BA155349AAC}"/>
    <cellStyle name="40% - Accent1 3 3 5" xfId="9189" xr:uid="{00000000-0005-0000-0000-00007F0C0000}"/>
    <cellStyle name="40% - Accent1 3 3 6" xfId="26059" xr:uid="{A63F7936-B2CB-423C-A083-BE8DD8C9DC67}"/>
    <cellStyle name="40% - Accent1 3 4" xfId="1076" xr:uid="{00000000-0005-0000-0000-0000800C0000}"/>
    <cellStyle name="40% - Accent1 3 4 2" xfId="3307" xr:uid="{00000000-0005-0000-0000-0000810C0000}"/>
    <cellStyle name="40% - Accent1 3 4 2 2" xfId="7530" xr:uid="{00000000-0005-0000-0000-0000820C0000}"/>
    <cellStyle name="40% - Accent1 3 4 2 2 2" xfId="24400" xr:uid="{00000000-0005-0000-0000-0000830C0000}"/>
    <cellStyle name="40% - Accent1 3 4 2 2 2 2" xfId="41268" xr:uid="{8C2EA53E-574D-4512-B73C-1C266D875DBD}"/>
    <cellStyle name="40% - Accent1 3 4 2 2 3" xfId="15965" xr:uid="{00000000-0005-0000-0000-0000840C0000}"/>
    <cellStyle name="40% - Accent1 3 4 2 2 4" xfId="32834" xr:uid="{539A1A93-D3F7-4E50-9A6B-43104B0E2F38}"/>
    <cellStyle name="40% - Accent1 3 4 2 3" xfId="20182" xr:uid="{00000000-0005-0000-0000-0000850C0000}"/>
    <cellStyle name="40% - Accent1 3 4 2 3 2" xfId="37051" xr:uid="{F8BA843E-0824-435D-83C5-C5E6EE34FABA}"/>
    <cellStyle name="40% - Accent1 3 4 2 4" xfId="11747" xr:uid="{00000000-0005-0000-0000-0000860C0000}"/>
    <cellStyle name="40% - Accent1 3 4 2 5" xfId="28617" xr:uid="{2345C4B5-5E52-4EDE-B3F4-890A3087C1FB}"/>
    <cellStyle name="40% - Accent1 3 4 3" xfId="5385" xr:uid="{00000000-0005-0000-0000-0000870C0000}"/>
    <cellStyle name="40% - Accent1 3 4 3 2" xfId="22255" xr:uid="{00000000-0005-0000-0000-0000880C0000}"/>
    <cellStyle name="40% - Accent1 3 4 3 2 2" xfId="39123" xr:uid="{733FF7A7-22FA-4D1D-BAB6-A74E3FC637F6}"/>
    <cellStyle name="40% - Accent1 3 4 3 3" xfId="13820" xr:uid="{00000000-0005-0000-0000-0000890C0000}"/>
    <cellStyle name="40% - Accent1 3 4 3 4" xfId="30689" xr:uid="{CD1B2E26-F1D6-4D36-8EF9-28443511A689}"/>
    <cellStyle name="40% - Accent1 3 4 4" xfId="18037" xr:uid="{00000000-0005-0000-0000-00008A0C0000}"/>
    <cellStyle name="40% - Accent1 3 4 4 2" xfId="34906" xr:uid="{09D547C9-5183-4E25-A99C-D1F678F699AB}"/>
    <cellStyle name="40% - Accent1 3 4 5" xfId="9602" xr:uid="{00000000-0005-0000-0000-00008B0C0000}"/>
    <cellStyle name="40% - Accent1 3 4 6" xfId="26472" xr:uid="{126160D2-E4E4-4623-B14F-8210368FB193}"/>
    <cellStyle name="40% - Accent1 3 5" xfId="1490" xr:uid="{00000000-0005-0000-0000-00008C0C0000}"/>
    <cellStyle name="40% - Accent1 3 5 2" xfId="3720" xr:uid="{00000000-0005-0000-0000-00008D0C0000}"/>
    <cellStyle name="40% - Accent1 3 5 2 2" xfId="7943" xr:uid="{00000000-0005-0000-0000-00008E0C0000}"/>
    <cellStyle name="40% - Accent1 3 5 2 2 2" xfId="24813" xr:uid="{00000000-0005-0000-0000-00008F0C0000}"/>
    <cellStyle name="40% - Accent1 3 5 2 2 2 2" xfId="41681" xr:uid="{34A82C4C-A15F-483B-A817-B4D7FCA043FD}"/>
    <cellStyle name="40% - Accent1 3 5 2 2 3" xfId="16378" xr:uid="{00000000-0005-0000-0000-0000900C0000}"/>
    <cellStyle name="40% - Accent1 3 5 2 2 4" xfId="33247" xr:uid="{B463C9FC-6022-4758-B19B-765DA44A6E60}"/>
    <cellStyle name="40% - Accent1 3 5 2 3" xfId="20595" xr:uid="{00000000-0005-0000-0000-0000910C0000}"/>
    <cellStyle name="40% - Accent1 3 5 2 3 2" xfId="37464" xr:uid="{EEED6090-B933-4773-A700-82B10D2A3B01}"/>
    <cellStyle name="40% - Accent1 3 5 2 4" xfId="12160" xr:uid="{00000000-0005-0000-0000-0000920C0000}"/>
    <cellStyle name="40% - Accent1 3 5 2 5" xfId="29030" xr:uid="{F95B8D4A-8BFB-4BFB-8E49-8BBCDF82F9C6}"/>
    <cellStyle name="40% - Accent1 3 5 3" xfId="5798" xr:uid="{00000000-0005-0000-0000-0000930C0000}"/>
    <cellStyle name="40% - Accent1 3 5 3 2" xfId="22668" xr:uid="{00000000-0005-0000-0000-0000940C0000}"/>
    <cellStyle name="40% - Accent1 3 5 3 2 2" xfId="39536" xr:uid="{DD7B7BCB-AB99-46F2-84D9-AC7CFF8175C0}"/>
    <cellStyle name="40% - Accent1 3 5 3 3" xfId="14233" xr:uid="{00000000-0005-0000-0000-0000950C0000}"/>
    <cellStyle name="40% - Accent1 3 5 3 4" xfId="31102" xr:uid="{FEB6A552-325D-43DB-B03A-C8864CEF7B56}"/>
    <cellStyle name="40% - Accent1 3 5 4" xfId="18450" xr:uid="{00000000-0005-0000-0000-0000960C0000}"/>
    <cellStyle name="40% - Accent1 3 5 4 2" xfId="35319" xr:uid="{3F6867FF-7C3C-4EEC-87A2-ABE70ED0D016}"/>
    <cellStyle name="40% - Accent1 3 5 5" xfId="10015" xr:uid="{00000000-0005-0000-0000-0000970C0000}"/>
    <cellStyle name="40% - Accent1 3 5 6" xfId="26885" xr:uid="{0DF31DE9-6F0E-4C9B-A2EF-46723FAD7B72}"/>
    <cellStyle name="40% - Accent1 3 6" xfId="1904" xr:uid="{00000000-0005-0000-0000-0000980C0000}"/>
    <cellStyle name="40% - Accent1 3 6 2" xfId="4133" xr:uid="{00000000-0005-0000-0000-0000990C0000}"/>
    <cellStyle name="40% - Accent1 3 6 2 2" xfId="8356" xr:uid="{00000000-0005-0000-0000-00009A0C0000}"/>
    <cellStyle name="40% - Accent1 3 6 2 2 2" xfId="25226" xr:uid="{00000000-0005-0000-0000-00009B0C0000}"/>
    <cellStyle name="40% - Accent1 3 6 2 2 2 2" xfId="42094" xr:uid="{D2C3D6F4-F8B7-4DB6-80E9-CB51673BF78E}"/>
    <cellStyle name="40% - Accent1 3 6 2 2 3" xfId="16791" xr:uid="{00000000-0005-0000-0000-00009C0C0000}"/>
    <cellStyle name="40% - Accent1 3 6 2 2 4" xfId="33660" xr:uid="{3F4D682D-28CE-4AEA-BA4C-F34503313D5B}"/>
    <cellStyle name="40% - Accent1 3 6 2 3" xfId="21008" xr:uid="{00000000-0005-0000-0000-00009D0C0000}"/>
    <cellStyle name="40% - Accent1 3 6 2 3 2" xfId="37877" xr:uid="{C4E1DF69-FF4C-4918-809D-B0CFAAE5EF18}"/>
    <cellStyle name="40% - Accent1 3 6 2 4" xfId="12573" xr:uid="{00000000-0005-0000-0000-00009E0C0000}"/>
    <cellStyle name="40% - Accent1 3 6 2 5" xfId="29443" xr:uid="{95527ABF-B5D9-4132-B282-4CF1C0B0FAF8}"/>
    <cellStyle name="40% - Accent1 3 6 3" xfId="6211" xr:uid="{00000000-0005-0000-0000-00009F0C0000}"/>
    <cellStyle name="40% - Accent1 3 6 3 2" xfId="23081" xr:uid="{00000000-0005-0000-0000-0000A00C0000}"/>
    <cellStyle name="40% - Accent1 3 6 3 2 2" xfId="39949" xr:uid="{32015AB3-A6CB-4961-94A1-2F0A0658AB75}"/>
    <cellStyle name="40% - Accent1 3 6 3 3" xfId="14646" xr:uid="{00000000-0005-0000-0000-0000A10C0000}"/>
    <cellStyle name="40% - Accent1 3 6 3 4" xfId="31515" xr:uid="{4380D876-941D-4825-800C-F278326F9652}"/>
    <cellStyle name="40% - Accent1 3 6 4" xfId="18863" xr:uid="{00000000-0005-0000-0000-0000A20C0000}"/>
    <cellStyle name="40% - Accent1 3 6 4 2" xfId="35732" xr:uid="{9AADD232-9E22-406C-B4CB-72B71D8ECEDD}"/>
    <cellStyle name="40% - Accent1 3 6 5" xfId="10428" xr:uid="{00000000-0005-0000-0000-0000A30C0000}"/>
    <cellStyle name="40% - Accent1 3 6 6" xfId="27298" xr:uid="{95C06A33-D0E5-4893-9BC8-2A18FC29CA5C}"/>
    <cellStyle name="40% - Accent1 3 7" xfId="2317" xr:uid="{00000000-0005-0000-0000-0000A40C0000}"/>
    <cellStyle name="40% - Accent1 3 7 2" xfId="6624" xr:uid="{00000000-0005-0000-0000-0000A50C0000}"/>
    <cellStyle name="40% - Accent1 3 7 2 2" xfId="23494" xr:uid="{00000000-0005-0000-0000-0000A60C0000}"/>
    <cellStyle name="40% - Accent1 3 7 2 2 2" xfId="40362" xr:uid="{C8FCB4A6-FDEA-4721-804D-2D5747811151}"/>
    <cellStyle name="40% - Accent1 3 7 2 3" xfId="15059" xr:uid="{00000000-0005-0000-0000-0000A70C0000}"/>
    <cellStyle name="40% - Accent1 3 7 2 4" xfId="31928" xr:uid="{B25F783C-B7AC-488A-BA35-D062F1F3544E}"/>
    <cellStyle name="40% - Accent1 3 7 3" xfId="19276" xr:uid="{00000000-0005-0000-0000-0000A80C0000}"/>
    <cellStyle name="40% - Accent1 3 7 3 2" xfId="36145" xr:uid="{D1A6CC81-F5BA-4AD8-8275-104574BE3C47}"/>
    <cellStyle name="40% - Accent1 3 7 4" xfId="10841" xr:uid="{00000000-0005-0000-0000-0000A90C0000}"/>
    <cellStyle name="40% - Accent1 3 7 5" xfId="27711" xr:uid="{135244BD-DFCA-4B83-BDE0-9AD7C889E83C}"/>
    <cellStyle name="40% - Accent1 3 8" xfId="4558" xr:uid="{00000000-0005-0000-0000-0000AA0C0000}"/>
    <cellStyle name="40% - Accent1 3 8 2" xfId="21428" xr:uid="{00000000-0005-0000-0000-0000AB0C0000}"/>
    <cellStyle name="40% - Accent1 3 8 2 2" xfId="38296" xr:uid="{0ECE395A-D642-40AC-927A-60C814E0CEF7}"/>
    <cellStyle name="40% - Accent1 3 8 3" xfId="12993" xr:uid="{00000000-0005-0000-0000-0000AC0C0000}"/>
    <cellStyle name="40% - Accent1 3 8 4" xfId="29862" xr:uid="{FE042497-2C79-486A-89D5-85A4CD11A4AD}"/>
    <cellStyle name="40% - Accent1 3 9" xfId="17210" xr:uid="{00000000-0005-0000-0000-0000AD0C0000}"/>
    <cellStyle name="40% - Accent1 3 9 2" xfId="34079" xr:uid="{2267FFB4-459B-47E5-8DDD-437213A896DE}"/>
    <cellStyle name="40% - Accent1 4" xfId="56" xr:uid="{00000000-0005-0000-0000-0000AE0C0000}"/>
    <cellStyle name="40% - Accent1 4 10" xfId="25647" xr:uid="{32539210-BB09-4E8D-96AC-1F0C6DC10815}"/>
    <cellStyle name="40% - Accent1 4 2" xfId="625" xr:uid="{00000000-0005-0000-0000-0000AF0C0000}"/>
    <cellStyle name="40% - Accent1 4 2 2" xfId="2896" xr:uid="{00000000-0005-0000-0000-0000B00C0000}"/>
    <cellStyle name="40% - Accent1 4 2 2 2" xfId="7119" xr:uid="{00000000-0005-0000-0000-0000B10C0000}"/>
    <cellStyle name="40% - Accent1 4 2 2 2 2" xfId="23989" xr:uid="{00000000-0005-0000-0000-0000B20C0000}"/>
    <cellStyle name="40% - Accent1 4 2 2 2 2 2" xfId="40857" xr:uid="{B048E566-EC69-4E26-81AF-5D58C5940121}"/>
    <cellStyle name="40% - Accent1 4 2 2 2 3" xfId="15554" xr:uid="{00000000-0005-0000-0000-0000B30C0000}"/>
    <cellStyle name="40% - Accent1 4 2 2 2 4" xfId="32423" xr:uid="{06CEB51C-F778-407B-8EDE-EA465160D2FC}"/>
    <cellStyle name="40% - Accent1 4 2 2 3" xfId="19771" xr:uid="{00000000-0005-0000-0000-0000B40C0000}"/>
    <cellStyle name="40% - Accent1 4 2 2 3 2" xfId="36640" xr:uid="{1D21AAFB-3352-498E-84F7-9A2F5E3865C3}"/>
    <cellStyle name="40% - Accent1 4 2 2 4" xfId="11336" xr:uid="{00000000-0005-0000-0000-0000B50C0000}"/>
    <cellStyle name="40% - Accent1 4 2 2 5" xfId="28206" xr:uid="{DACCCED1-B5ED-4AC6-976E-D160975D7551}"/>
    <cellStyle name="40% - Accent1 4 2 3" xfId="4974" xr:uid="{00000000-0005-0000-0000-0000B60C0000}"/>
    <cellStyle name="40% - Accent1 4 2 3 2" xfId="21844" xr:uid="{00000000-0005-0000-0000-0000B70C0000}"/>
    <cellStyle name="40% - Accent1 4 2 3 2 2" xfId="38712" xr:uid="{4CB77A27-36D7-4B8C-AB3B-F8767B7A83AF}"/>
    <cellStyle name="40% - Accent1 4 2 3 3" xfId="13409" xr:uid="{00000000-0005-0000-0000-0000B80C0000}"/>
    <cellStyle name="40% - Accent1 4 2 3 4" xfId="30278" xr:uid="{F8CD71DD-FE14-41CD-BF35-BE428249B49C}"/>
    <cellStyle name="40% - Accent1 4 2 4" xfId="17626" xr:uid="{00000000-0005-0000-0000-0000B90C0000}"/>
    <cellStyle name="40% - Accent1 4 2 4 2" xfId="34495" xr:uid="{8F92D767-CA17-4C15-A1D1-696C3E165136}"/>
    <cellStyle name="40% - Accent1 4 2 5" xfId="9191" xr:uid="{00000000-0005-0000-0000-0000BA0C0000}"/>
    <cellStyle name="40% - Accent1 4 2 6" xfId="26061" xr:uid="{FFE70506-DA34-448A-A6C3-D52B9B22B2C7}"/>
    <cellStyle name="40% - Accent1 4 3" xfId="1078" xr:uid="{00000000-0005-0000-0000-0000BB0C0000}"/>
    <cellStyle name="40% - Accent1 4 3 2" xfId="3309" xr:uid="{00000000-0005-0000-0000-0000BC0C0000}"/>
    <cellStyle name="40% - Accent1 4 3 2 2" xfId="7532" xr:uid="{00000000-0005-0000-0000-0000BD0C0000}"/>
    <cellStyle name="40% - Accent1 4 3 2 2 2" xfId="24402" xr:uid="{00000000-0005-0000-0000-0000BE0C0000}"/>
    <cellStyle name="40% - Accent1 4 3 2 2 2 2" xfId="41270" xr:uid="{45C6C794-2487-441F-8E4E-5D97A0302208}"/>
    <cellStyle name="40% - Accent1 4 3 2 2 3" xfId="15967" xr:uid="{00000000-0005-0000-0000-0000BF0C0000}"/>
    <cellStyle name="40% - Accent1 4 3 2 2 4" xfId="32836" xr:uid="{1BE49251-B154-425A-8900-B549663589AD}"/>
    <cellStyle name="40% - Accent1 4 3 2 3" xfId="20184" xr:uid="{00000000-0005-0000-0000-0000C00C0000}"/>
    <cellStyle name="40% - Accent1 4 3 2 3 2" xfId="37053" xr:uid="{75C77167-DBAD-4C32-8D7B-B5DEAD785410}"/>
    <cellStyle name="40% - Accent1 4 3 2 4" xfId="11749" xr:uid="{00000000-0005-0000-0000-0000C10C0000}"/>
    <cellStyle name="40% - Accent1 4 3 2 5" xfId="28619" xr:uid="{CF1C3D81-9CDC-4EF1-9F53-334E7F97A460}"/>
    <cellStyle name="40% - Accent1 4 3 3" xfId="5387" xr:uid="{00000000-0005-0000-0000-0000C20C0000}"/>
    <cellStyle name="40% - Accent1 4 3 3 2" xfId="22257" xr:uid="{00000000-0005-0000-0000-0000C30C0000}"/>
    <cellStyle name="40% - Accent1 4 3 3 2 2" xfId="39125" xr:uid="{93CC7B23-8219-47E0-8BBD-1CE803C8D510}"/>
    <cellStyle name="40% - Accent1 4 3 3 3" xfId="13822" xr:uid="{00000000-0005-0000-0000-0000C40C0000}"/>
    <cellStyle name="40% - Accent1 4 3 3 4" xfId="30691" xr:uid="{0BB1F4D8-1A15-4D41-A7C6-CD1E0037547D}"/>
    <cellStyle name="40% - Accent1 4 3 4" xfId="18039" xr:uid="{00000000-0005-0000-0000-0000C50C0000}"/>
    <cellStyle name="40% - Accent1 4 3 4 2" xfId="34908" xr:uid="{C31C895E-A3BF-4DC0-91B1-D93A45FE859F}"/>
    <cellStyle name="40% - Accent1 4 3 5" xfId="9604" xr:uid="{00000000-0005-0000-0000-0000C60C0000}"/>
    <cellStyle name="40% - Accent1 4 3 6" xfId="26474" xr:uid="{08E2B960-02E2-4943-BF5E-24758C81F42B}"/>
    <cellStyle name="40% - Accent1 4 4" xfId="1492" xr:uid="{00000000-0005-0000-0000-0000C70C0000}"/>
    <cellStyle name="40% - Accent1 4 4 2" xfId="3722" xr:uid="{00000000-0005-0000-0000-0000C80C0000}"/>
    <cellStyle name="40% - Accent1 4 4 2 2" xfId="7945" xr:uid="{00000000-0005-0000-0000-0000C90C0000}"/>
    <cellStyle name="40% - Accent1 4 4 2 2 2" xfId="24815" xr:uid="{00000000-0005-0000-0000-0000CA0C0000}"/>
    <cellStyle name="40% - Accent1 4 4 2 2 2 2" xfId="41683" xr:uid="{37BB3AEB-0136-42D7-89F6-99954E056F67}"/>
    <cellStyle name="40% - Accent1 4 4 2 2 3" xfId="16380" xr:uid="{00000000-0005-0000-0000-0000CB0C0000}"/>
    <cellStyle name="40% - Accent1 4 4 2 2 4" xfId="33249" xr:uid="{BEC5989E-C80B-4087-9959-43FC2F6AFA2F}"/>
    <cellStyle name="40% - Accent1 4 4 2 3" xfId="20597" xr:uid="{00000000-0005-0000-0000-0000CC0C0000}"/>
    <cellStyle name="40% - Accent1 4 4 2 3 2" xfId="37466" xr:uid="{C63655FD-0D13-43CB-B8BB-870C8566AFE4}"/>
    <cellStyle name="40% - Accent1 4 4 2 4" xfId="12162" xr:uid="{00000000-0005-0000-0000-0000CD0C0000}"/>
    <cellStyle name="40% - Accent1 4 4 2 5" xfId="29032" xr:uid="{001DB430-E8FA-43E5-BE55-BC4F3F5CE29F}"/>
    <cellStyle name="40% - Accent1 4 4 3" xfId="5800" xr:uid="{00000000-0005-0000-0000-0000CE0C0000}"/>
    <cellStyle name="40% - Accent1 4 4 3 2" xfId="22670" xr:uid="{00000000-0005-0000-0000-0000CF0C0000}"/>
    <cellStyle name="40% - Accent1 4 4 3 2 2" xfId="39538" xr:uid="{BD1039C9-94E9-4B13-A497-4661F25F17A7}"/>
    <cellStyle name="40% - Accent1 4 4 3 3" xfId="14235" xr:uid="{00000000-0005-0000-0000-0000D00C0000}"/>
    <cellStyle name="40% - Accent1 4 4 3 4" xfId="31104" xr:uid="{DF59A736-8EEE-4455-9495-86E2C34B904C}"/>
    <cellStyle name="40% - Accent1 4 4 4" xfId="18452" xr:uid="{00000000-0005-0000-0000-0000D10C0000}"/>
    <cellStyle name="40% - Accent1 4 4 4 2" xfId="35321" xr:uid="{2C35A3F7-A58C-4025-869C-29D1E9F69AFF}"/>
    <cellStyle name="40% - Accent1 4 4 5" xfId="10017" xr:uid="{00000000-0005-0000-0000-0000D20C0000}"/>
    <cellStyle name="40% - Accent1 4 4 6" xfId="26887" xr:uid="{A3E1D711-FEB8-4747-A123-0A69D2BD9631}"/>
    <cellStyle name="40% - Accent1 4 5" xfId="1906" xr:uid="{00000000-0005-0000-0000-0000D30C0000}"/>
    <cellStyle name="40% - Accent1 4 5 2" xfId="4135" xr:uid="{00000000-0005-0000-0000-0000D40C0000}"/>
    <cellStyle name="40% - Accent1 4 5 2 2" xfId="8358" xr:uid="{00000000-0005-0000-0000-0000D50C0000}"/>
    <cellStyle name="40% - Accent1 4 5 2 2 2" xfId="25228" xr:uid="{00000000-0005-0000-0000-0000D60C0000}"/>
    <cellStyle name="40% - Accent1 4 5 2 2 2 2" xfId="42096" xr:uid="{10186314-D137-49D5-BFA9-14AE118C5C4B}"/>
    <cellStyle name="40% - Accent1 4 5 2 2 3" xfId="16793" xr:uid="{00000000-0005-0000-0000-0000D70C0000}"/>
    <cellStyle name="40% - Accent1 4 5 2 2 4" xfId="33662" xr:uid="{788DB567-5F71-498E-A707-054A6EF2E817}"/>
    <cellStyle name="40% - Accent1 4 5 2 3" xfId="21010" xr:uid="{00000000-0005-0000-0000-0000D80C0000}"/>
    <cellStyle name="40% - Accent1 4 5 2 3 2" xfId="37879" xr:uid="{9C743784-DFF2-4F52-A645-2D5F6CF48287}"/>
    <cellStyle name="40% - Accent1 4 5 2 4" xfId="12575" xr:uid="{00000000-0005-0000-0000-0000D90C0000}"/>
    <cellStyle name="40% - Accent1 4 5 2 5" xfId="29445" xr:uid="{42F841C4-E1EA-46AA-83A4-43EB407F40B4}"/>
    <cellStyle name="40% - Accent1 4 5 3" xfId="6213" xr:uid="{00000000-0005-0000-0000-0000DA0C0000}"/>
    <cellStyle name="40% - Accent1 4 5 3 2" xfId="23083" xr:uid="{00000000-0005-0000-0000-0000DB0C0000}"/>
    <cellStyle name="40% - Accent1 4 5 3 2 2" xfId="39951" xr:uid="{82C74FA8-E211-43B6-8BA8-76D942667A97}"/>
    <cellStyle name="40% - Accent1 4 5 3 3" xfId="14648" xr:uid="{00000000-0005-0000-0000-0000DC0C0000}"/>
    <cellStyle name="40% - Accent1 4 5 3 4" xfId="31517" xr:uid="{0AC040D2-2AC7-4F21-9476-B3ACC7870BC9}"/>
    <cellStyle name="40% - Accent1 4 5 4" xfId="18865" xr:uid="{00000000-0005-0000-0000-0000DD0C0000}"/>
    <cellStyle name="40% - Accent1 4 5 4 2" xfId="35734" xr:uid="{339FB3E1-5CCC-4152-8971-BE09D1A4E0E9}"/>
    <cellStyle name="40% - Accent1 4 5 5" xfId="10430" xr:uid="{00000000-0005-0000-0000-0000DE0C0000}"/>
    <cellStyle name="40% - Accent1 4 5 6" xfId="27300" xr:uid="{4AD3F37F-2E5B-46DF-960C-97AF344756E9}"/>
    <cellStyle name="40% - Accent1 4 6" xfId="2319" xr:uid="{00000000-0005-0000-0000-0000DF0C0000}"/>
    <cellStyle name="40% - Accent1 4 6 2" xfId="6626" xr:uid="{00000000-0005-0000-0000-0000E00C0000}"/>
    <cellStyle name="40% - Accent1 4 6 2 2" xfId="23496" xr:uid="{00000000-0005-0000-0000-0000E10C0000}"/>
    <cellStyle name="40% - Accent1 4 6 2 2 2" xfId="40364" xr:uid="{4968EBAA-ED2F-42E0-8F14-978A8BD71185}"/>
    <cellStyle name="40% - Accent1 4 6 2 3" xfId="15061" xr:uid="{00000000-0005-0000-0000-0000E20C0000}"/>
    <cellStyle name="40% - Accent1 4 6 2 4" xfId="31930" xr:uid="{F37411C8-F04B-465E-9A22-08A1768D92B2}"/>
    <cellStyle name="40% - Accent1 4 6 3" xfId="19278" xr:uid="{00000000-0005-0000-0000-0000E30C0000}"/>
    <cellStyle name="40% - Accent1 4 6 3 2" xfId="36147" xr:uid="{C0AC5715-FD04-4122-8A20-F59BD90D4FE3}"/>
    <cellStyle name="40% - Accent1 4 6 4" xfId="10843" xr:uid="{00000000-0005-0000-0000-0000E40C0000}"/>
    <cellStyle name="40% - Accent1 4 6 5" xfId="27713" xr:uid="{3E22AD56-2F6C-41A6-A2A0-DC37B1058775}"/>
    <cellStyle name="40% - Accent1 4 7" xfId="4560" xr:uid="{00000000-0005-0000-0000-0000E50C0000}"/>
    <cellStyle name="40% - Accent1 4 7 2" xfId="21430" xr:uid="{00000000-0005-0000-0000-0000E60C0000}"/>
    <cellStyle name="40% - Accent1 4 7 2 2" xfId="38298" xr:uid="{FFB18519-C45A-4455-A1BE-58C0EDB78584}"/>
    <cellStyle name="40% - Accent1 4 7 3" xfId="12995" xr:uid="{00000000-0005-0000-0000-0000E70C0000}"/>
    <cellStyle name="40% - Accent1 4 7 4" xfId="29864" xr:uid="{823FF844-4562-4C48-A8C1-147F8D5A8E2D}"/>
    <cellStyle name="40% - Accent1 4 8" xfId="17212" xr:uid="{00000000-0005-0000-0000-0000E80C0000}"/>
    <cellStyle name="40% - Accent1 4 8 2" xfId="34081" xr:uid="{12AFB603-6656-4944-BB29-F38ED28BEDE4}"/>
    <cellStyle name="40% - Accent1 4 9" xfId="8777" xr:uid="{00000000-0005-0000-0000-0000E90C0000}"/>
    <cellStyle name="40% - Accent1 5" xfId="618" xr:uid="{00000000-0005-0000-0000-0000EA0C0000}"/>
    <cellStyle name="40% - Accent1 5 2" xfId="2889" xr:uid="{00000000-0005-0000-0000-0000EB0C0000}"/>
    <cellStyle name="40% - Accent1 5 2 2" xfId="7112" xr:uid="{00000000-0005-0000-0000-0000EC0C0000}"/>
    <cellStyle name="40% - Accent1 5 2 2 2" xfId="23982" xr:uid="{00000000-0005-0000-0000-0000ED0C0000}"/>
    <cellStyle name="40% - Accent1 5 2 2 2 2" xfId="40850" xr:uid="{81C24DA2-CA0D-4E7F-9CF6-AEE2214A857B}"/>
    <cellStyle name="40% - Accent1 5 2 2 3" xfId="15547" xr:uid="{00000000-0005-0000-0000-0000EE0C0000}"/>
    <cellStyle name="40% - Accent1 5 2 2 4" xfId="32416" xr:uid="{BFD3B167-7D7D-4C8E-B18D-CFE864002065}"/>
    <cellStyle name="40% - Accent1 5 2 3" xfId="19764" xr:uid="{00000000-0005-0000-0000-0000EF0C0000}"/>
    <cellStyle name="40% - Accent1 5 2 3 2" xfId="36633" xr:uid="{2C4C0B55-D096-4088-AAD4-097029840598}"/>
    <cellStyle name="40% - Accent1 5 2 4" xfId="11329" xr:uid="{00000000-0005-0000-0000-0000F00C0000}"/>
    <cellStyle name="40% - Accent1 5 2 5" xfId="28199" xr:uid="{C42E48C3-F96C-4103-BE8C-3107CCEE585D}"/>
    <cellStyle name="40% - Accent1 5 3" xfId="4967" xr:uid="{00000000-0005-0000-0000-0000F10C0000}"/>
    <cellStyle name="40% - Accent1 5 3 2" xfId="21837" xr:uid="{00000000-0005-0000-0000-0000F20C0000}"/>
    <cellStyle name="40% - Accent1 5 3 2 2" xfId="38705" xr:uid="{2DFE60AA-8D1B-4CC4-95D2-E1E85D79140C}"/>
    <cellStyle name="40% - Accent1 5 3 3" xfId="13402" xr:uid="{00000000-0005-0000-0000-0000F30C0000}"/>
    <cellStyle name="40% - Accent1 5 3 4" xfId="30271" xr:uid="{0456B59A-7202-4D3C-BF87-A162E482C5D1}"/>
    <cellStyle name="40% - Accent1 5 4" xfId="17619" xr:uid="{00000000-0005-0000-0000-0000F40C0000}"/>
    <cellStyle name="40% - Accent1 5 4 2" xfId="34488" xr:uid="{EE7FBE74-C635-48AF-BFD3-05CBF7AD623D}"/>
    <cellStyle name="40% - Accent1 5 5" xfId="9184" xr:uid="{00000000-0005-0000-0000-0000F50C0000}"/>
    <cellStyle name="40% - Accent1 5 6" xfId="26054" xr:uid="{16A76284-DAB1-4176-A9F9-5631A48BF5EA}"/>
    <cellStyle name="40% - Accent1 6" xfId="1071" xr:uid="{00000000-0005-0000-0000-0000F60C0000}"/>
    <cellStyle name="40% - Accent1 6 2" xfId="3302" xr:uid="{00000000-0005-0000-0000-0000F70C0000}"/>
    <cellStyle name="40% - Accent1 6 2 2" xfId="7525" xr:uid="{00000000-0005-0000-0000-0000F80C0000}"/>
    <cellStyle name="40% - Accent1 6 2 2 2" xfId="24395" xr:uid="{00000000-0005-0000-0000-0000F90C0000}"/>
    <cellStyle name="40% - Accent1 6 2 2 2 2" xfId="41263" xr:uid="{5169F9F8-5D42-49E0-8AB5-CAECC68A13C5}"/>
    <cellStyle name="40% - Accent1 6 2 2 3" xfId="15960" xr:uid="{00000000-0005-0000-0000-0000FA0C0000}"/>
    <cellStyle name="40% - Accent1 6 2 2 4" xfId="32829" xr:uid="{6D2B4373-D5E1-400A-BBE2-B00F73C08CC2}"/>
    <cellStyle name="40% - Accent1 6 2 3" xfId="20177" xr:uid="{00000000-0005-0000-0000-0000FB0C0000}"/>
    <cellStyle name="40% - Accent1 6 2 3 2" xfId="37046" xr:uid="{D5DC03B6-CE5F-4DEA-97BF-AD325BE0ADEC}"/>
    <cellStyle name="40% - Accent1 6 2 4" xfId="11742" xr:uid="{00000000-0005-0000-0000-0000FC0C0000}"/>
    <cellStyle name="40% - Accent1 6 2 5" xfId="28612" xr:uid="{B7BF4D53-25B4-4DD6-B8A5-01B02AE2292A}"/>
    <cellStyle name="40% - Accent1 6 3" xfId="5380" xr:uid="{00000000-0005-0000-0000-0000FD0C0000}"/>
    <cellStyle name="40% - Accent1 6 3 2" xfId="22250" xr:uid="{00000000-0005-0000-0000-0000FE0C0000}"/>
    <cellStyle name="40% - Accent1 6 3 2 2" xfId="39118" xr:uid="{489970FF-9391-46EC-A794-3D85E0A04695}"/>
    <cellStyle name="40% - Accent1 6 3 3" xfId="13815" xr:uid="{00000000-0005-0000-0000-0000FF0C0000}"/>
    <cellStyle name="40% - Accent1 6 3 4" xfId="30684" xr:uid="{F807B4B2-1FEA-485B-B656-01AA18B3A72B}"/>
    <cellStyle name="40% - Accent1 6 4" xfId="18032" xr:uid="{00000000-0005-0000-0000-0000000D0000}"/>
    <cellStyle name="40% - Accent1 6 4 2" xfId="34901" xr:uid="{D4860B6C-18C5-4B79-80C4-5926DF39B01D}"/>
    <cellStyle name="40% - Accent1 6 5" xfId="9597" xr:uid="{00000000-0005-0000-0000-0000010D0000}"/>
    <cellStyle name="40% - Accent1 6 6" xfId="26467" xr:uid="{52C8DB8C-5635-43C9-9F0C-51D0EFEB53A0}"/>
    <cellStyle name="40% - Accent1 7" xfId="1485" xr:uid="{00000000-0005-0000-0000-0000020D0000}"/>
    <cellStyle name="40% - Accent1 7 2" xfId="3715" xr:uid="{00000000-0005-0000-0000-0000030D0000}"/>
    <cellStyle name="40% - Accent1 7 2 2" xfId="7938" xr:uid="{00000000-0005-0000-0000-0000040D0000}"/>
    <cellStyle name="40% - Accent1 7 2 2 2" xfId="24808" xr:uid="{00000000-0005-0000-0000-0000050D0000}"/>
    <cellStyle name="40% - Accent1 7 2 2 2 2" xfId="41676" xr:uid="{5020D292-282F-4A27-BDA4-2AD27BA0F554}"/>
    <cellStyle name="40% - Accent1 7 2 2 3" xfId="16373" xr:uid="{00000000-0005-0000-0000-0000060D0000}"/>
    <cellStyle name="40% - Accent1 7 2 2 4" xfId="33242" xr:uid="{E5EF11BE-BCE8-4855-BCE8-9D28B4ECD49A}"/>
    <cellStyle name="40% - Accent1 7 2 3" xfId="20590" xr:uid="{00000000-0005-0000-0000-0000070D0000}"/>
    <cellStyle name="40% - Accent1 7 2 3 2" xfId="37459" xr:uid="{F0A2969D-0A55-4CB0-9A43-CE7D86969BA9}"/>
    <cellStyle name="40% - Accent1 7 2 4" xfId="12155" xr:uid="{00000000-0005-0000-0000-0000080D0000}"/>
    <cellStyle name="40% - Accent1 7 2 5" xfId="29025" xr:uid="{C5FE5147-601E-4DD0-AC3D-613B48C03539}"/>
    <cellStyle name="40% - Accent1 7 3" xfId="5793" xr:uid="{00000000-0005-0000-0000-0000090D0000}"/>
    <cellStyle name="40% - Accent1 7 3 2" xfId="22663" xr:uid="{00000000-0005-0000-0000-00000A0D0000}"/>
    <cellStyle name="40% - Accent1 7 3 2 2" xfId="39531" xr:uid="{058313CE-2895-419D-BD81-31CA8E959B26}"/>
    <cellStyle name="40% - Accent1 7 3 3" xfId="14228" xr:uid="{00000000-0005-0000-0000-00000B0D0000}"/>
    <cellStyle name="40% - Accent1 7 3 4" xfId="31097" xr:uid="{A7AD727E-B5D9-4D14-BCA0-E0ED6A13C358}"/>
    <cellStyle name="40% - Accent1 7 4" xfId="18445" xr:uid="{00000000-0005-0000-0000-00000C0D0000}"/>
    <cellStyle name="40% - Accent1 7 4 2" xfId="35314" xr:uid="{CEAC17B5-DF17-47CA-AF2B-5D651BB6FCAF}"/>
    <cellStyle name="40% - Accent1 7 5" xfId="10010" xr:uid="{00000000-0005-0000-0000-00000D0D0000}"/>
    <cellStyle name="40% - Accent1 7 6" xfId="26880" xr:uid="{E9C668FA-1603-47D7-ABBA-740B1AAE9A4D}"/>
    <cellStyle name="40% - Accent1 8" xfId="1899" xr:uid="{00000000-0005-0000-0000-00000E0D0000}"/>
    <cellStyle name="40% - Accent1 8 2" xfId="4128" xr:uid="{00000000-0005-0000-0000-00000F0D0000}"/>
    <cellStyle name="40% - Accent1 8 2 2" xfId="8351" xr:uid="{00000000-0005-0000-0000-0000100D0000}"/>
    <cellStyle name="40% - Accent1 8 2 2 2" xfId="25221" xr:uid="{00000000-0005-0000-0000-0000110D0000}"/>
    <cellStyle name="40% - Accent1 8 2 2 2 2" xfId="42089" xr:uid="{35D97F9C-4234-4DB2-B445-433FF815E71F}"/>
    <cellStyle name="40% - Accent1 8 2 2 3" xfId="16786" xr:uid="{00000000-0005-0000-0000-0000120D0000}"/>
    <cellStyle name="40% - Accent1 8 2 2 4" xfId="33655" xr:uid="{CF2E307D-E879-4921-A13F-7C6D85C36CF9}"/>
    <cellStyle name="40% - Accent1 8 2 3" xfId="21003" xr:uid="{00000000-0005-0000-0000-0000130D0000}"/>
    <cellStyle name="40% - Accent1 8 2 3 2" xfId="37872" xr:uid="{09E321BA-94B7-4A1D-A357-DE6D198D8494}"/>
    <cellStyle name="40% - Accent1 8 2 4" xfId="12568" xr:uid="{00000000-0005-0000-0000-0000140D0000}"/>
    <cellStyle name="40% - Accent1 8 2 5" xfId="29438" xr:uid="{502161C9-739E-4A70-9094-A21B7A770375}"/>
    <cellStyle name="40% - Accent1 8 3" xfId="6206" xr:uid="{00000000-0005-0000-0000-0000150D0000}"/>
    <cellStyle name="40% - Accent1 8 3 2" xfId="23076" xr:uid="{00000000-0005-0000-0000-0000160D0000}"/>
    <cellStyle name="40% - Accent1 8 3 2 2" xfId="39944" xr:uid="{0C8E61BC-8CBF-42A3-B681-E51C72076CF9}"/>
    <cellStyle name="40% - Accent1 8 3 3" xfId="14641" xr:uid="{00000000-0005-0000-0000-0000170D0000}"/>
    <cellStyle name="40% - Accent1 8 3 4" xfId="31510" xr:uid="{691E6117-F250-4059-955E-4DAD7132F054}"/>
    <cellStyle name="40% - Accent1 8 4" xfId="18858" xr:uid="{00000000-0005-0000-0000-0000180D0000}"/>
    <cellStyle name="40% - Accent1 8 4 2" xfId="35727" xr:uid="{FE41C8E9-E9EB-4B58-84D8-33BD0FD62A2A}"/>
    <cellStyle name="40% - Accent1 8 5" xfId="10423" xr:uid="{00000000-0005-0000-0000-0000190D0000}"/>
    <cellStyle name="40% - Accent1 8 6" xfId="27293" xr:uid="{99FE6110-A8FD-4435-B337-F76442B73EF3}"/>
    <cellStyle name="40% - Accent1 9" xfId="2312" xr:uid="{00000000-0005-0000-0000-00001A0D0000}"/>
    <cellStyle name="40% - Accent1 9 2" xfId="6619" xr:uid="{00000000-0005-0000-0000-00001B0D0000}"/>
    <cellStyle name="40% - Accent1 9 2 2" xfId="23489" xr:uid="{00000000-0005-0000-0000-00001C0D0000}"/>
    <cellStyle name="40% - Accent1 9 2 2 2" xfId="40357" xr:uid="{3D12C441-42CF-4E7E-AEFB-6F3F3F4CCE1A}"/>
    <cellStyle name="40% - Accent1 9 2 3" xfId="15054" xr:uid="{00000000-0005-0000-0000-00001D0D0000}"/>
    <cellStyle name="40% - Accent1 9 2 4" xfId="31923" xr:uid="{ABF0D5FF-AA6B-4F02-9996-E7883BC796C8}"/>
    <cellStyle name="40% - Accent1 9 3" xfId="19271" xr:uid="{00000000-0005-0000-0000-00001E0D0000}"/>
    <cellStyle name="40% - Accent1 9 3 2" xfId="36140" xr:uid="{5BF9CEA6-8BF0-4A9F-9CC0-3C3786210F86}"/>
    <cellStyle name="40% - Accent1 9 4" xfId="10836" xr:uid="{00000000-0005-0000-0000-00001F0D0000}"/>
    <cellStyle name="40% - Accent1 9 5" xfId="27706" xr:uid="{292D961E-D6F7-4104-A35D-6B486A819CE4}"/>
    <cellStyle name="40% - Accent2" xfId="57" builtinId="35" customBuiltin="1"/>
    <cellStyle name="40% - Accent2 10" xfId="4561" xr:uid="{00000000-0005-0000-0000-0000210D0000}"/>
    <cellStyle name="40% - Accent2 10 2" xfId="21431" xr:uid="{00000000-0005-0000-0000-0000220D0000}"/>
    <cellStyle name="40% - Accent2 10 2 2" xfId="38299" xr:uid="{8646EEE4-7BD7-44C7-BE39-408BE4B1BCEF}"/>
    <cellStyle name="40% - Accent2 10 3" xfId="12996" xr:uid="{00000000-0005-0000-0000-0000230D0000}"/>
    <cellStyle name="40% - Accent2 10 4" xfId="29865" xr:uid="{28799F6F-21D3-4F1A-9394-4EC06BC518C9}"/>
    <cellStyle name="40% - Accent2 11" xfId="17213" xr:uid="{00000000-0005-0000-0000-0000240D0000}"/>
    <cellStyle name="40% - Accent2 11 2" xfId="34082" xr:uid="{F8F9E478-9DAD-4AA6-A272-7DA2AF33FA3B}"/>
    <cellStyle name="40% - Accent2 12" xfId="8778" xr:uid="{00000000-0005-0000-0000-0000250D0000}"/>
    <cellStyle name="40% - Accent2 13" xfId="25648" xr:uid="{1A195A78-447C-4440-9349-C0C2E30549F5}"/>
    <cellStyle name="40% - Accent2 2" xfId="58" xr:uid="{00000000-0005-0000-0000-0000260D0000}"/>
    <cellStyle name="40% - Accent2 2 10" xfId="17214" xr:uid="{00000000-0005-0000-0000-0000270D0000}"/>
    <cellStyle name="40% - Accent2 2 10 2" xfId="34083" xr:uid="{E7DAA4D3-C97C-4049-A7FF-24DB5EE552EA}"/>
    <cellStyle name="40% - Accent2 2 11" xfId="8779" xr:uid="{00000000-0005-0000-0000-0000280D0000}"/>
    <cellStyle name="40% - Accent2 2 12" xfId="25649" xr:uid="{EB9261B1-9E1E-4E66-AAB1-89DE00F9BDD7}"/>
    <cellStyle name="40% - Accent2 2 2" xfId="59" xr:uid="{00000000-0005-0000-0000-0000290D0000}"/>
    <cellStyle name="40% - Accent2 2 2 10" xfId="8780" xr:uid="{00000000-0005-0000-0000-00002A0D0000}"/>
    <cellStyle name="40% - Accent2 2 2 11" xfId="25650" xr:uid="{781086AE-313A-4F71-BDA3-39A4AABB9173}"/>
    <cellStyle name="40% - Accent2 2 2 2" xfId="60" xr:uid="{00000000-0005-0000-0000-00002B0D0000}"/>
    <cellStyle name="40% - Accent2 2 2 2 10" xfId="25651" xr:uid="{496DCD87-5B4D-4F1B-A97F-9EA61E4C868C}"/>
    <cellStyle name="40% - Accent2 2 2 2 2" xfId="629" xr:uid="{00000000-0005-0000-0000-00002C0D0000}"/>
    <cellStyle name="40% - Accent2 2 2 2 2 2" xfId="2900" xr:uid="{00000000-0005-0000-0000-00002D0D0000}"/>
    <cellStyle name="40% - Accent2 2 2 2 2 2 2" xfId="7123" xr:uid="{00000000-0005-0000-0000-00002E0D0000}"/>
    <cellStyle name="40% - Accent2 2 2 2 2 2 2 2" xfId="23993" xr:uid="{00000000-0005-0000-0000-00002F0D0000}"/>
    <cellStyle name="40% - Accent2 2 2 2 2 2 2 2 2" xfId="40861" xr:uid="{36B25E5E-C550-41E4-9114-DBA234F47ED7}"/>
    <cellStyle name="40% - Accent2 2 2 2 2 2 2 3" xfId="15558" xr:uid="{00000000-0005-0000-0000-0000300D0000}"/>
    <cellStyle name="40% - Accent2 2 2 2 2 2 2 4" xfId="32427" xr:uid="{8ED93E9A-56A1-4701-AE25-FE4D328199A8}"/>
    <cellStyle name="40% - Accent2 2 2 2 2 2 3" xfId="19775" xr:uid="{00000000-0005-0000-0000-0000310D0000}"/>
    <cellStyle name="40% - Accent2 2 2 2 2 2 3 2" xfId="36644" xr:uid="{BD470B13-3D54-4F54-9745-2CAFFBA2D006}"/>
    <cellStyle name="40% - Accent2 2 2 2 2 2 4" xfId="11340" xr:uid="{00000000-0005-0000-0000-0000320D0000}"/>
    <cellStyle name="40% - Accent2 2 2 2 2 2 5" xfId="28210" xr:uid="{F97F789F-0A82-4059-AD68-88175EDFE845}"/>
    <cellStyle name="40% - Accent2 2 2 2 2 3" xfId="4978" xr:uid="{00000000-0005-0000-0000-0000330D0000}"/>
    <cellStyle name="40% - Accent2 2 2 2 2 3 2" xfId="21848" xr:uid="{00000000-0005-0000-0000-0000340D0000}"/>
    <cellStyle name="40% - Accent2 2 2 2 2 3 2 2" xfId="38716" xr:uid="{744532CE-7E1D-40FE-A254-0648B8F7F098}"/>
    <cellStyle name="40% - Accent2 2 2 2 2 3 3" xfId="13413" xr:uid="{00000000-0005-0000-0000-0000350D0000}"/>
    <cellStyle name="40% - Accent2 2 2 2 2 3 4" xfId="30282" xr:uid="{01B24309-8860-428F-8154-583CA138F5EB}"/>
    <cellStyle name="40% - Accent2 2 2 2 2 4" xfId="17630" xr:uid="{00000000-0005-0000-0000-0000360D0000}"/>
    <cellStyle name="40% - Accent2 2 2 2 2 4 2" xfId="34499" xr:uid="{F4437379-209D-497D-944C-6AEA5ED1A24E}"/>
    <cellStyle name="40% - Accent2 2 2 2 2 5" xfId="9195" xr:uid="{00000000-0005-0000-0000-0000370D0000}"/>
    <cellStyle name="40% - Accent2 2 2 2 2 6" xfId="26065" xr:uid="{88C182AE-C44A-4D3A-878B-6B859B3750FD}"/>
    <cellStyle name="40% - Accent2 2 2 2 3" xfId="1082" xr:uid="{00000000-0005-0000-0000-0000380D0000}"/>
    <cellStyle name="40% - Accent2 2 2 2 3 2" xfId="3313" xr:uid="{00000000-0005-0000-0000-0000390D0000}"/>
    <cellStyle name="40% - Accent2 2 2 2 3 2 2" xfId="7536" xr:uid="{00000000-0005-0000-0000-00003A0D0000}"/>
    <cellStyle name="40% - Accent2 2 2 2 3 2 2 2" xfId="24406" xr:uid="{00000000-0005-0000-0000-00003B0D0000}"/>
    <cellStyle name="40% - Accent2 2 2 2 3 2 2 2 2" xfId="41274" xr:uid="{E3D3E81E-FE89-4C0D-ACF4-67A28A290D7F}"/>
    <cellStyle name="40% - Accent2 2 2 2 3 2 2 3" xfId="15971" xr:uid="{00000000-0005-0000-0000-00003C0D0000}"/>
    <cellStyle name="40% - Accent2 2 2 2 3 2 2 4" xfId="32840" xr:uid="{4BDB37CC-4433-4A33-AD73-71C69F4C59CA}"/>
    <cellStyle name="40% - Accent2 2 2 2 3 2 3" xfId="20188" xr:uid="{00000000-0005-0000-0000-00003D0D0000}"/>
    <cellStyle name="40% - Accent2 2 2 2 3 2 3 2" xfId="37057" xr:uid="{A7947D99-22F1-4B4C-BB5E-0760BDC53C14}"/>
    <cellStyle name="40% - Accent2 2 2 2 3 2 4" xfId="11753" xr:uid="{00000000-0005-0000-0000-00003E0D0000}"/>
    <cellStyle name="40% - Accent2 2 2 2 3 2 5" xfId="28623" xr:uid="{F0A989E1-F629-41A8-82B3-0EC12FB6E1E6}"/>
    <cellStyle name="40% - Accent2 2 2 2 3 3" xfId="5391" xr:uid="{00000000-0005-0000-0000-00003F0D0000}"/>
    <cellStyle name="40% - Accent2 2 2 2 3 3 2" xfId="22261" xr:uid="{00000000-0005-0000-0000-0000400D0000}"/>
    <cellStyle name="40% - Accent2 2 2 2 3 3 2 2" xfId="39129" xr:uid="{0A55873A-DA64-4384-BDA9-A37DB47595CA}"/>
    <cellStyle name="40% - Accent2 2 2 2 3 3 3" xfId="13826" xr:uid="{00000000-0005-0000-0000-0000410D0000}"/>
    <cellStyle name="40% - Accent2 2 2 2 3 3 4" xfId="30695" xr:uid="{25D16C1B-8B71-4CCD-95F4-08A0A7F35FE0}"/>
    <cellStyle name="40% - Accent2 2 2 2 3 4" xfId="18043" xr:uid="{00000000-0005-0000-0000-0000420D0000}"/>
    <cellStyle name="40% - Accent2 2 2 2 3 4 2" xfId="34912" xr:uid="{A93466C2-0AFE-496A-8B56-7A6E90005234}"/>
    <cellStyle name="40% - Accent2 2 2 2 3 5" xfId="9608" xr:uid="{00000000-0005-0000-0000-0000430D0000}"/>
    <cellStyle name="40% - Accent2 2 2 2 3 6" xfId="26478" xr:uid="{803DE4C2-0D19-46F8-B9B4-1D735799494B}"/>
    <cellStyle name="40% - Accent2 2 2 2 4" xfId="1496" xr:uid="{00000000-0005-0000-0000-0000440D0000}"/>
    <cellStyle name="40% - Accent2 2 2 2 4 2" xfId="3726" xr:uid="{00000000-0005-0000-0000-0000450D0000}"/>
    <cellStyle name="40% - Accent2 2 2 2 4 2 2" xfId="7949" xr:uid="{00000000-0005-0000-0000-0000460D0000}"/>
    <cellStyle name="40% - Accent2 2 2 2 4 2 2 2" xfId="24819" xr:uid="{00000000-0005-0000-0000-0000470D0000}"/>
    <cellStyle name="40% - Accent2 2 2 2 4 2 2 2 2" xfId="41687" xr:uid="{38EBEFF2-A133-4873-8B2F-A1AE7E7C6816}"/>
    <cellStyle name="40% - Accent2 2 2 2 4 2 2 3" xfId="16384" xr:uid="{00000000-0005-0000-0000-0000480D0000}"/>
    <cellStyle name="40% - Accent2 2 2 2 4 2 2 4" xfId="33253" xr:uid="{D93D7415-8262-42BC-93DA-F7B18E909C3B}"/>
    <cellStyle name="40% - Accent2 2 2 2 4 2 3" xfId="20601" xr:uid="{00000000-0005-0000-0000-0000490D0000}"/>
    <cellStyle name="40% - Accent2 2 2 2 4 2 3 2" xfId="37470" xr:uid="{A9516BEF-2A2B-4744-9C16-413EC6538EAC}"/>
    <cellStyle name="40% - Accent2 2 2 2 4 2 4" xfId="12166" xr:uid="{00000000-0005-0000-0000-00004A0D0000}"/>
    <cellStyle name="40% - Accent2 2 2 2 4 2 5" xfId="29036" xr:uid="{7CC584C8-4B0F-4775-9467-52D14343DC87}"/>
    <cellStyle name="40% - Accent2 2 2 2 4 3" xfId="5804" xr:uid="{00000000-0005-0000-0000-00004B0D0000}"/>
    <cellStyle name="40% - Accent2 2 2 2 4 3 2" xfId="22674" xr:uid="{00000000-0005-0000-0000-00004C0D0000}"/>
    <cellStyle name="40% - Accent2 2 2 2 4 3 2 2" xfId="39542" xr:uid="{2B8AD21B-1A71-4127-9BC3-9D51D949C068}"/>
    <cellStyle name="40% - Accent2 2 2 2 4 3 3" xfId="14239" xr:uid="{00000000-0005-0000-0000-00004D0D0000}"/>
    <cellStyle name="40% - Accent2 2 2 2 4 3 4" xfId="31108" xr:uid="{ED08058A-A212-43A7-98C5-F9D8B026A45B}"/>
    <cellStyle name="40% - Accent2 2 2 2 4 4" xfId="18456" xr:uid="{00000000-0005-0000-0000-00004E0D0000}"/>
    <cellStyle name="40% - Accent2 2 2 2 4 4 2" xfId="35325" xr:uid="{8E063534-32EE-4D8C-8997-BF2E2408F50D}"/>
    <cellStyle name="40% - Accent2 2 2 2 4 5" xfId="10021" xr:uid="{00000000-0005-0000-0000-00004F0D0000}"/>
    <cellStyle name="40% - Accent2 2 2 2 4 6" xfId="26891" xr:uid="{8E226C69-608F-45E1-849B-205822BDFC33}"/>
    <cellStyle name="40% - Accent2 2 2 2 5" xfId="1910" xr:uid="{00000000-0005-0000-0000-0000500D0000}"/>
    <cellStyle name="40% - Accent2 2 2 2 5 2" xfId="4139" xr:uid="{00000000-0005-0000-0000-0000510D0000}"/>
    <cellStyle name="40% - Accent2 2 2 2 5 2 2" xfId="8362" xr:uid="{00000000-0005-0000-0000-0000520D0000}"/>
    <cellStyle name="40% - Accent2 2 2 2 5 2 2 2" xfId="25232" xr:uid="{00000000-0005-0000-0000-0000530D0000}"/>
    <cellStyle name="40% - Accent2 2 2 2 5 2 2 2 2" xfId="42100" xr:uid="{1C7AED93-2EA8-443B-A392-780B872CE1A3}"/>
    <cellStyle name="40% - Accent2 2 2 2 5 2 2 3" xfId="16797" xr:uid="{00000000-0005-0000-0000-0000540D0000}"/>
    <cellStyle name="40% - Accent2 2 2 2 5 2 2 4" xfId="33666" xr:uid="{2E33757D-3E81-49CD-BCE6-71F8E45638AF}"/>
    <cellStyle name="40% - Accent2 2 2 2 5 2 3" xfId="21014" xr:uid="{00000000-0005-0000-0000-0000550D0000}"/>
    <cellStyle name="40% - Accent2 2 2 2 5 2 3 2" xfId="37883" xr:uid="{B7A9ABE3-1D7F-4DCF-A1A8-92070FFA81A9}"/>
    <cellStyle name="40% - Accent2 2 2 2 5 2 4" xfId="12579" xr:uid="{00000000-0005-0000-0000-0000560D0000}"/>
    <cellStyle name="40% - Accent2 2 2 2 5 2 5" xfId="29449" xr:uid="{EDEF1876-7934-4C62-A4A8-65E335A4C6CE}"/>
    <cellStyle name="40% - Accent2 2 2 2 5 3" xfId="6217" xr:uid="{00000000-0005-0000-0000-0000570D0000}"/>
    <cellStyle name="40% - Accent2 2 2 2 5 3 2" xfId="23087" xr:uid="{00000000-0005-0000-0000-0000580D0000}"/>
    <cellStyle name="40% - Accent2 2 2 2 5 3 2 2" xfId="39955" xr:uid="{E8A4C6E1-AB70-4509-BEDB-AE0B2D417C49}"/>
    <cellStyle name="40% - Accent2 2 2 2 5 3 3" xfId="14652" xr:uid="{00000000-0005-0000-0000-0000590D0000}"/>
    <cellStyle name="40% - Accent2 2 2 2 5 3 4" xfId="31521" xr:uid="{7ACA8C0B-2088-44D3-8183-3C5B32E940F8}"/>
    <cellStyle name="40% - Accent2 2 2 2 5 4" xfId="18869" xr:uid="{00000000-0005-0000-0000-00005A0D0000}"/>
    <cellStyle name="40% - Accent2 2 2 2 5 4 2" xfId="35738" xr:uid="{1CEDB99D-9874-4F4F-9B94-E79C66DB8DF0}"/>
    <cellStyle name="40% - Accent2 2 2 2 5 5" xfId="10434" xr:uid="{00000000-0005-0000-0000-00005B0D0000}"/>
    <cellStyle name="40% - Accent2 2 2 2 5 6" xfId="27304" xr:uid="{7B190AAE-893E-438E-9409-C564826BF834}"/>
    <cellStyle name="40% - Accent2 2 2 2 6" xfId="2323" xr:uid="{00000000-0005-0000-0000-00005C0D0000}"/>
    <cellStyle name="40% - Accent2 2 2 2 6 2" xfId="6630" xr:uid="{00000000-0005-0000-0000-00005D0D0000}"/>
    <cellStyle name="40% - Accent2 2 2 2 6 2 2" xfId="23500" xr:uid="{00000000-0005-0000-0000-00005E0D0000}"/>
    <cellStyle name="40% - Accent2 2 2 2 6 2 2 2" xfId="40368" xr:uid="{F8AB2E64-AAD3-47B0-ABE0-A267B8179914}"/>
    <cellStyle name="40% - Accent2 2 2 2 6 2 3" xfId="15065" xr:uid="{00000000-0005-0000-0000-00005F0D0000}"/>
    <cellStyle name="40% - Accent2 2 2 2 6 2 4" xfId="31934" xr:uid="{BA57220D-379B-468D-A06A-1DC03C34F610}"/>
    <cellStyle name="40% - Accent2 2 2 2 6 3" xfId="19282" xr:uid="{00000000-0005-0000-0000-0000600D0000}"/>
    <cellStyle name="40% - Accent2 2 2 2 6 3 2" xfId="36151" xr:uid="{17625218-3649-4A79-966F-3482192062D7}"/>
    <cellStyle name="40% - Accent2 2 2 2 6 4" xfId="10847" xr:uid="{00000000-0005-0000-0000-0000610D0000}"/>
    <cellStyle name="40% - Accent2 2 2 2 6 5" xfId="27717" xr:uid="{61827202-FB9B-4F86-8E81-9A571BFDA4BE}"/>
    <cellStyle name="40% - Accent2 2 2 2 7" xfId="4564" xr:uid="{00000000-0005-0000-0000-0000620D0000}"/>
    <cellStyle name="40% - Accent2 2 2 2 7 2" xfId="21434" xr:uid="{00000000-0005-0000-0000-0000630D0000}"/>
    <cellStyle name="40% - Accent2 2 2 2 7 2 2" xfId="38302" xr:uid="{4596F099-385A-43CA-821A-679C69415C8E}"/>
    <cellStyle name="40% - Accent2 2 2 2 7 3" xfId="12999" xr:uid="{00000000-0005-0000-0000-0000640D0000}"/>
    <cellStyle name="40% - Accent2 2 2 2 7 4" xfId="29868" xr:uid="{17F4B859-B1FD-4ACE-9A36-C6247D305E3B}"/>
    <cellStyle name="40% - Accent2 2 2 2 8" xfId="17216" xr:uid="{00000000-0005-0000-0000-0000650D0000}"/>
    <cellStyle name="40% - Accent2 2 2 2 8 2" xfId="34085" xr:uid="{7953AB05-31D7-41A2-98DE-1D9EED7107AC}"/>
    <cellStyle name="40% - Accent2 2 2 2 9" xfId="8781" xr:uid="{00000000-0005-0000-0000-0000660D0000}"/>
    <cellStyle name="40% - Accent2 2 2 3" xfId="628" xr:uid="{00000000-0005-0000-0000-0000670D0000}"/>
    <cellStyle name="40% - Accent2 2 2 3 2" xfId="2899" xr:uid="{00000000-0005-0000-0000-0000680D0000}"/>
    <cellStyle name="40% - Accent2 2 2 3 2 2" xfId="7122" xr:uid="{00000000-0005-0000-0000-0000690D0000}"/>
    <cellStyle name="40% - Accent2 2 2 3 2 2 2" xfId="23992" xr:uid="{00000000-0005-0000-0000-00006A0D0000}"/>
    <cellStyle name="40% - Accent2 2 2 3 2 2 2 2" xfId="40860" xr:uid="{561DFE46-7D78-4E9D-B67A-7ABFDD20B0AB}"/>
    <cellStyle name="40% - Accent2 2 2 3 2 2 3" xfId="15557" xr:uid="{00000000-0005-0000-0000-00006B0D0000}"/>
    <cellStyle name="40% - Accent2 2 2 3 2 2 4" xfId="32426" xr:uid="{D17A02DE-20D8-4AE7-882C-0118B5EDC86A}"/>
    <cellStyle name="40% - Accent2 2 2 3 2 3" xfId="19774" xr:uid="{00000000-0005-0000-0000-00006C0D0000}"/>
    <cellStyle name="40% - Accent2 2 2 3 2 3 2" xfId="36643" xr:uid="{F3BB8B2D-4516-4CF9-A5AE-EE48DDFBEFF8}"/>
    <cellStyle name="40% - Accent2 2 2 3 2 4" xfId="11339" xr:uid="{00000000-0005-0000-0000-00006D0D0000}"/>
    <cellStyle name="40% - Accent2 2 2 3 2 5" xfId="28209" xr:uid="{8C66C841-EE52-410C-ADAA-E6B34B017C06}"/>
    <cellStyle name="40% - Accent2 2 2 3 3" xfId="4977" xr:uid="{00000000-0005-0000-0000-00006E0D0000}"/>
    <cellStyle name="40% - Accent2 2 2 3 3 2" xfId="21847" xr:uid="{00000000-0005-0000-0000-00006F0D0000}"/>
    <cellStyle name="40% - Accent2 2 2 3 3 2 2" xfId="38715" xr:uid="{C74F91FC-B2EF-41AE-A620-CC0DA2E29B6A}"/>
    <cellStyle name="40% - Accent2 2 2 3 3 3" xfId="13412" xr:uid="{00000000-0005-0000-0000-0000700D0000}"/>
    <cellStyle name="40% - Accent2 2 2 3 3 4" xfId="30281" xr:uid="{630A897D-6803-41AA-834E-95EF6938B950}"/>
    <cellStyle name="40% - Accent2 2 2 3 4" xfId="17629" xr:uid="{00000000-0005-0000-0000-0000710D0000}"/>
    <cellStyle name="40% - Accent2 2 2 3 4 2" xfId="34498" xr:uid="{06F45D8D-DF2A-4219-BE5C-CB1DBCA910D9}"/>
    <cellStyle name="40% - Accent2 2 2 3 5" xfId="9194" xr:uid="{00000000-0005-0000-0000-0000720D0000}"/>
    <cellStyle name="40% - Accent2 2 2 3 6" xfId="26064" xr:uid="{387BF020-8481-4606-8A78-6130C9777CF2}"/>
    <cellStyle name="40% - Accent2 2 2 4" xfId="1081" xr:uid="{00000000-0005-0000-0000-0000730D0000}"/>
    <cellStyle name="40% - Accent2 2 2 4 2" xfId="3312" xr:uid="{00000000-0005-0000-0000-0000740D0000}"/>
    <cellStyle name="40% - Accent2 2 2 4 2 2" xfId="7535" xr:uid="{00000000-0005-0000-0000-0000750D0000}"/>
    <cellStyle name="40% - Accent2 2 2 4 2 2 2" xfId="24405" xr:uid="{00000000-0005-0000-0000-0000760D0000}"/>
    <cellStyle name="40% - Accent2 2 2 4 2 2 2 2" xfId="41273" xr:uid="{1A1B215F-359A-4EFB-B9D2-E95FE7C96F5A}"/>
    <cellStyle name="40% - Accent2 2 2 4 2 2 3" xfId="15970" xr:uid="{00000000-0005-0000-0000-0000770D0000}"/>
    <cellStyle name="40% - Accent2 2 2 4 2 2 4" xfId="32839" xr:uid="{52FB3CF3-1FF7-44E1-9E5B-6961D237B28E}"/>
    <cellStyle name="40% - Accent2 2 2 4 2 3" xfId="20187" xr:uid="{00000000-0005-0000-0000-0000780D0000}"/>
    <cellStyle name="40% - Accent2 2 2 4 2 3 2" xfId="37056" xr:uid="{2D109E79-DF81-4B7A-A2E7-C23EDB56650D}"/>
    <cellStyle name="40% - Accent2 2 2 4 2 4" xfId="11752" xr:uid="{00000000-0005-0000-0000-0000790D0000}"/>
    <cellStyle name="40% - Accent2 2 2 4 2 5" xfId="28622" xr:uid="{177F6A7E-FBBD-4B05-AD03-24C4A65A620F}"/>
    <cellStyle name="40% - Accent2 2 2 4 3" xfId="5390" xr:uid="{00000000-0005-0000-0000-00007A0D0000}"/>
    <cellStyle name="40% - Accent2 2 2 4 3 2" xfId="22260" xr:uid="{00000000-0005-0000-0000-00007B0D0000}"/>
    <cellStyle name="40% - Accent2 2 2 4 3 2 2" xfId="39128" xr:uid="{6279AE6F-4BD6-4FFD-B889-E99E86644A6F}"/>
    <cellStyle name="40% - Accent2 2 2 4 3 3" xfId="13825" xr:uid="{00000000-0005-0000-0000-00007C0D0000}"/>
    <cellStyle name="40% - Accent2 2 2 4 3 4" xfId="30694" xr:uid="{428EEF8E-05F1-4B6D-BBAC-A2F8518AF550}"/>
    <cellStyle name="40% - Accent2 2 2 4 4" xfId="18042" xr:uid="{00000000-0005-0000-0000-00007D0D0000}"/>
    <cellStyle name="40% - Accent2 2 2 4 4 2" xfId="34911" xr:uid="{32E3AEDE-EEC5-404F-9BCA-7A718E0795C2}"/>
    <cellStyle name="40% - Accent2 2 2 4 5" xfId="9607" xr:uid="{00000000-0005-0000-0000-00007E0D0000}"/>
    <cellStyle name="40% - Accent2 2 2 4 6" xfId="26477" xr:uid="{E82448A1-A2FF-42C5-B808-EABA9DD9CFB8}"/>
    <cellStyle name="40% - Accent2 2 2 5" xfId="1495" xr:uid="{00000000-0005-0000-0000-00007F0D0000}"/>
    <cellStyle name="40% - Accent2 2 2 5 2" xfId="3725" xr:uid="{00000000-0005-0000-0000-0000800D0000}"/>
    <cellStyle name="40% - Accent2 2 2 5 2 2" xfId="7948" xr:uid="{00000000-0005-0000-0000-0000810D0000}"/>
    <cellStyle name="40% - Accent2 2 2 5 2 2 2" xfId="24818" xr:uid="{00000000-0005-0000-0000-0000820D0000}"/>
    <cellStyle name="40% - Accent2 2 2 5 2 2 2 2" xfId="41686" xr:uid="{97FC3253-4C09-4B0B-8378-58991854E195}"/>
    <cellStyle name="40% - Accent2 2 2 5 2 2 3" xfId="16383" xr:uid="{00000000-0005-0000-0000-0000830D0000}"/>
    <cellStyle name="40% - Accent2 2 2 5 2 2 4" xfId="33252" xr:uid="{D160507E-C2C7-401D-B645-11B8D59286D1}"/>
    <cellStyle name="40% - Accent2 2 2 5 2 3" xfId="20600" xr:uid="{00000000-0005-0000-0000-0000840D0000}"/>
    <cellStyle name="40% - Accent2 2 2 5 2 3 2" xfId="37469" xr:uid="{2CD0997B-41EB-49FC-ADA3-293B52B3BDAD}"/>
    <cellStyle name="40% - Accent2 2 2 5 2 4" xfId="12165" xr:uid="{00000000-0005-0000-0000-0000850D0000}"/>
    <cellStyle name="40% - Accent2 2 2 5 2 5" xfId="29035" xr:uid="{8BE95D10-24E0-44BF-8D1C-320B056B85BD}"/>
    <cellStyle name="40% - Accent2 2 2 5 3" xfId="5803" xr:uid="{00000000-0005-0000-0000-0000860D0000}"/>
    <cellStyle name="40% - Accent2 2 2 5 3 2" xfId="22673" xr:uid="{00000000-0005-0000-0000-0000870D0000}"/>
    <cellStyle name="40% - Accent2 2 2 5 3 2 2" xfId="39541" xr:uid="{63AE1F2B-61E1-40F8-9CFA-A6DF1B644DA3}"/>
    <cellStyle name="40% - Accent2 2 2 5 3 3" xfId="14238" xr:uid="{00000000-0005-0000-0000-0000880D0000}"/>
    <cellStyle name="40% - Accent2 2 2 5 3 4" xfId="31107" xr:uid="{8EA2C842-C9A3-4E9D-B7A4-6A3A58FAA683}"/>
    <cellStyle name="40% - Accent2 2 2 5 4" xfId="18455" xr:uid="{00000000-0005-0000-0000-0000890D0000}"/>
    <cellStyle name="40% - Accent2 2 2 5 4 2" xfId="35324" xr:uid="{AA7A2EB3-1C1F-47BC-9712-5FB427F7324D}"/>
    <cellStyle name="40% - Accent2 2 2 5 5" xfId="10020" xr:uid="{00000000-0005-0000-0000-00008A0D0000}"/>
    <cellStyle name="40% - Accent2 2 2 5 6" xfId="26890" xr:uid="{F520E36D-AF56-40FA-BCE8-7948C53D9BBA}"/>
    <cellStyle name="40% - Accent2 2 2 6" xfId="1909" xr:uid="{00000000-0005-0000-0000-00008B0D0000}"/>
    <cellStyle name="40% - Accent2 2 2 6 2" xfId="4138" xr:uid="{00000000-0005-0000-0000-00008C0D0000}"/>
    <cellStyle name="40% - Accent2 2 2 6 2 2" xfId="8361" xr:uid="{00000000-0005-0000-0000-00008D0D0000}"/>
    <cellStyle name="40% - Accent2 2 2 6 2 2 2" xfId="25231" xr:uid="{00000000-0005-0000-0000-00008E0D0000}"/>
    <cellStyle name="40% - Accent2 2 2 6 2 2 2 2" xfId="42099" xr:uid="{90971CDC-5485-4B87-BA86-9D3010D7BB6C}"/>
    <cellStyle name="40% - Accent2 2 2 6 2 2 3" xfId="16796" xr:uid="{00000000-0005-0000-0000-00008F0D0000}"/>
    <cellStyle name="40% - Accent2 2 2 6 2 2 4" xfId="33665" xr:uid="{DE6B2714-5A19-4337-BCDE-9AF544834F91}"/>
    <cellStyle name="40% - Accent2 2 2 6 2 3" xfId="21013" xr:uid="{00000000-0005-0000-0000-0000900D0000}"/>
    <cellStyle name="40% - Accent2 2 2 6 2 3 2" xfId="37882" xr:uid="{B53AE435-C172-45B8-95A5-E4711F87981C}"/>
    <cellStyle name="40% - Accent2 2 2 6 2 4" xfId="12578" xr:uid="{00000000-0005-0000-0000-0000910D0000}"/>
    <cellStyle name="40% - Accent2 2 2 6 2 5" xfId="29448" xr:uid="{FB91D3BD-B61A-4798-8EEA-D7F77075D716}"/>
    <cellStyle name="40% - Accent2 2 2 6 3" xfId="6216" xr:uid="{00000000-0005-0000-0000-0000920D0000}"/>
    <cellStyle name="40% - Accent2 2 2 6 3 2" xfId="23086" xr:uid="{00000000-0005-0000-0000-0000930D0000}"/>
    <cellStyle name="40% - Accent2 2 2 6 3 2 2" xfId="39954" xr:uid="{58893044-CBAC-435C-8354-EEA15778BAEC}"/>
    <cellStyle name="40% - Accent2 2 2 6 3 3" xfId="14651" xr:uid="{00000000-0005-0000-0000-0000940D0000}"/>
    <cellStyle name="40% - Accent2 2 2 6 3 4" xfId="31520" xr:uid="{7C3E0868-A11B-4799-952A-55DB01E11043}"/>
    <cellStyle name="40% - Accent2 2 2 6 4" xfId="18868" xr:uid="{00000000-0005-0000-0000-0000950D0000}"/>
    <cellStyle name="40% - Accent2 2 2 6 4 2" xfId="35737" xr:uid="{E2A7E29D-6FAB-44B0-97EA-1DA654B1B1D1}"/>
    <cellStyle name="40% - Accent2 2 2 6 5" xfId="10433" xr:uid="{00000000-0005-0000-0000-0000960D0000}"/>
    <cellStyle name="40% - Accent2 2 2 6 6" xfId="27303" xr:uid="{2DAE7BC3-E678-4398-85D1-C96C7CD0F88E}"/>
    <cellStyle name="40% - Accent2 2 2 7" xfId="2322" xr:uid="{00000000-0005-0000-0000-0000970D0000}"/>
    <cellStyle name="40% - Accent2 2 2 7 2" xfId="6629" xr:uid="{00000000-0005-0000-0000-0000980D0000}"/>
    <cellStyle name="40% - Accent2 2 2 7 2 2" xfId="23499" xr:uid="{00000000-0005-0000-0000-0000990D0000}"/>
    <cellStyle name="40% - Accent2 2 2 7 2 2 2" xfId="40367" xr:uid="{F98801A9-FC0F-4E45-B12F-3949DDD457AA}"/>
    <cellStyle name="40% - Accent2 2 2 7 2 3" xfId="15064" xr:uid="{00000000-0005-0000-0000-00009A0D0000}"/>
    <cellStyle name="40% - Accent2 2 2 7 2 4" xfId="31933" xr:uid="{69D3F82D-A04F-4366-83B3-2F0660F29019}"/>
    <cellStyle name="40% - Accent2 2 2 7 3" xfId="19281" xr:uid="{00000000-0005-0000-0000-00009B0D0000}"/>
    <cellStyle name="40% - Accent2 2 2 7 3 2" xfId="36150" xr:uid="{16E7257E-12DE-4FA5-ADD2-B042A6EA6CF7}"/>
    <cellStyle name="40% - Accent2 2 2 7 4" xfId="10846" xr:uid="{00000000-0005-0000-0000-00009C0D0000}"/>
    <cellStyle name="40% - Accent2 2 2 7 5" xfId="27716" xr:uid="{83738DA7-036F-4890-AC17-A108B5C9BDCD}"/>
    <cellStyle name="40% - Accent2 2 2 8" xfId="4563" xr:uid="{00000000-0005-0000-0000-00009D0D0000}"/>
    <cellStyle name="40% - Accent2 2 2 8 2" xfId="21433" xr:uid="{00000000-0005-0000-0000-00009E0D0000}"/>
    <cellStyle name="40% - Accent2 2 2 8 2 2" xfId="38301" xr:uid="{68924E92-9C80-4013-BDD5-D5FF881F6C3C}"/>
    <cellStyle name="40% - Accent2 2 2 8 3" xfId="12998" xr:uid="{00000000-0005-0000-0000-00009F0D0000}"/>
    <cellStyle name="40% - Accent2 2 2 8 4" xfId="29867" xr:uid="{EAE34541-BA60-4E59-B42C-7A475C31B12E}"/>
    <cellStyle name="40% - Accent2 2 2 9" xfId="17215" xr:uid="{00000000-0005-0000-0000-0000A00D0000}"/>
    <cellStyle name="40% - Accent2 2 2 9 2" xfId="34084" xr:uid="{4772F9A5-A174-4237-9516-0581198E6430}"/>
    <cellStyle name="40% - Accent2 2 3" xfId="61" xr:uid="{00000000-0005-0000-0000-0000A10D0000}"/>
    <cellStyle name="40% - Accent2 2 3 10" xfId="25652" xr:uid="{93B887E1-81AA-4B19-A3EF-C6D8B3A8B5CD}"/>
    <cellStyle name="40% - Accent2 2 3 2" xfId="630" xr:uid="{00000000-0005-0000-0000-0000A20D0000}"/>
    <cellStyle name="40% - Accent2 2 3 2 2" xfId="2901" xr:uid="{00000000-0005-0000-0000-0000A30D0000}"/>
    <cellStyle name="40% - Accent2 2 3 2 2 2" xfId="7124" xr:uid="{00000000-0005-0000-0000-0000A40D0000}"/>
    <cellStyle name="40% - Accent2 2 3 2 2 2 2" xfId="23994" xr:uid="{00000000-0005-0000-0000-0000A50D0000}"/>
    <cellStyle name="40% - Accent2 2 3 2 2 2 2 2" xfId="40862" xr:uid="{DD840A03-177A-4EA8-A139-EE3B548CC515}"/>
    <cellStyle name="40% - Accent2 2 3 2 2 2 3" xfId="15559" xr:uid="{00000000-0005-0000-0000-0000A60D0000}"/>
    <cellStyle name="40% - Accent2 2 3 2 2 2 4" xfId="32428" xr:uid="{9F3168FB-F2EA-4774-8097-FC9BAA6B796F}"/>
    <cellStyle name="40% - Accent2 2 3 2 2 3" xfId="19776" xr:uid="{00000000-0005-0000-0000-0000A70D0000}"/>
    <cellStyle name="40% - Accent2 2 3 2 2 3 2" xfId="36645" xr:uid="{A7DC2733-33D9-435C-ADD3-F0E8B22F1B71}"/>
    <cellStyle name="40% - Accent2 2 3 2 2 4" xfId="11341" xr:uid="{00000000-0005-0000-0000-0000A80D0000}"/>
    <cellStyle name="40% - Accent2 2 3 2 2 5" xfId="28211" xr:uid="{74E7F495-ED13-49B3-8D55-568AE36EB9A3}"/>
    <cellStyle name="40% - Accent2 2 3 2 3" xfId="4979" xr:uid="{00000000-0005-0000-0000-0000A90D0000}"/>
    <cellStyle name="40% - Accent2 2 3 2 3 2" xfId="21849" xr:uid="{00000000-0005-0000-0000-0000AA0D0000}"/>
    <cellStyle name="40% - Accent2 2 3 2 3 2 2" xfId="38717" xr:uid="{D5E9A02A-3B1B-4BE5-9114-10C2266448B3}"/>
    <cellStyle name="40% - Accent2 2 3 2 3 3" xfId="13414" xr:uid="{00000000-0005-0000-0000-0000AB0D0000}"/>
    <cellStyle name="40% - Accent2 2 3 2 3 4" xfId="30283" xr:uid="{FA45F205-044F-42E4-AA2C-817485C48ABB}"/>
    <cellStyle name="40% - Accent2 2 3 2 4" xfId="17631" xr:uid="{00000000-0005-0000-0000-0000AC0D0000}"/>
    <cellStyle name="40% - Accent2 2 3 2 4 2" xfId="34500" xr:uid="{3BB97131-7CF4-4172-AB8F-BDBB514355B3}"/>
    <cellStyle name="40% - Accent2 2 3 2 5" xfId="9196" xr:uid="{00000000-0005-0000-0000-0000AD0D0000}"/>
    <cellStyle name="40% - Accent2 2 3 2 6" xfId="26066" xr:uid="{B9A23FD3-43AC-469A-9699-7FC6AC504F68}"/>
    <cellStyle name="40% - Accent2 2 3 3" xfId="1083" xr:uid="{00000000-0005-0000-0000-0000AE0D0000}"/>
    <cellStyle name="40% - Accent2 2 3 3 2" xfId="3314" xr:uid="{00000000-0005-0000-0000-0000AF0D0000}"/>
    <cellStyle name="40% - Accent2 2 3 3 2 2" xfId="7537" xr:uid="{00000000-0005-0000-0000-0000B00D0000}"/>
    <cellStyle name="40% - Accent2 2 3 3 2 2 2" xfId="24407" xr:uid="{00000000-0005-0000-0000-0000B10D0000}"/>
    <cellStyle name="40% - Accent2 2 3 3 2 2 2 2" xfId="41275" xr:uid="{9C451F91-DB80-4F95-A1AE-4E381322376B}"/>
    <cellStyle name="40% - Accent2 2 3 3 2 2 3" xfId="15972" xr:uid="{00000000-0005-0000-0000-0000B20D0000}"/>
    <cellStyle name="40% - Accent2 2 3 3 2 2 4" xfId="32841" xr:uid="{5B02E645-C99E-4C71-8CFE-950CD64251B8}"/>
    <cellStyle name="40% - Accent2 2 3 3 2 3" xfId="20189" xr:uid="{00000000-0005-0000-0000-0000B30D0000}"/>
    <cellStyle name="40% - Accent2 2 3 3 2 3 2" xfId="37058" xr:uid="{6DB10240-B0D8-4DB3-B1EB-4388C879B0DE}"/>
    <cellStyle name="40% - Accent2 2 3 3 2 4" xfId="11754" xr:uid="{00000000-0005-0000-0000-0000B40D0000}"/>
    <cellStyle name="40% - Accent2 2 3 3 2 5" xfId="28624" xr:uid="{F817666A-E887-4047-921A-B93864D7BFAE}"/>
    <cellStyle name="40% - Accent2 2 3 3 3" xfId="5392" xr:uid="{00000000-0005-0000-0000-0000B50D0000}"/>
    <cellStyle name="40% - Accent2 2 3 3 3 2" xfId="22262" xr:uid="{00000000-0005-0000-0000-0000B60D0000}"/>
    <cellStyle name="40% - Accent2 2 3 3 3 2 2" xfId="39130" xr:uid="{90CF9293-38EC-4D95-B950-A8E5C60AD5A1}"/>
    <cellStyle name="40% - Accent2 2 3 3 3 3" xfId="13827" xr:uid="{00000000-0005-0000-0000-0000B70D0000}"/>
    <cellStyle name="40% - Accent2 2 3 3 3 4" xfId="30696" xr:uid="{14AFA4C4-105E-4053-8A5F-5CF3429A124D}"/>
    <cellStyle name="40% - Accent2 2 3 3 4" xfId="18044" xr:uid="{00000000-0005-0000-0000-0000B80D0000}"/>
    <cellStyle name="40% - Accent2 2 3 3 4 2" xfId="34913" xr:uid="{2403A2D9-90EC-4E4A-84FA-FF54E3B8734A}"/>
    <cellStyle name="40% - Accent2 2 3 3 5" xfId="9609" xr:uid="{00000000-0005-0000-0000-0000B90D0000}"/>
    <cellStyle name="40% - Accent2 2 3 3 6" xfId="26479" xr:uid="{E57AAD08-DD21-4B0A-B309-924F423B3615}"/>
    <cellStyle name="40% - Accent2 2 3 4" xfId="1497" xr:uid="{00000000-0005-0000-0000-0000BA0D0000}"/>
    <cellStyle name="40% - Accent2 2 3 4 2" xfId="3727" xr:uid="{00000000-0005-0000-0000-0000BB0D0000}"/>
    <cellStyle name="40% - Accent2 2 3 4 2 2" xfId="7950" xr:uid="{00000000-0005-0000-0000-0000BC0D0000}"/>
    <cellStyle name="40% - Accent2 2 3 4 2 2 2" xfId="24820" xr:uid="{00000000-0005-0000-0000-0000BD0D0000}"/>
    <cellStyle name="40% - Accent2 2 3 4 2 2 2 2" xfId="41688" xr:uid="{8228E91E-0877-4DF1-84B4-26E714BAE727}"/>
    <cellStyle name="40% - Accent2 2 3 4 2 2 3" xfId="16385" xr:uid="{00000000-0005-0000-0000-0000BE0D0000}"/>
    <cellStyle name="40% - Accent2 2 3 4 2 2 4" xfId="33254" xr:uid="{1B9C222C-3AC6-483D-A1BB-7A04770CA1E7}"/>
    <cellStyle name="40% - Accent2 2 3 4 2 3" xfId="20602" xr:uid="{00000000-0005-0000-0000-0000BF0D0000}"/>
    <cellStyle name="40% - Accent2 2 3 4 2 3 2" xfId="37471" xr:uid="{0ACE8C2E-7B76-4E2D-96D0-7D774826D709}"/>
    <cellStyle name="40% - Accent2 2 3 4 2 4" xfId="12167" xr:uid="{00000000-0005-0000-0000-0000C00D0000}"/>
    <cellStyle name="40% - Accent2 2 3 4 2 5" xfId="29037" xr:uid="{3DEEACE6-DF38-41B6-AB80-AF1214F7E2BB}"/>
    <cellStyle name="40% - Accent2 2 3 4 3" xfId="5805" xr:uid="{00000000-0005-0000-0000-0000C10D0000}"/>
    <cellStyle name="40% - Accent2 2 3 4 3 2" xfId="22675" xr:uid="{00000000-0005-0000-0000-0000C20D0000}"/>
    <cellStyle name="40% - Accent2 2 3 4 3 2 2" xfId="39543" xr:uid="{515A61B9-92D5-4DB7-843C-BB27BAF7DE06}"/>
    <cellStyle name="40% - Accent2 2 3 4 3 3" xfId="14240" xr:uid="{00000000-0005-0000-0000-0000C30D0000}"/>
    <cellStyle name="40% - Accent2 2 3 4 3 4" xfId="31109" xr:uid="{F1880AD4-5C01-4C53-B2F2-AA1A026FCA44}"/>
    <cellStyle name="40% - Accent2 2 3 4 4" xfId="18457" xr:uid="{00000000-0005-0000-0000-0000C40D0000}"/>
    <cellStyle name="40% - Accent2 2 3 4 4 2" xfId="35326" xr:uid="{7FDD3032-C30A-4ADA-858B-248AE5F3993B}"/>
    <cellStyle name="40% - Accent2 2 3 4 5" xfId="10022" xr:uid="{00000000-0005-0000-0000-0000C50D0000}"/>
    <cellStyle name="40% - Accent2 2 3 4 6" xfId="26892" xr:uid="{DA021505-84D0-42EF-90B5-A2ACE6408D85}"/>
    <cellStyle name="40% - Accent2 2 3 5" xfId="1911" xr:uid="{00000000-0005-0000-0000-0000C60D0000}"/>
    <cellStyle name="40% - Accent2 2 3 5 2" xfId="4140" xr:uid="{00000000-0005-0000-0000-0000C70D0000}"/>
    <cellStyle name="40% - Accent2 2 3 5 2 2" xfId="8363" xr:uid="{00000000-0005-0000-0000-0000C80D0000}"/>
    <cellStyle name="40% - Accent2 2 3 5 2 2 2" xfId="25233" xr:uid="{00000000-0005-0000-0000-0000C90D0000}"/>
    <cellStyle name="40% - Accent2 2 3 5 2 2 2 2" xfId="42101" xr:uid="{9A73098D-425C-4214-9C0A-B5A74C4FD9EC}"/>
    <cellStyle name="40% - Accent2 2 3 5 2 2 3" xfId="16798" xr:uid="{00000000-0005-0000-0000-0000CA0D0000}"/>
    <cellStyle name="40% - Accent2 2 3 5 2 2 4" xfId="33667" xr:uid="{08D5170F-C26D-4FB9-BDDA-6F0662A9344C}"/>
    <cellStyle name="40% - Accent2 2 3 5 2 3" xfId="21015" xr:uid="{00000000-0005-0000-0000-0000CB0D0000}"/>
    <cellStyle name="40% - Accent2 2 3 5 2 3 2" xfId="37884" xr:uid="{71E9F7C8-DE0A-4E64-943A-4218FC625457}"/>
    <cellStyle name="40% - Accent2 2 3 5 2 4" xfId="12580" xr:uid="{00000000-0005-0000-0000-0000CC0D0000}"/>
    <cellStyle name="40% - Accent2 2 3 5 2 5" xfId="29450" xr:uid="{F778A5B0-6578-4824-AEBF-14062F07A116}"/>
    <cellStyle name="40% - Accent2 2 3 5 3" xfId="6218" xr:uid="{00000000-0005-0000-0000-0000CD0D0000}"/>
    <cellStyle name="40% - Accent2 2 3 5 3 2" xfId="23088" xr:uid="{00000000-0005-0000-0000-0000CE0D0000}"/>
    <cellStyle name="40% - Accent2 2 3 5 3 2 2" xfId="39956" xr:uid="{D5767FFE-2C12-4869-AC05-1D3A389B3499}"/>
    <cellStyle name="40% - Accent2 2 3 5 3 3" xfId="14653" xr:uid="{00000000-0005-0000-0000-0000CF0D0000}"/>
    <cellStyle name="40% - Accent2 2 3 5 3 4" xfId="31522" xr:uid="{70C1C553-54EA-46BA-9AEE-89E311CDD921}"/>
    <cellStyle name="40% - Accent2 2 3 5 4" xfId="18870" xr:uid="{00000000-0005-0000-0000-0000D00D0000}"/>
    <cellStyle name="40% - Accent2 2 3 5 4 2" xfId="35739" xr:uid="{7D27578E-BC02-41E4-99CB-DCAD5192C512}"/>
    <cellStyle name="40% - Accent2 2 3 5 5" xfId="10435" xr:uid="{00000000-0005-0000-0000-0000D10D0000}"/>
    <cellStyle name="40% - Accent2 2 3 5 6" xfId="27305" xr:uid="{1E4CA8EC-1EFA-4C00-93D3-EF7895803036}"/>
    <cellStyle name="40% - Accent2 2 3 6" xfId="2324" xr:uid="{00000000-0005-0000-0000-0000D20D0000}"/>
    <cellStyle name="40% - Accent2 2 3 6 2" xfId="6631" xr:uid="{00000000-0005-0000-0000-0000D30D0000}"/>
    <cellStyle name="40% - Accent2 2 3 6 2 2" xfId="23501" xr:uid="{00000000-0005-0000-0000-0000D40D0000}"/>
    <cellStyle name="40% - Accent2 2 3 6 2 2 2" xfId="40369" xr:uid="{0FE59D02-71D9-42E3-BCA4-F4ECE3CB7610}"/>
    <cellStyle name="40% - Accent2 2 3 6 2 3" xfId="15066" xr:uid="{00000000-0005-0000-0000-0000D50D0000}"/>
    <cellStyle name="40% - Accent2 2 3 6 2 4" xfId="31935" xr:uid="{1EE4E8B9-BB10-451A-B6B5-E94A23862E36}"/>
    <cellStyle name="40% - Accent2 2 3 6 3" xfId="19283" xr:uid="{00000000-0005-0000-0000-0000D60D0000}"/>
    <cellStyle name="40% - Accent2 2 3 6 3 2" xfId="36152" xr:uid="{26C54DC3-038D-4F48-A0CF-100AC4FDF46A}"/>
    <cellStyle name="40% - Accent2 2 3 6 4" xfId="10848" xr:uid="{00000000-0005-0000-0000-0000D70D0000}"/>
    <cellStyle name="40% - Accent2 2 3 6 5" xfId="27718" xr:uid="{D82429B2-2525-4FD3-9B00-ADCD7D274CA2}"/>
    <cellStyle name="40% - Accent2 2 3 7" xfId="4565" xr:uid="{00000000-0005-0000-0000-0000D80D0000}"/>
    <cellStyle name="40% - Accent2 2 3 7 2" xfId="21435" xr:uid="{00000000-0005-0000-0000-0000D90D0000}"/>
    <cellStyle name="40% - Accent2 2 3 7 2 2" xfId="38303" xr:uid="{3E68FA8E-73C7-4FE6-B8AB-CEBB809D0FDE}"/>
    <cellStyle name="40% - Accent2 2 3 7 3" xfId="13000" xr:uid="{00000000-0005-0000-0000-0000DA0D0000}"/>
    <cellStyle name="40% - Accent2 2 3 7 4" xfId="29869" xr:uid="{16104F96-CDB1-42B4-9766-746CBE67C4B3}"/>
    <cellStyle name="40% - Accent2 2 3 8" xfId="17217" xr:uid="{00000000-0005-0000-0000-0000DB0D0000}"/>
    <cellStyle name="40% - Accent2 2 3 8 2" xfId="34086" xr:uid="{A882199B-E7D6-468C-BA77-B1A259407929}"/>
    <cellStyle name="40% - Accent2 2 3 9" xfId="8782" xr:uid="{00000000-0005-0000-0000-0000DC0D0000}"/>
    <cellStyle name="40% - Accent2 2 4" xfId="627" xr:uid="{00000000-0005-0000-0000-0000DD0D0000}"/>
    <cellStyle name="40% - Accent2 2 4 2" xfId="2898" xr:uid="{00000000-0005-0000-0000-0000DE0D0000}"/>
    <cellStyle name="40% - Accent2 2 4 2 2" xfId="7121" xr:uid="{00000000-0005-0000-0000-0000DF0D0000}"/>
    <cellStyle name="40% - Accent2 2 4 2 2 2" xfId="23991" xr:uid="{00000000-0005-0000-0000-0000E00D0000}"/>
    <cellStyle name="40% - Accent2 2 4 2 2 2 2" xfId="40859" xr:uid="{E8212736-81C7-4997-8E6E-87647DB97DD4}"/>
    <cellStyle name="40% - Accent2 2 4 2 2 3" xfId="15556" xr:uid="{00000000-0005-0000-0000-0000E10D0000}"/>
    <cellStyle name="40% - Accent2 2 4 2 2 4" xfId="32425" xr:uid="{3F16099B-D5D6-49DD-A9C0-7B2CDF406BD2}"/>
    <cellStyle name="40% - Accent2 2 4 2 3" xfId="19773" xr:uid="{00000000-0005-0000-0000-0000E20D0000}"/>
    <cellStyle name="40% - Accent2 2 4 2 3 2" xfId="36642" xr:uid="{DEF9D80A-70F9-47D9-985D-34CFEB5A7ACA}"/>
    <cellStyle name="40% - Accent2 2 4 2 4" xfId="11338" xr:uid="{00000000-0005-0000-0000-0000E30D0000}"/>
    <cellStyle name="40% - Accent2 2 4 2 5" xfId="28208" xr:uid="{869C358B-4ACC-4950-AC39-363189DD0B38}"/>
    <cellStyle name="40% - Accent2 2 4 3" xfId="4976" xr:uid="{00000000-0005-0000-0000-0000E40D0000}"/>
    <cellStyle name="40% - Accent2 2 4 3 2" xfId="21846" xr:uid="{00000000-0005-0000-0000-0000E50D0000}"/>
    <cellStyle name="40% - Accent2 2 4 3 2 2" xfId="38714" xr:uid="{3C589CA6-3F5A-4268-8420-0FF248FECCDE}"/>
    <cellStyle name="40% - Accent2 2 4 3 3" xfId="13411" xr:uid="{00000000-0005-0000-0000-0000E60D0000}"/>
    <cellStyle name="40% - Accent2 2 4 3 4" xfId="30280" xr:uid="{ECC28CE6-B02E-40E2-AB3F-1C272DAEB784}"/>
    <cellStyle name="40% - Accent2 2 4 4" xfId="17628" xr:uid="{00000000-0005-0000-0000-0000E70D0000}"/>
    <cellStyle name="40% - Accent2 2 4 4 2" xfId="34497" xr:uid="{BE8BBCFE-EE36-45EF-9402-36F1607297D2}"/>
    <cellStyle name="40% - Accent2 2 4 5" xfId="9193" xr:uid="{00000000-0005-0000-0000-0000E80D0000}"/>
    <cellStyle name="40% - Accent2 2 4 6" xfId="26063" xr:uid="{F93CD7E3-31DB-49BE-A627-610BF59B8445}"/>
    <cellStyle name="40% - Accent2 2 5" xfId="1080" xr:uid="{00000000-0005-0000-0000-0000E90D0000}"/>
    <cellStyle name="40% - Accent2 2 5 2" xfId="3311" xr:uid="{00000000-0005-0000-0000-0000EA0D0000}"/>
    <cellStyle name="40% - Accent2 2 5 2 2" xfId="7534" xr:uid="{00000000-0005-0000-0000-0000EB0D0000}"/>
    <cellStyle name="40% - Accent2 2 5 2 2 2" xfId="24404" xr:uid="{00000000-0005-0000-0000-0000EC0D0000}"/>
    <cellStyle name="40% - Accent2 2 5 2 2 2 2" xfId="41272" xr:uid="{97B435DD-EEFE-4CFF-B587-057A72F7826F}"/>
    <cellStyle name="40% - Accent2 2 5 2 2 3" xfId="15969" xr:uid="{00000000-0005-0000-0000-0000ED0D0000}"/>
    <cellStyle name="40% - Accent2 2 5 2 2 4" xfId="32838" xr:uid="{92939896-F519-453C-BB86-A68DA5B16973}"/>
    <cellStyle name="40% - Accent2 2 5 2 3" xfId="20186" xr:uid="{00000000-0005-0000-0000-0000EE0D0000}"/>
    <cellStyle name="40% - Accent2 2 5 2 3 2" xfId="37055" xr:uid="{DEE40EDA-6F36-4D98-AE2D-B7BE93EDA7EA}"/>
    <cellStyle name="40% - Accent2 2 5 2 4" xfId="11751" xr:uid="{00000000-0005-0000-0000-0000EF0D0000}"/>
    <cellStyle name="40% - Accent2 2 5 2 5" xfId="28621" xr:uid="{3BE61947-4D06-4215-ADF9-C37C649F0CE0}"/>
    <cellStyle name="40% - Accent2 2 5 3" xfId="5389" xr:uid="{00000000-0005-0000-0000-0000F00D0000}"/>
    <cellStyle name="40% - Accent2 2 5 3 2" xfId="22259" xr:uid="{00000000-0005-0000-0000-0000F10D0000}"/>
    <cellStyle name="40% - Accent2 2 5 3 2 2" xfId="39127" xr:uid="{8F2E6E37-475E-430B-AF88-614739CD2095}"/>
    <cellStyle name="40% - Accent2 2 5 3 3" xfId="13824" xr:uid="{00000000-0005-0000-0000-0000F20D0000}"/>
    <cellStyle name="40% - Accent2 2 5 3 4" xfId="30693" xr:uid="{06FFB204-B35C-4ADD-B061-8956BC6CB0BE}"/>
    <cellStyle name="40% - Accent2 2 5 4" xfId="18041" xr:uid="{00000000-0005-0000-0000-0000F30D0000}"/>
    <cellStyle name="40% - Accent2 2 5 4 2" xfId="34910" xr:uid="{52C4ACE0-0971-42D7-ABCB-3DF7834E1543}"/>
    <cellStyle name="40% - Accent2 2 5 5" xfId="9606" xr:uid="{00000000-0005-0000-0000-0000F40D0000}"/>
    <cellStyle name="40% - Accent2 2 5 6" xfId="26476" xr:uid="{2A84BC0C-AE7F-4290-A9A9-D2BB6A00D9EC}"/>
    <cellStyle name="40% - Accent2 2 6" xfId="1494" xr:uid="{00000000-0005-0000-0000-0000F50D0000}"/>
    <cellStyle name="40% - Accent2 2 6 2" xfId="3724" xr:uid="{00000000-0005-0000-0000-0000F60D0000}"/>
    <cellStyle name="40% - Accent2 2 6 2 2" xfId="7947" xr:uid="{00000000-0005-0000-0000-0000F70D0000}"/>
    <cellStyle name="40% - Accent2 2 6 2 2 2" xfId="24817" xr:uid="{00000000-0005-0000-0000-0000F80D0000}"/>
    <cellStyle name="40% - Accent2 2 6 2 2 2 2" xfId="41685" xr:uid="{998E65BA-B51F-4355-85C0-4CD212338C88}"/>
    <cellStyle name="40% - Accent2 2 6 2 2 3" xfId="16382" xr:uid="{00000000-0005-0000-0000-0000F90D0000}"/>
    <cellStyle name="40% - Accent2 2 6 2 2 4" xfId="33251" xr:uid="{7F494F07-D84D-4FF1-90F5-DFF9D70FA173}"/>
    <cellStyle name="40% - Accent2 2 6 2 3" xfId="20599" xr:uid="{00000000-0005-0000-0000-0000FA0D0000}"/>
    <cellStyle name="40% - Accent2 2 6 2 3 2" xfId="37468" xr:uid="{210D8CA6-6FB2-419E-8B7C-ADBA1759F0E9}"/>
    <cellStyle name="40% - Accent2 2 6 2 4" xfId="12164" xr:uid="{00000000-0005-0000-0000-0000FB0D0000}"/>
    <cellStyle name="40% - Accent2 2 6 2 5" xfId="29034" xr:uid="{27047141-3D29-4DCC-B9AF-12163F12428E}"/>
    <cellStyle name="40% - Accent2 2 6 3" xfId="5802" xr:uid="{00000000-0005-0000-0000-0000FC0D0000}"/>
    <cellStyle name="40% - Accent2 2 6 3 2" xfId="22672" xr:uid="{00000000-0005-0000-0000-0000FD0D0000}"/>
    <cellStyle name="40% - Accent2 2 6 3 2 2" xfId="39540" xr:uid="{E3D3AE8B-852F-483B-8326-46DF9F320891}"/>
    <cellStyle name="40% - Accent2 2 6 3 3" xfId="14237" xr:uid="{00000000-0005-0000-0000-0000FE0D0000}"/>
    <cellStyle name="40% - Accent2 2 6 3 4" xfId="31106" xr:uid="{CFE5A057-B6F3-49B8-8B28-1A13197A6FE9}"/>
    <cellStyle name="40% - Accent2 2 6 4" xfId="18454" xr:uid="{00000000-0005-0000-0000-0000FF0D0000}"/>
    <cellStyle name="40% - Accent2 2 6 4 2" xfId="35323" xr:uid="{06CB14F5-6D07-4D44-93BA-840309C3666D}"/>
    <cellStyle name="40% - Accent2 2 6 5" xfId="10019" xr:uid="{00000000-0005-0000-0000-0000000E0000}"/>
    <cellStyle name="40% - Accent2 2 6 6" xfId="26889" xr:uid="{5B48564F-DE92-4F72-B5DB-CB8F5A2D02A7}"/>
    <cellStyle name="40% - Accent2 2 7" xfId="1908" xr:uid="{00000000-0005-0000-0000-0000010E0000}"/>
    <cellStyle name="40% - Accent2 2 7 2" xfId="4137" xr:uid="{00000000-0005-0000-0000-0000020E0000}"/>
    <cellStyle name="40% - Accent2 2 7 2 2" xfId="8360" xr:uid="{00000000-0005-0000-0000-0000030E0000}"/>
    <cellStyle name="40% - Accent2 2 7 2 2 2" xfId="25230" xr:uid="{00000000-0005-0000-0000-0000040E0000}"/>
    <cellStyle name="40% - Accent2 2 7 2 2 2 2" xfId="42098" xr:uid="{0CB9E506-757C-435C-B7C3-1D383304A5F0}"/>
    <cellStyle name="40% - Accent2 2 7 2 2 3" xfId="16795" xr:uid="{00000000-0005-0000-0000-0000050E0000}"/>
    <cellStyle name="40% - Accent2 2 7 2 2 4" xfId="33664" xr:uid="{FAF6513F-8C02-47FE-A9FD-F02D909BBAA6}"/>
    <cellStyle name="40% - Accent2 2 7 2 3" xfId="21012" xr:uid="{00000000-0005-0000-0000-0000060E0000}"/>
    <cellStyle name="40% - Accent2 2 7 2 3 2" xfId="37881" xr:uid="{CF645DA3-0225-4F9A-B9E5-3F43683FF827}"/>
    <cellStyle name="40% - Accent2 2 7 2 4" xfId="12577" xr:uid="{00000000-0005-0000-0000-0000070E0000}"/>
    <cellStyle name="40% - Accent2 2 7 2 5" xfId="29447" xr:uid="{E5FDC0E7-0D23-46C3-A990-B54BF64E2E87}"/>
    <cellStyle name="40% - Accent2 2 7 3" xfId="6215" xr:uid="{00000000-0005-0000-0000-0000080E0000}"/>
    <cellStyle name="40% - Accent2 2 7 3 2" xfId="23085" xr:uid="{00000000-0005-0000-0000-0000090E0000}"/>
    <cellStyle name="40% - Accent2 2 7 3 2 2" xfId="39953" xr:uid="{1E8D7CBB-4A57-4C77-85AD-1454C8C7CB5C}"/>
    <cellStyle name="40% - Accent2 2 7 3 3" xfId="14650" xr:uid="{00000000-0005-0000-0000-00000A0E0000}"/>
    <cellStyle name="40% - Accent2 2 7 3 4" xfId="31519" xr:uid="{68FA75FF-57B4-47DC-A543-1D61537CF20A}"/>
    <cellStyle name="40% - Accent2 2 7 4" xfId="18867" xr:uid="{00000000-0005-0000-0000-00000B0E0000}"/>
    <cellStyle name="40% - Accent2 2 7 4 2" xfId="35736" xr:uid="{99DA3DA9-87F7-4D77-A408-A0FA3D93D968}"/>
    <cellStyle name="40% - Accent2 2 7 5" xfId="10432" xr:uid="{00000000-0005-0000-0000-00000C0E0000}"/>
    <cellStyle name="40% - Accent2 2 7 6" xfId="27302" xr:uid="{89E748BC-6B65-43D1-82C3-8F6A6439BF18}"/>
    <cellStyle name="40% - Accent2 2 8" xfId="2321" xr:uid="{00000000-0005-0000-0000-00000D0E0000}"/>
    <cellStyle name="40% - Accent2 2 8 2" xfId="6628" xr:uid="{00000000-0005-0000-0000-00000E0E0000}"/>
    <cellStyle name="40% - Accent2 2 8 2 2" xfId="23498" xr:uid="{00000000-0005-0000-0000-00000F0E0000}"/>
    <cellStyle name="40% - Accent2 2 8 2 2 2" xfId="40366" xr:uid="{9A18BBFF-4139-4398-8473-7171FFA8B069}"/>
    <cellStyle name="40% - Accent2 2 8 2 3" xfId="15063" xr:uid="{00000000-0005-0000-0000-0000100E0000}"/>
    <cellStyle name="40% - Accent2 2 8 2 4" xfId="31932" xr:uid="{83B0C45F-34BD-4C89-8D0D-F852D97A8874}"/>
    <cellStyle name="40% - Accent2 2 8 3" xfId="19280" xr:uid="{00000000-0005-0000-0000-0000110E0000}"/>
    <cellStyle name="40% - Accent2 2 8 3 2" xfId="36149" xr:uid="{70346B1D-E678-4FC2-9DBB-2CBC6781DA12}"/>
    <cellStyle name="40% - Accent2 2 8 4" xfId="10845" xr:uid="{00000000-0005-0000-0000-0000120E0000}"/>
    <cellStyle name="40% - Accent2 2 8 5" xfId="27715" xr:uid="{D3DFE78A-D203-419D-963A-7F89B8C67378}"/>
    <cellStyle name="40% - Accent2 2 9" xfId="4562" xr:uid="{00000000-0005-0000-0000-0000130E0000}"/>
    <cellStyle name="40% - Accent2 2 9 2" xfId="21432" xr:uid="{00000000-0005-0000-0000-0000140E0000}"/>
    <cellStyle name="40% - Accent2 2 9 2 2" xfId="38300" xr:uid="{59C741D1-5BD4-452F-974D-261F238496D3}"/>
    <cellStyle name="40% - Accent2 2 9 3" xfId="12997" xr:uid="{00000000-0005-0000-0000-0000150E0000}"/>
    <cellStyle name="40% - Accent2 2 9 4" xfId="29866" xr:uid="{6A47AE88-3CC5-4F9C-A8EA-BC7267832DDE}"/>
    <cellStyle name="40% - Accent2 3" xfId="62" xr:uid="{00000000-0005-0000-0000-0000160E0000}"/>
    <cellStyle name="40% - Accent2 3 10" xfId="8783" xr:uid="{00000000-0005-0000-0000-0000170E0000}"/>
    <cellStyle name="40% - Accent2 3 11" xfId="25653" xr:uid="{3CFC65B2-E41C-4C68-B2E3-E606FC1A0233}"/>
    <cellStyle name="40% - Accent2 3 2" xfId="63" xr:uid="{00000000-0005-0000-0000-0000180E0000}"/>
    <cellStyle name="40% - Accent2 3 2 10" xfId="25654" xr:uid="{E590C051-D24A-4F3F-823A-46F7D9B77D58}"/>
    <cellStyle name="40% - Accent2 3 2 2" xfId="632" xr:uid="{00000000-0005-0000-0000-0000190E0000}"/>
    <cellStyle name="40% - Accent2 3 2 2 2" xfId="2903" xr:uid="{00000000-0005-0000-0000-00001A0E0000}"/>
    <cellStyle name="40% - Accent2 3 2 2 2 2" xfId="7126" xr:uid="{00000000-0005-0000-0000-00001B0E0000}"/>
    <cellStyle name="40% - Accent2 3 2 2 2 2 2" xfId="23996" xr:uid="{00000000-0005-0000-0000-00001C0E0000}"/>
    <cellStyle name="40% - Accent2 3 2 2 2 2 2 2" xfId="40864" xr:uid="{CB5BF743-12B2-4C8B-97C1-7D52F248077C}"/>
    <cellStyle name="40% - Accent2 3 2 2 2 2 3" xfId="15561" xr:uid="{00000000-0005-0000-0000-00001D0E0000}"/>
    <cellStyle name="40% - Accent2 3 2 2 2 2 4" xfId="32430" xr:uid="{2E34369A-265D-4B15-8119-BC252BBB211C}"/>
    <cellStyle name="40% - Accent2 3 2 2 2 3" xfId="19778" xr:uid="{00000000-0005-0000-0000-00001E0E0000}"/>
    <cellStyle name="40% - Accent2 3 2 2 2 3 2" xfId="36647" xr:uid="{613706DB-3B3D-4E3B-9893-967B659F6B4C}"/>
    <cellStyle name="40% - Accent2 3 2 2 2 4" xfId="11343" xr:uid="{00000000-0005-0000-0000-00001F0E0000}"/>
    <cellStyle name="40% - Accent2 3 2 2 2 5" xfId="28213" xr:uid="{F8990EC8-A90D-43F6-BBFF-89705057594C}"/>
    <cellStyle name="40% - Accent2 3 2 2 3" xfId="4981" xr:uid="{00000000-0005-0000-0000-0000200E0000}"/>
    <cellStyle name="40% - Accent2 3 2 2 3 2" xfId="21851" xr:uid="{00000000-0005-0000-0000-0000210E0000}"/>
    <cellStyle name="40% - Accent2 3 2 2 3 2 2" xfId="38719" xr:uid="{B9BC761B-787D-4975-BF7B-66252ED3ADF8}"/>
    <cellStyle name="40% - Accent2 3 2 2 3 3" xfId="13416" xr:uid="{00000000-0005-0000-0000-0000220E0000}"/>
    <cellStyle name="40% - Accent2 3 2 2 3 4" xfId="30285" xr:uid="{6F1AEFD0-4DD3-44E0-A686-03C320CE0605}"/>
    <cellStyle name="40% - Accent2 3 2 2 4" xfId="17633" xr:uid="{00000000-0005-0000-0000-0000230E0000}"/>
    <cellStyle name="40% - Accent2 3 2 2 4 2" xfId="34502" xr:uid="{2218F6BB-D8B6-40AA-8F49-0C20DFECF5E7}"/>
    <cellStyle name="40% - Accent2 3 2 2 5" xfId="9198" xr:uid="{00000000-0005-0000-0000-0000240E0000}"/>
    <cellStyle name="40% - Accent2 3 2 2 6" xfId="26068" xr:uid="{C93A4117-022A-4263-B639-E4CA3892558E}"/>
    <cellStyle name="40% - Accent2 3 2 3" xfId="1085" xr:uid="{00000000-0005-0000-0000-0000250E0000}"/>
    <cellStyle name="40% - Accent2 3 2 3 2" xfId="3316" xr:uid="{00000000-0005-0000-0000-0000260E0000}"/>
    <cellStyle name="40% - Accent2 3 2 3 2 2" xfId="7539" xr:uid="{00000000-0005-0000-0000-0000270E0000}"/>
    <cellStyle name="40% - Accent2 3 2 3 2 2 2" xfId="24409" xr:uid="{00000000-0005-0000-0000-0000280E0000}"/>
    <cellStyle name="40% - Accent2 3 2 3 2 2 2 2" xfId="41277" xr:uid="{E8A7874B-8CE8-4BC9-85D3-BB39BE15BD02}"/>
    <cellStyle name="40% - Accent2 3 2 3 2 2 3" xfId="15974" xr:uid="{00000000-0005-0000-0000-0000290E0000}"/>
    <cellStyle name="40% - Accent2 3 2 3 2 2 4" xfId="32843" xr:uid="{8B604001-AD6E-4F14-A2DE-09A2B6737F83}"/>
    <cellStyle name="40% - Accent2 3 2 3 2 3" xfId="20191" xr:uid="{00000000-0005-0000-0000-00002A0E0000}"/>
    <cellStyle name="40% - Accent2 3 2 3 2 3 2" xfId="37060" xr:uid="{AB4C175F-BDA5-4653-AC57-97F64A281E49}"/>
    <cellStyle name="40% - Accent2 3 2 3 2 4" xfId="11756" xr:uid="{00000000-0005-0000-0000-00002B0E0000}"/>
    <cellStyle name="40% - Accent2 3 2 3 2 5" xfId="28626" xr:uid="{9DCE9521-ECF6-4B9D-A326-B51E2C525F12}"/>
    <cellStyle name="40% - Accent2 3 2 3 3" xfId="5394" xr:uid="{00000000-0005-0000-0000-00002C0E0000}"/>
    <cellStyle name="40% - Accent2 3 2 3 3 2" xfId="22264" xr:uid="{00000000-0005-0000-0000-00002D0E0000}"/>
    <cellStyle name="40% - Accent2 3 2 3 3 2 2" xfId="39132" xr:uid="{BA3C7AA0-BACD-4D4A-AC92-EED069922C2A}"/>
    <cellStyle name="40% - Accent2 3 2 3 3 3" xfId="13829" xr:uid="{00000000-0005-0000-0000-00002E0E0000}"/>
    <cellStyle name="40% - Accent2 3 2 3 3 4" xfId="30698" xr:uid="{2CF219F4-1770-40B6-BC7E-B9907ABF37CB}"/>
    <cellStyle name="40% - Accent2 3 2 3 4" xfId="18046" xr:uid="{00000000-0005-0000-0000-00002F0E0000}"/>
    <cellStyle name="40% - Accent2 3 2 3 4 2" xfId="34915" xr:uid="{68CB74E0-717A-40A6-B1CA-098BFB2E78CE}"/>
    <cellStyle name="40% - Accent2 3 2 3 5" xfId="9611" xr:uid="{00000000-0005-0000-0000-0000300E0000}"/>
    <cellStyle name="40% - Accent2 3 2 3 6" xfId="26481" xr:uid="{0F7DDF50-51DC-418B-A857-7BA9A069A07C}"/>
    <cellStyle name="40% - Accent2 3 2 4" xfId="1499" xr:uid="{00000000-0005-0000-0000-0000310E0000}"/>
    <cellStyle name="40% - Accent2 3 2 4 2" xfId="3729" xr:uid="{00000000-0005-0000-0000-0000320E0000}"/>
    <cellStyle name="40% - Accent2 3 2 4 2 2" xfId="7952" xr:uid="{00000000-0005-0000-0000-0000330E0000}"/>
    <cellStyle name="40% - Accent2 3 2 4 2 2 2" xfId="24822" xr:uid="{00000000-0005-0000-0000-0000340E0000}"/>
    <cellStyle name="40% - Accent2 3 2 4 2 2 2 2" xfId="41690" xr:uid="{87DB97C5-599A-4CD8-B86A-E581FD4C7668}"/>
    <cellStyle name="40% - Accent2 3 2 4 2 2 3" xfId="16387" xr:uid="{00000000-0005-0000-0000-0000350E0000}"/>
    <cellStyle name="40% - Accent2 3 2 4 2 2 4" xfId="33256" xr:uid="{AC16CE7B-F66F-4058-BC6F-F495B95D0FF9}"/>
    <cellStyle name="40% - Accent2 3 2 4 2 3" xfId="20604" xr:uid="{00000000-0005-0000-0000-0000360E0000}"/>
    <cellStyle name="40% - Accent2 3 2 4 2 3 2" xfId="37473" xr:uid="{F726E675-A7E0-4452-8EAA-6E39B076972E}"/>
    <cellStyle name="40% - Accent2 3 2 4 2 4" xfId="12169" xr:uid="{00000000-0005-0000-0000-0000370E0000}"/>
    <cellStyle name="40% - Accent2 3 2 4 2 5" xfId="29039" xr:uid="{07D7328F-B387-4171-AC90-FD9F2B7F9B78}"/>
    <cellStyle name="40% - Accent2 3 2 4 3" xfId="5807" xr:uid="{00000000-0005-0000-0000-0000380E0000}"/>
    <cellStyle name="40% - Accent2 3 2 4 3 2" xfId="22677" xr:uid="{00000000-0005-0000-0000-0000390E0000}"/>
    <cellStyle name="40% - Accent2 3 2 4 3 2 2" xfId="39545" xr:uid="{62225DEB-CEE7-409E-9CE1-CAD78FBF481D}"/>
    <cellStyle name="40% - Accent2 3 2 4 3 3" xfId="14242" xr:uid="{00000000-0005-0000-0000-00003A0E0000}"/>
    <cellStyle name="40% - Accent2 3 2 4 3 4" xfId="31111" xr:uid="{DEE4AAAC-28FF-48A7-BE8E-8DD5AD72B294}"/>
    <cellStyle name="40% - Accent2 3 2 4 4" xfId="18459" xr:uid="{00000000-0005-0000-0000-00003B0E0000}"/>
    <cellStyle name="40% - Accent2 3 2 4 4 2" xfId="35328" xr:uid="{6656AAE2-32C7-4DAE-8240-07FF31C856FA}"/>
    <cellStyle name="40% - Accent2 3 2 4 5" xfId="10024" xr:uid="{00000000-0005-0000-0000-00003C0E0000}"/>
    <cellStyle name="40% - Accent2 3 2 4 6" xfId="26894" xr:uid="{E542830D-46C2-4740-9D42-CA6E4FE0B618}"/>
    <cellStyle name="40% - Accent2 3 2 5" xfId="1913" xr:uid="{00000000-0005-0000-0000-00003D0E0000}"/>
    <cellStyle name="40% - Accent2 3 2 5 2" xfId="4142" xr:uid="{00000000-0005-0000-0000-00003E0E0000}"/>
    <cellStyle name="40% - Accent2 3 2 5 2 2" xfId="8365" xr:uid="{00000000-0005-0000-0000-00003F0E0000}"/>
    <cellStyle name="40% - Accent2 3 2 5 2 2 2" xfId="25235" xr:uid="{00000000-0005-0000-0000-0000400E0000}"/>
    <cellStyle name="40% - Accent2 3 2 5 2 2 2 2" xfId="42103" xr:uid="{764A297C-3145-4870-B5F2-75EB15E1B99A}"/>
    <cellStyle name="40% - Accent2 3 2 5 2 2 3" xfId="16800" xr:uid="{00000000-0005-0000-0000-0000410E0000}"/>
    <cellStyle name="40% - Accent2 3 2 5 2 2 4" xfId="33669" xr:uid="{F6289DD1-5A7F-4B6E-9DE5-C3120C703843}"/>
    <cellStyle name="40% - Accent2 3 2 5 2 3" xfId="21017" xr:uid="{00000000-0005-0000-0000-0000420E0000}"/>
    <cellStyle name="40% - Accent2 3 2 5 2 3 2" xfId="37886" xr:uid="{3B4C0E13-D1CB-4460-8055-3C2ABB5B148F}"/>
    <cellStyle name="40% - Accent2 3 2 5 2 4" xfId="12582" xr:uid="{00000000-0005-0000-0000-0000430E0000}"/>
    <cellStyle name="40% - Accent2 3 2 5 2 5" xfId="29452" xr:uid="{143399CE-AF17-4149-98FF-7E6BBB984D1F}"/>
    <cellStyle name="40% - Accent2 3 2 5 3" xfId="6220" xr:uid="{00000000-0005-0000-0000-0000440E0000}"/>
    <cellStyle name="40% - Accent2 3 2 5 3 2" xfId="23090" xr:uid="{00000000-0005-0000-0000-0000450E0000}"/>
    <cellStyle name="40% - Accent2 3 2 5 3 2 2" xfId="39958" xr:uid="{59BBA2B7-68F1-4E44-A8EF-3DC737AD38B2}"/>
    <cellStyle name="40% - Accent2 3 2 5 3 3" xfId="14655" xr:uid="{00000000-0005-0000-0000-0000460E0000}"/>
    <cellStyle name="40% - Accent2 3 2 5 3 4" xfId="31524" xr:uid="{2253E607-EFCB-40D7-AD6B-E5C0367BDD0D}"/>
    <cellStyle name="40% - Accent2 3 2 5 4" xfId="18872" xr:uid="{00000000-0005-0000-0000-0000470E0000}"/>
    <cellStyle name="40% - Accent2 3 2 5 4 2" xfId="35741" xr:uid="{43AB1330-0F67-4896-9EF7-99D9D848A7B8}"/>
    <cellStyle name="40% - Accent2 3 2 5 5" xfId="10437" xr:uid="{00000000-0005-0000-0000-0000480E0000}"/>
    <cellStyle name="40% - Accent2 3 2 5 6" xfId="27307" xr:uid="{54B541A8-668B-4BC3-9421-14AA957D9425}"/>
    <cellStyle name="40% - Accent2 3 2 6" xfId="2326" xr:uid="{00000000-0005-0000-0000-0000490E0000}"/>
    <cellStyle name="40% - Accent2 3 2 6 2" xfId="6633" xr:uid="{00000000-0005-0000-0000-00004A0E0000}"/>
    <cellStyle name="40% - Accent2 3 2 6 2 2" xfId="23503" xr:uid="{00000000-0005-0000-0000-00004B0E0000}"/>
    <cellStyle name="40% - Accent2 3 2 6 2 2 2" xfId="40371" xr:uid="{CC5F0C10-A5D7-4A83-B2B7-D142145E063D}"/>
    <cellStyle name="40% - Accent2 3 2 6 2 3" xfId="15068" xr:uid="{00000000-0005-0000-0000-00004C0E0000}"/>
    <cellStyle name="40% - Accent2 3 2 6 2 4" xfId="31937" xr:uid="{9217B0AA-16E1-4546-BDD5-B54EB822CC36}"/>
    <cellStyle name="40% - Accent2 3 2 6 3" xfId="19285" xr:uid="{00000000-0005-0000-0000-00004D0E0000}"/>
    <cellStyle name="40% - Accent2 3 2 6 3 2" xfId="36154" xr:uid="{976DA101-9391-45FE-9907-6CA456941FA0}"/>
    <cellStyle name="40% - Accent2 3 2 6 4" xfId="10850" xr:uid="{00000000-0005-0000-0000-00004E0E0000}"/>
    <cellStyle name="40% - Accent2 3 2 6 5" xfId="27720" xr:uid="{A6210FFF-4582-463F-98E2-919F7EED750E}"/>
    <cellStyle name="40% - Accent2 3 2 7" xfId="4567" xr:uid="{00000000-0005-0000-0000-00004F0E0000}"/>
    <cellStyle name="40% - Accent2 3 2 7 2" xfId="21437" xr:uid="{00000000-0005-0000-0000-0000500E0000}"/>
    <cellStyle name="40% - Accent2 3 2 7 2 2" xfId="38305" xr:uid="{37C2E682-E228-407A-B1CB-D5153758AEC1}"/>
    <cellStyle name="40% - Accent2 3 2 7 3" xfId="13002" xr:uid="{00000000-0005-0000-0000-0000510E0000}"/>
    <cellStyle name="40% - Accent2 3 2 7 4" xfId="29871" xr:uid="{13229AB1-480C-47E2-A690-943D0CAD1D14}"/>
    <cellStyle name="40% - Accent2 3 2 8" xfId="17219" xr:uid="{00000000-0005-0000-0000-0000520E0000}"/>
    <cellStyle name="40% - Accent2 3 2 8 2" xfId="34088" xr:uid="{CB092A71-AC0E-405E-8F22-BDF4346A8D72}"/>
    <cellStyle name="40% - Accent2 3 2 9" xfId="8784" xr:uid="{00000000-0005-0000-0000-0000530E0000}"/>
    <cellStyle name="40% - Accent2 3 3" xfId="631" xr:uid="{00000000-0005-0000-0000-0000540E0000}"/>
    <cellStyle name="40% - Accent2 3 3 2" xfId="2902" xr:uid="{00000000-0005-0000-0000-0000550E0000}"/>
    <cellStyle name="40% - Accent2 3 3 2 2" xfId="7125" xr:uid="{00000000-0005-0000-0000-0000560E0000}"/>
    <cellStyle name="40% - Accent2 3 3 2 2 2" xfId="23995" xr:uid="{00000000-0005-0000-0000-0000570E0000}"/>
    <cellStyle name="40% - Accent2 3 3 2 2 2 2" xfId="40863" xr:uid="{82F13172-A1F0-4116-AFEF-E46573DBFD49}"/>
    <cellStyle name="40% - Accent2 3 3 2 2 3" xfId="15560" xr:uid="{00000000-0005-0000-0000-0000580E0000}"/>
    <cellStyle name="40% - Accent2 3 3 2 2 4" xfId="32429" xr:uid="{1F45EDCE-E204-46AA-B873-E8AE6E119915}"/>
    <cellStyle name="40% - Accent2 3 3 2 3" xfId="19777" xr:uid="{00000000-0005-0000-0000-0000590E0000}"/>
    <cellStyle name="40% - Accent2 3 3 2 3 2" xfId="36646" xr:uid="{E4E1D604-DE62-4647-BF05-A649AE999EEB}"/>
    <cellStyle name="40% - Accent2 3 3 2 4" xfId="11342" xr:uid="{00000000-0005-0000-0000-00005A0E0000}"/>
    <cellStyle name="40% - Accent2 3 3 2 5" xfId="28212" xr:uid="{4188C307-9860-41BB-AC42-362D645C1BB0}"/>
    <cellStyle name="40% - Accent2 3 3 3" xfId="4980" xr:uid="{00000000-0005-0000-0000-00005B0E0000}"/>
    <cellStyle name="40% - Accent2 3 3 3 2" xfId="21850" xr:uid="{00000000-0005-0000-0000-00005C0E0000}"/>
    <cellStyle name="40% - Accent2 3 3 3 2 2" xfId="38718" xr:uid="{0AED9354-CDE1-40D9-A1F1-26B18754F895}"/>
    <cellStyle name="40% - Accent2 3 3 3 3" xfId="13415" xr:uid="{00000000-0005-0000-0000-00005D0E0000}"/>
    <cellStyle name="40% - Accent2 3 3 3 4" xfId="30284" xr:uid="{1A16987C-C47E-4AAA-ACB1-7B00AC3009E9}"/>
    <cellStyle name="40% - Accent2 3 3 4" xfId="17632" xr:uid="{00000000-0005-0000-0000-00005E0E0000}"/>
    <cellStyle name="40% - Accent2 3 3 4 2" xfId="34501" xr:uid="{CF4285E5-A2C8-4439-9DE8-BDA95DE22E91}"/>
    <cellStyle name="40% - Accent2 3 3 5" xfId="9197" xr:uid="{00000000-0005-0000-0000-00005F0E0000}"/>
    <cellStyle name="40% - Accent2 3 3 6" xfId="26067" xr:uid="{3C422B28-9C67-426A-A49F-497624873EB9}"/>
    <cellStyle name="40% - Accent2 3 4" xfId="1084" xr:uid="{00000000-0005-0000-0000-0000600E0000}"/>
    <cellStyle name="40% - Accent2 3 4 2" xfId="3315" xr:uid="{00000000-0005-0000-0000-0000610E0000}"/>
    <cellStyle name="40% - Accent2 3 4 2 2" xfId="7538" xr:uid="{00000000-0005-0000-0000-0000620E0000}"/>
    <cellStyle name="40% - Accent2 3 4 2 2 2" xfId="24408" xr:uid="{00000000-0005-0000-0000-0000630E0000}"/>
    <cellStyle name="40% - Accent2 3 4 2 2 2 2" xfId="41276" xr:uid="{E934C410-F069-460D-97CA-132309D2AEC5}"/>
    <cellStyle name="40% - Accent2 3 4 2 2 3" xfId="15973" xr:uid="{00000000-0005-0000-0000-0000640E0000}"/>
    <cellStyle name="40% - Accent2 3 4 2 2 4" xfId="32842" xr:uid="{1B58CB41-7854-4AB8-AF1E-CA703C82C371}"/>
    <cellStyle name="40% - Accent2 3 4 2 3" xfId="20190" xr:uid="{00000000-0005-0000-0000-0000650E0000}"/>
    <cellStyle name="40% - Accent2 3 4 2 3 2" xfId="37059" xr:uid="{1A10FD30-7497-427D-A392-D82C3E69BE04}"/>
    <cellStyle name="40% - Accent2 3 4 2 4" xfId="11755" xr:uid="{00000000-0005-0000-0000-0000660E0000}"/>
    <cellStyle name="40% - Accent2 3 4 2 5" xfId="28625" xr:uid="{51E75D2E-24C5-412A-A26B-9E5E3D2E778C}"/>
    <cellStyle name="40% - Accent2 3 4 3" xfId="5393" xr:uid="{00000000-0005-0000-0000-0000670E0000}"/>
    <cellStyle name="40% - Accent2 3 4 3 2" xfId="22263" xr:uid="{00000000-0005-0000-0000-0000680E0000}"/>
    <cellStyle name="40% - Accent2 3 4 3 2 2" xfId="39131" xr:uid="{B54B34D6-2E48-4E69-BD5A-BA8D277E0040}"/>
    <cellStyle name="40% - Accent2 3 4 3 3" xfId="13828" xr:uid="{00000000-0005-0000-0000-0000690E0000}"/>
    <cellStyle name="40% - Accent2 3 4 3 4" xfId="30697" xr:uid="{9A43F646-EF4A-4603-B32C-27395810C458}"/>
    <cellStyle name="40% - Accent2 3 4 4" xfId="18045" xr:uid="{00000000-0005-0000-0000-00006A0E0000}"/>
    <cellStyle name="40% - Accent2 3 4 4 2" xfId="34914" xr:uid="{0696CE16-53BA-4AD0-A68F-92E4BC49F328}"/>
    <cellStyle name="40% - Accent2 3 4 5" xfId="9610" xr:uid="{00000000-0005-0000-0000-00006B0E0000}"/>
    <cellStyle name="40% - Accent2 3 4 6" xfId="26480" xr:uid="{089665BA-CCEA-48E5-88DD-CCDC0F58208B}"/>
    <cellStyle name="40% - Accent2 3 5" xfId="1498" xr:uid="{00000000-0005-0000-0000-00006C0E0000}"/>
    <cellStyle name="40% - Accent2 3 5 2" xfId="3728" xr:uid="{00000000-0005-0000-0000-00006D0E0000}"/>
    <cellStyle name="40% - Accent2 3 5 2 2" xfId="7951" xr:uid="{00000000-0005-0000-0000-00006E0E0000}"/>
    <cellStyle name="40% - Accent2 3 5 2 2 2" xfId="24821" xr:uid="{00000000-0005-0000-0000-00006F0E0000}"/>
    <cellStyle name="40% - Accent2 3 5 2 2 2 2" xfId="41689" xr:uid="{DDB1E044-909A-47A0-ADC6-3C987C629D16}"/>
    <cellStyle name="40% - Accent2 3 5 2 2 3" xfId="16386" xr:uid="{00000000-0005-0000-0000-0000700E0000}"/>
    <cellStyle name="40% - Accent2 3 5 2 2 4" xfId="33255" xr:uid="{5A112A95-04DE-40F6-8DB7-8EA00A7D220A}"/>
    <cellStyle name="40% - Accent2 3 5 2 3" xfId="20603" xr:uid="{00000000-0005-0000-0000-0000710E0000}"/>
    <cellStyle name="40% - Accent2 3 5 2 3 2" xfId="37472" xr:uid="{9F417F68-54C2-40FB-AB48-1AFC5AF6A003}"/>
    <cellStyle name="40% - Accent2 3 5 2 4" xfId="12168" xr:uid="{00000000-0005-0000-0000-0000720E0000}"/>
    <cellStyle name="40% - Accent2 3 5 2 5" xfId="29038" xr:uid="{91422A9B-E3DC-433B-826A-97E954597AC8}"/>
    <cellStyle name="40% - Accent2 3 5 3" xfId="5806" xr:uid="{00000000-0005-0000-0000-0000730E0000}"/>
    <cellStyle name="40% - Accent2 3 5 3 2" xfId="22676" xr:uid="{00000000-0005-0000-0000-0000740E0000}"/>
    <cellStyle name="40% - Accent2 3 5 3 2 2" xfId="39544" xr:uid="{DC6301D2-CD71-4C37-93AD-6A54D08A5994}"/>
    <cellStyle name="40% - Accent2 3 5 3 3" xfId="14241" xr:uid="{00000000-0005-0000-0000-0000750E0000}"/>
    <cellStyle name="40% - Accent2 3 5 3 4" xfId="31110" xr:uid="{4849D201-CDD5-4D51-BF5C-6204B881057B}"/>
    <cellStyle name="40% - Accent2 3 5 4" xfId="18458" xr:uid="{00000000-0005-0000-0000-0000760E0000}"/>
    <cellStyle name="40% - Accent2 3 5 4 2" xfId="35327" xr:uid="{6F697D82-9043-4E4A-A075-31D739BF7DB0}"/>
    <cellStyle name="40% - Accent2 3 5 5" xfId="10023" xr:uid="{00000000-0005-0000-0000-0000770E0000}"/>
    <cellStyle name="40% - Accent2 3 5 6" xfId="26893" xr:uid="{8F9DF86F-2218-41DD-8370-CEBA3231C490}"/>
    <cellStyle name="40% - Accent2 3 6" xfId="1912" xr:uid="{00000000-0005-0000-0000-0000780E0000}"/>
    <cellStyle name="40% - Accent2 3 6 2" xfId="4141" xr:uid="{00000000-0005-0000-0000-0000790E0000}"/>
    <cellStyle name="40% - Accent2 3 6 2 2" xfId="8364" xr:uid="{00000000-0005-0000-0000-00007A0E0000}"/>
    <cellStyle name="40% - Accent2 3 6 2 2 2" xfId="25234" xr:uid="{00000000-0005-0000-0000-00007B0E0000}"/>
    <cellStyle name="40% - Accent2 3 6 2 2 2 2" xfId="42102" xr:uid="{DD4B7CF0-8C86-4B07-8A3D-DCDBCC4762B0}"/>
    <cellStyle name="40% - Accent2 3 6 2 2 3" xfId="16799" xr:uid="{00000000-0005-0000-0000-00007C0E0000}"/>
    <cellStyle name="40% - Accent2 3 6 2 2 4" xfId="33668" xr:uid="{BF827F64-332F-43F3-A19F-7F842F8011F1}"/>
    <cellStyle name="40% - Accent2 3 6 2 3" xfId="21016" xr:uid="{00000000-0005-0000-0000-00007D0E0000}"/>
    <cellStyle name="40% - Accent2 3 6 2 3 2" xfId="37885" xr:uid="{4C57A88A-4FA8-4D96-A564-8AE0BA7417BA}"/>
    <cellStyle name="40% - Accent2 3 6 2 4" xfId="12581" xr:uid="{00000000-0005-0000-0000-00007E0E0000}"/>
    <cellStyle name="40% - Accent2 3 6 2 5" xfId="29451" xr:uid="{CAB1A2F3-5201-4468-ABDD-A0CB56ED9AAA}"/>
    <cellStyle name="40% - Accent2 3 6 3" xfId="6219" xr:uid="{00000000-0005-0000-0000-00007F0E0000}"/>
    <cellStyle name="40% - Accent2 3 6 3 2" xfId="23089" xr:uid="{00000000-0005-0000-0000-0000800E0000}"/>
    <cellStyle name="40% - Accent2 3 6 3 2 2" xfId="39957" xr:uid="{ACB35BDE-C1FA-46C3-9703-BB25B5D3959D}"/>
    <cellStyle name="40% - Accent2 3 6 3 3" xfId="14654" xr:uid="{00000000-0005-0000-0000-0000810E0000}"/>
    <cellStyle name="40% - Accent2 3 6 3 4" xfId="31523" xr:uid="{78BDD18A-56CA-44FD-A502-41A9444AFDEF}"/>
    <cellStyle name="40% - Accent2 3 6 4" xfId="18871" xr:uid="{00000000-0005-0000-0000-0000820E0000}"/>
    <cellStyle name="40% - Accent2 3 6 4 2" xfId="35740" xr:uid="{13712FA0-E97C-41BB-8E1A-70300AA1C69F}"/>
    <cellStyle name="40% - Accent2 3 6 5" xfId="10436" xr:uid="{00000000-0005-0000-0000-0000830E0000}"/>
    <cellStyle name="40% - Accent2 3 6 6" xfId="27306" xr:uid="{570B0EAB-D821-4FA0-82E9-BE875864F038}"/>
    <cellStyle name="40% - Accent2 3 7" xfId="2325" xr:uid="{00000000-0005-0000-0000-0000840E0000}"/>
    <cellStyle name="40% - Accent2 3 7 2" xfId="6632" xr:uid="{00000000-0005-0000-0000-0000850E0000}"/>
    <cellStyle name="40% - Accent2 3 7 2 2" xfId="23502" xr:uid="{00000000-0005-0000-0000-0000860E0000}"/>
    <cellStyle name="40% - Accent2 3 7 2 2 2" xfId="40370" xr:uid="{04883AC0-83CA-41A2-B883-A5489692D253}"/>
    <cellStyle name="40% - Accent2 3 7 2 3" xfId="15067" xr:uid="{00000000-0005-0000-0000-0000870E0000}"/>
    <cellStyle name="40% - Accent2 3 7 2 4" xfId="31936" xr:uid="{B2B44706-8225-4D8F-A55D-99E7E7981688}"/>
    <cellStyle name="40% - Accent2 3 7 3" xfId="19284" xr:uid="{00000000-0005-0000-0000-0000880E0000}"/>
    <cellStyle name="40% - Accent2 3 7 3 2" xfId="36153" xr:uid="{8D29E1E5-263B-43CB-B229-D7B05AAC5AFA}"/>
    <cellStyle name="40% - Accent2 3 7 4" xfId="10849" xr:uid="{00000000-0005-0000-0000-0000890E0000}"/>
    <cellStyle name="40% - Accent2 3 7 5" xfId="27719" xr:uid="{99E4AEBC-2473-455F-AF4B-023FE17A177F}"/>
    <cellStyle name="40% - Accent2 3 8" xfId="4566" xr:uid="{00000000-0005-0000-0000-00008A0E0000}"/>
    <cellStyle name="40% - Accent2 3 8 2" xfId="21436" xr:uid="{00000000-0005-0000-0000-00008B0E0000}"/>
    <cellStyle name="40% - Accent2 3 8 2 2" xfId="38304" xr:uid="{CE1A6E1D-F50C-48CB-A59F-095EE994BEC6}"/>
    <cellStyle name="40% - Accent2 3 8 3" xfId="13001" xr:uid="{00000000-0005-0000-0000-00008C0E0000}"/>
    <cellStyle name="40% - Accent2 3 8 4" xfId="29870" xr:uid="{1552CAAD-86AD-4D7D-AE8E-745A0DE643F7}"/>
    <cellStyle name="40% - Accent2 3 9" xfId="17218" xr:uid="{00000000-0005-0000-0000-00008D0E0000}"/>
    <cellStyle name="40% - Accent2 3 9 2" xfId="34087" xr:uid="{8FA71BED-529E-4613-9188-4F3A9E631FD4}"/>
    <cellStyle name="40% - Accent2 4" xfId="64" xr:uid="{00000000-0005-0000-0000-00008E0E0000}"/>
    <cellStyle name="40% - Accent2 4 10" xfId="25655" xr:uid="{3DC779DC-91C4-462C-9F3F-4046FFD0746A}"/>
    <cellStyle name="40% - Accent2 4 2" xfId="633" xr:uid="{00000000-0005-0000-0000-00008F0E0000}"/>
    <cellStyle name="40% - Accent2 4 2 2" xfId="2904" xr:uid="{00000000-0005-0000-0000-0000900E0000}"/>
    <cellStyle name="40% - Accent2 4 2 2 2" xfId="7127" xr:uid="{00000000-0005-0000-0000-0000910E0000}"/>
    <cellStyle name="40% - Accent2 4 2 2 2 2" xfId="23997" xr:uid="{00000000-0005-0000-0000-0000920E0000}"/>
    <cellStyle name="40% - Accent2 4 2 2 2 2 2" xfId="40865" xr:uid="{49EFE576-DCE7-4F49-9C19-048E454CCA59}"/>
    <cellStyle name="40% - Accent2 4 2 2 2 3" xfId="15562" xr:uid="{00000000-0005-0000-0000-0000930E0000}"/>
    <cellStyle name="40% - Accent2 4 2 2 2 4" xfId="32431" xr:uid="{4ECC5009-1204-4866-827D-24C78E9CC51A}"/>
    <cellStyle name="40% - Accent2 4 2 2 3" xfId="19779" xr:uid="{00000000-0005-0000-0000-0000940E0000}"/>
    <cellStyle name="40% - Accent2 4 2 2 3 2" xfId="36648" xr:uid="{CAC0490D-15DB-4116-839A-0BE4D396A74A}"/>
    <cellStyle name="40% - Accent2 4 2 2 4" xfId="11344" xr:uid="{00000000-0005-0000-0000-0000950E0000}"/>
    <cellStyle name="40% - Accent2 4 2 2 5" xfId="28214" xr:uid="{FDA5CA7B-33DF-4897-BA5B-FD41D2E92403}"/>
    <cellStyle name="40% - Accent2 4 2 3" xfId="4982" xr:uid="{00000000-0005-0000-0000-0000960E0000}"/>
    <cellStyle name="40% - Accent2 4 2 3 2" xfId="21852" xr:uid="{00000000-0005-0000-0000-0000970E0000}"/>
    <cellStyle name="40% - Accent2 4 2 3 2 2" xfId="38720" xr:uid="{CDACBF25-0A6C-4479-9DE7-36623813D47B}"/>
    <cellStyle name="40% - Accent2 4 2 3 3" xfId="13417" xr:uid="{00000000-0005-0000-0000-0000980E0000}"/>
    <cellStyle name="40% - Accent2 4 2 3 4" xfId="30286" xr:uid="{C85BDA49-6F81-4C22-AEEC-B4293B420382}"/>
    <cellStyle name="40% - Accent2 4 2 4" xfId="17634" xr:uid="{00000000-0005-0000-0000-0000990E0000}"/>
    <cellStyle name="40% - Accent2 4 2 4 2" xfId="34503" xr:uid="{DBB0DBC6-5A72-40A1-BDB5-9FB4DDDD2D32}"/>
    <cellStyle name="40% - Accent2 4 2 5" xfId="9199" xr:uid="{00000000-0005-0000-0000-00009A0E0000}"/>
    <cellStyle name="40% - Accent2 4 2 6" xfId="26069" xr:uid="{A29D8756-05FD-486B-B207-6294E82900A4}"/>
    <cellStyle name="40% - Accent2 4 3" xfId="1086" xr:uid="{00000000-0005-0000-0000-00009B0E0000}"/>
    <cellStyle name="40% - Accent2 4 3 2" xfId="3317" xr:uid="{00000000-0005-0000-0000-00009C0E0000}"/>
    <cellStyle name="40% - Accent2 4 3 2 2" xfId="7540" xr:uid="{00000000-0005-0000-0000-00009D0E0000}"/>
    <cellStyle name="40% - Accent2 4 3 2 2 2" xfId="24410" xr:uid="{00000000-0005-0000-0000-00009E0E0000}"/>
    <cellStyle name="40% - Accent2 4 3 2 2 2 2" xfId="41278" xr:uid="{60122DC5-2AAD-417D-B4F3-A6490032A28E}"/>
    <cellStyle name="40% - Accent2 4 3 2 2 3" xfId="15975" xr:uid="{00000000-0005-0000-0000-00009F0E0000}"/>
    <cellStyle name="40% - Accent2 4 3 2 2 4" xfId="32844" xr:uid="{9DD7A3D8-6698-491E-B17A-C45A6B7B5389}"/>
    <cellStyle name="40% - Accent2 4 3 2 3" xfId="20192" xr:uid="{00000000-0005-0000-0000-0000A00E0000}"/>
    <cellStyle name="40% - Accent2 4 3 2 3 2" xfId="37061" xr:uid="{2A3873E1-7D73-4F99-9AA5-1857A340D08A}"/>
    <cellStyle name="40% - Accent2 4 3 2 4" xfId="11757" xr:uid="{00000000-0005-0000-0000-0000A10E0000}"/>
    <cellStyle name="40% - Accent2 4 3 2 5" xfId="28627" xr:uid="{6DE81C5A-94C7-4F26-B785-EF3ECA201CDE}"/>
    <cellStyle name="40% - Accent2 4 3 3" xfId="5395" xr:uid="{00000000-0005-0000-0000-0000A20E0000}"/>
    <cellStyle name="40% - Accent2 4 3 3 2" xfId="22265" xr:uid="{00000000-0005-0000-0000-0000A30E0000}"/>
    <cellStyle name="40% - Accent2 4 3 3 2 2" xfId="39133" xr:uid="{9A586E88-4654-476D-9059-3D03E1A1CB6C}"/>
    <cellStyle name="40% - Accent2 4 3 3 3" xfId="13830" xr:uid="{00000000-0005-0000-0000-0000A40E0000}"/>
    <cellStyle name="40% - Accent2 4 3 3 4" xfId="30699" xr:uid="{D053CCDE-DDB6-4CA3-8910-2ECECFA5E84D}"/>
    <cellStyle name="40% - Accent2 4 3 4" xfId="18047" xr:uid="{00000000-0005-0000-0000-0000A50E0000}"/>
    <cellStyle name="40% - Accent2 4 3 4 2" xfId="34916" xr:uid="{ED8C346B-6499-4C6E-B6C6-A5CA66DE87AD}"/>
    <cellStyle name="40% - Accent2 4 3 5" xfId="9612" xr:uid="{00000000-0005-0000-0000-0000A60E0000}"/>
    <cellStyle name="40% - Accent2 4 3 6" xfId="26482" xr:uid="{FDEC1F0A-6A47-4563-A3B1-704E4F21990B}"/>
    <cellStyle name="40% - Accent2 4 4" xfId="1500" xr:uid="{00000000-0005-0000-0000-0000A70E0000}"/>
    <cellStyle name="40% - Accent2 4 4 2" xfId="3730" xr:uid="{00000000-0005-0000-0000-0000A80E0000}"/>
    <cellStyle name="40% - Accent2 4 4 2 2" xfId="7953" xr:uid="{00000000-0005-0000-0000-0000A90E0000}"/>
    <cellStyle name="40% - Accent2 4 4 2 2 2" xfId="24823" xr:uid="{00000000-0005-0000-0000-0000AA0E0000}"/>
    <cellStyle name="40% - Accent2 4 4 2 2 2 2" xfId="41691" xr:uid="{F558124E-81CC-401C-BD6D-773E99EC7485}"/>
    <cellStyle name="40% - Accent2 4 4 2 2 3" xfId="16388" xr:uid="{00000000-0005-0000-0000-0000AB0E0000}"/>
    <cellStyle name="40% - Accent2 4 4 2 2 4" xfId="33257" xr:uid="{C2E3DAC9-43E2-4AA8-B44A-032B2B7CAC80}"/>
    <cellStyle name="40% - Accent2 4 4 2 3" xfId="20605" xr:uid="{00000000-0005-0000-0000-0000AC0E0000}"/>
    <cellStyle name="40% - Accent2 4 4 2 3 2" xfId="37474" xr:uid="{7049546C-C0B6-42D1-AA47-F9D0410F20A6}"/>
    <cellStyle name="40% - Accent2 4 4 2 4" xfId="12170" xr:uid="{00000000-0005-0000-0000-0000AD0E0000}"/>
    <cellStyle name="40% - Accent2 4 4 2 5" xfId="29040" xr:uid="{C83D28CA-39CC-452E-8942-84E49D8A1FA6}"/>
    <cellStyle name="40% - Accent2 4 4 3" xfId="5808" xr:uid="{00000000-0005-0000-0000-0000AE0E0000}"/>
    <cellStyle name="40% - Accent2 4 4 3 2" xfId="22678" xr:uid="{00000000-0005-0000-0000-0000AF0E0000}"/>
    <cellStyle name="40% - Accent2 4 4 3 2 2" xfId="39546" xr:uid="{68F0ED8B-B15A-47A5-89F4-8DDD1C217EB6}"/>
    <cellStyle name="40% - Accent2 4 4 3 3" xfId="14243" xr:uid="{00000000-0005-0000-0000-0000B00E0000}"/>
    <cellStyle name="40% - Accent2 4 4 3 4" xfId="31112" xr:uid="{7F29B436-205C-4069-B49B-57F2536F15B7}"/>
    <cellStyle name="40% - Accent2 4 4 4" xfId="18460" xr:uid="{00000000-0005-0000-0000-0000B10E0000}"/>
    <cellStyle name="40% - Accent2 4 4 4 2" xfId="35329" xr:uid="{66085629-0F05-49CB-9F1E-97FA140A0ED4}"/>
    <cellStyle name="40% - Accent2 4 4 5" xfId="10025" xr:uid="{00000000-0005-0000-0000-0000B20E0000}"/>
    <cellStyle name="40% - Accent2 4 4 6" xfId="26895" xr:uid="{19DD6618-AE81-442A-8567-2B6C658E2FA1}"/>
    <cellStyle name="40% - Accent2 4 5" xfId="1914" xr:uid="{00000000-0005-0000-0000-0000B30E0000}"/>
    <cellStyle name="40% - Accent2 4 5 2" xfId="4143" xr:uid="{00000000-0005-0000-0000-0000B40E0000}"/>
    <cellStyle name="40% - Accent2 4 5 2 2" xfId="8366" xr:uid="{00000000-0005-0000-0000-0000B50E0000}"/>
    <cellStyle name="40% - Accent2 4 5 2 2 2" xfId="25236" xr:uid="{00000000-0005-0000-0000-0000B60E0000}"/>
    <cellStyle name="40% - Accent2 4 5 2 2 2 2" xfId="42104" xr:uid="{B24C2C65-6CE1-4C9E-AED6-80239C96C4AC}"/>
    <cellStyle name="40% - Accent2 4 5 2 2 3" xfId="16801" xr:uid="{00000000-0005-0000-0000-0000B70E0000}"/>
    <cellStyle name="40% - Accent2 4 5 2 2 4" xfId="33670" xr:uid="{630159FF-3245-4F87-AE6E-0779A1BEF615}"/>
    <cellStyle name="40% - Accent2 4 5 2 3" xfId="21018" xr:uid="{00000000-0005-0000-0000-0000B80E0000}"/>
    <cellStyle name="40% - Accent2 4 5 2 3 2" xfId="37887" xr:uid="{561818DE-83E6-486D-AAD6-FEA8F40F0EC4}"/>
    <cellStyle name="40% - Accent2 4 5 2 4" xfId="12583" xr:uid="{00000000-0005-0000-0000-0000B90E0000}"/>
    <cellStyle name="40% - Accent2 4 5 2 5" xfId="29453" xr:uid="{27758599-CDDF-4F1F-90F6-CF41BD6BF1C3}"/>
    <cellStyle name="40% - Accent2 4 5 3" xfId="6221" xr:uid="{00000000-0005-0000-0000-0000BA0E0000}"/>
    <cellStyle name="40% - Accent2 4 5 3 2" xfId="23091" xr:uid="{00000000-0005-0000-0000-0000BB0E0000}"/>
    <cellStyle name="40% - Accent2 4 5 3 2 2" xfId="39959" xr:uid="{B8610DA9-B13C-4FF0-85D0-2086A77066E5}"/>
    <cellStyle name="40% - Accent2 4 5 3 3" xfId="14656" xr:uid="{00000000-0005-0000-0000-0000BC0E0000}"/>
    <cellStyle name="40% - Accent2 4 5 3 4" xfId="31525" xr:uid="{19644C2E-BE4A-4E96-94D5-7868EDE65944}"/>
    <cellStyle name="40% - Accent2 4 5 4" xfId="18873" xr:uid="{00000000-0005-0000-0000-0000BD0E0000}"/>
    <cellStyle name="40% - Accent2 4 5 4 2" xfId="35742" xr:uid="{56139B97-0E34-4007-A9EC-57D3AE75C51E}"/>
    <cellStyle name="40% - Accent2 4 5 5" xfId="10438" xr:uid="{00000000-0005-0000-0000-0000BE0E0000}"/>
    <cellStyle name="40% - Accent2 4 5 6" xfId="27308" xr:uid="{9EDE4B60-B839-4B83-950A-C6439C55D590}"/>
    <cellStyle name="40% - Accent2 4 6" xfId="2327" xr:uid="{00000000-0005-0000-0000-0000BF0E0000}"/>
    <cellStyle name="40% - Accent2 4 6 2" xfId="6634" xr:uid="{00000000-0005-0000-0000-0000C00E0000}"/>
    <cellStyle name="40% - Accent2 4 6 2 2" xfId="23504" xr:uid="{00000000-0005-0000-0000-0000C10E0000}"/>
    <cellStyle name="40% - Accent2 4 6 2 2 2" xfId="40372" xr:uid="{93295C1F-4818-4CD2-B02B-04FB80402BBC}"/>
    <cellStyle name="40% - Accent2 4 6 2 3" xfId="15069" xr:uid="{00000000-0005-0000-0000-0000C20E0000}"/>
    <cellStyle name="40% - Accent2 4 6 2 4" xfId="31938" xr:uid="{1910E1E0-9B38-4ACE-9567-2CCDC145F772}"/>
    <cellStyle name="40% - Accent2 4 6 3" xfId="19286" xr:uid="{00000000-0005-0000-0000-0000C30E0000}"/>
    <cellStyle name="40% - Accent2 4 6 3 2" xfId="36155" xr:uid="{64C5EC6B-117D-4176-8B66-D3499B50EC93}"/>
    <cellStyle name="40% - Accent2 4 6 4" xfId="10851" xr:uid="{00000000-0005-0000-0000-0000C40E0000}"/>
    <cellStyle name="40% - Accent2 4 6 5" xfId="27721" xr:uid="{65C4D20B-F1A5-4F77-A5EA-8A768BED4994}"/>
    <cellStyle name="40% - Accent2 4 7" xfId="4568" xr:uid="{00000000-0005-0000-0000-0000C50E0000}"/>
    <cellStyle name="40% - Accent2 4 7 2" xfId="21438" xr:uid="{00000000-0005-0000-0000-0000C60E0000}"/>
    <cellStyle name="40% - Accent2 4 7 2 2" xfId="38306" xr:uid="{B5CCFEDA-8051-4768-8711-A7ABB29965AF}"/>
    <cellStyle name="40% - Accent2 4 7 3" xfId="13003" xr:uid="{00000000-0005-0000-0000-0000C70E0000}"/>
    <cellStyle name="40% - Accent2 4 7 4" xfId="29872" xr:uid="{D1991D3B-735F-4F82-8011-3E82CBB3D85D}"/>
    <cellStyle name="40% - Accent2 4 8" xfId="17220" xr:uid="{00000000-0005-0000-0000-0000C80E0000}"/>
    <cellStyle name="40% - Accent2 4 8 2" xfId="34089" xr:uid="{DCC1CBEE-7E6A-4057-8FA8-6FF28A2B5C5D}"/>
    <cellStyle name="40% - Accent2 4 9" xfId="8785" xr:uid="{00000000-0005-0000-0000-0000C90E0000}"/>
    <cellStyle name="40% - Accent2 5" xfId="626" xr:uid="{00000000-0005-0000-0000-0000CA0E0000}"/>
    <cellStyle name="40% - Accent2 5 2" xfId="2897" xr:uid="{00000000-0005-0000-0000-0000CB0E0000}"/>
    <cellStyle name="40% - Accent2 5 2 2" xfId="7120" xr:uid="{00000000-0005-0000-0000-0000CC0E0000}"/>
    <cellStyle name="40% - Accent2 5 2 2 2" xfId="23990" xr:uid="{00000000-0005-0000-0000-0000CD0E0000}"/>
    <cellStyle name="40% - Accent2 5 2 2 2 2" xfId="40858" xr:uid="{3597AA9B-D68E-46E3-BD37-316C1ED93C52}"/>
    <cellStyle name="40% - Accent2 5 2 2 3" xfId="15555" xr:uid="{00000000-0005-0000-0000-0000CE0E0000}"/>
    <cellStyle name="40% - Accent2 5 2 2 4" xfId="32424" xr:uid="{AA5BDBCB-E032-46BA-8ECA-D6ECFD7B1CD0}"/>
    <cellStyle name="40% - Accent2 5 2 3" xfId="19772" xr:uid="{00000000-0005-0000-0000-0000CF0E0000}"/>
    <cellStyle name="40% - Accent2 5 2 3 2" xfId="36641" xr:uid="{AAB73FD8-B70B-49D0-87E9-873C1ABC9DD5}"/>
    <cellStyle name="40% - Accent2 5 2 4" xfId="11337" xr:uid="{00000000-0005-0000-0000-0000D00E0000}"/>
    <cellStyle name="40% - Accent2 5 2 5" xfId="28207" xr:uid="{BB93AC16-EACE-4FA7-83D3-2579EBCBC992}"/>
    <cellStyle name="40% - Accent2 5 3" xfId="4975" xr:uid="{00000000-0005-0000-0000-0000D10E0000}"/>
    <cellStyle name="40% - Accent2 5 3 2" xfId="21845" xr:uid="{00000000-0005-0000-0000-0000D20E0000}"/>
    <cellStyle name="40% - Accent2 5 3 2 2" xfId="38713" xr:uid="{E1EB1EFE-BABA-4165-AE8C-B6D2239865C8}"/>
    <cellStyle name="40% - Accent2 5 3 3" xfId="13410" xr:uid="{00000000-0005-0000-0000-0000D30E0000}"/>
    <cellStyle name="40% - Accent2 5 3 4" xfId="30279" xr:uid="{CF1E30DF-3FCB-4DD2-B711-C5275602547B}"/>
    <cellStyle name="40% - Accent2 5 4" xfId="17627" xr:uid="{00000000-0005-0000-0000-0000D40E0000}"/>
    <cellStyle name="40% - Accent2 5 4 2" xfId="34496" xr:uid="{EF82C719-854C-4EB8-8BE9-6D150B971419}"/>
    <cellStyle name="40% - Accent2 5 5" xfId="9192" xr:uid="{00000000-0005-0000-0000-0000D50E0000}"/>
    <cellStyle name="40% - Accent2 5 6" xfId="26062" xr:uid="{F2B45D4A-EB41-431A-B8AF-F55288781EFD}"/>
    <cellStyle name="40% - Accent2 6" xfId="1079" xr:uid="{00000000-0005-0000-0000-0000D60E0000}"/>
    <cellStyle name="40% - Accent2 6 2" xfId="3310" xr:uid="{00000000-0005-0000-0000-0000D70E0000}"/>
    <cellStyle name="40% - Accent2 6 2 2" xfId="7533" xr:uid="{00000000-0005-0000-0000-0000D80E0000}"/>
    <cellStyle name="40% - Accent2 6 2 2 2" xfId="24403" xr:uid="{00000000-0005-0000-0000-0000D90E0000}"/>
    <cellStyle name="40% - Accent2 6 2 2 2 2" xfId="41271" xr:uid="{3CED1E74-312B-42D5-ADD5-2D1A99500C7B}"/>
    <cellStyle name="40% - Accent2 6 2 2 3" xfId="15968" xr:uid="{00000000-0005-0000-0000-0000DA0E0000}"/>
    <cellStyle name="40% - Accent2 6 2 2 4" xfId="32837" xr:uid="{F4D5F65C-E0D4-4D42-94A7-AD0D17E6957E}"/>
    <cellStyle name="40% - Accent2 6 2 3" xfId="20185" xr:uid="{00000000-0005-0000-0000-0000DB0E0000}"/>
    <cellStyle name="40% - Accent2 6 2 3 2" xfId="37054" xr:uid="{2962E263-C32A-4367-BAC0-EEB7E211DD50}"/>
    <cellStyle name="40% - Accent2 6 2 4" xfId="11750" xr:uid="{00000000-0005-0000-0000-0000DC0E0000}"/>
    <cellStyle name="40% - Accent2 6 2 5" xfId="28620" xr:uid="{713DCF77-238D-4233-843D-36DC1E90E4B8}"/>
    <cellStyle name="40% - Accent2 6 3" xfId="5388" xr:uid="{00000000-0005-0000-0000-0000DD0E0000}"/>
    <cellStyle name="40% - Accent2 6 3 2" xfId="22258" xr:uid="{00000000-0005-0000-0000-0000DE0E0000}"/>
    <cellStyle name="40% - Accent2 6 3 2 2" xfId="39126" xr:uid="{58D64A06-BD19-45C9-AEB9-44A7AD21AF06}"/>
    <cellStyle name="40% - Accent2 6 3 3" xfId="13823" xr:uid="{00000000-0005-0000-0000-0000DF0E0000}"/>
    <cellStyle name="40% - Accent2 6 3 4" xfId="30692" xr:uid="{AA2ADA40-947A-49D9-9890-E9027390FD47}"/>
    <cellStyle name="40% - Accent2 6 4" xfId="18040" xr:uid="{00000000-0005-0000-0000-0000E00E0000}"/>
    <cellStyle name="40% - Accent2 6 4 2" xfId="34909" xr:uid="{F34CE896-5FAB-4348-8C64-E35325EC40AE}"/>
    <cellStyle name="40% - Accent2 6 5" xfId="9605" xr:uid="{00000000-0005-0000-0000-0000E10E0000}"/>
    <cellStyle name="40% - Accent2 6 6" xfId="26475" xr:uid="{E43EB837-1E7E-4F76-A06F-3B1239D08408}"/>
    <cellStyle name="40% - Accent2 7" xfId="1493" xr:uid="{00000000-0005-0000-0000-0000E20E0000}"/>
    <cellStyle name="40% - Accent2 7 2" xfId="3723" xr:uid="{00000000-0005-0000-0000-0000E30E0000}"/>
    <cellStyle name="40% - Accent2 7 2 2" xfId="7946" xr:uid="{00000000-0005-0000-0000-0000E40E0000}"/>
    <cellStyle name="40% - Accent2 7 2 2 2" xfId="24816" xr:uid="{00000000-0005-0000-0000-0000E50E0000}"/>
    <cellStyle name="40% - Accent2 7 2 2 2 2" xfId="41684" xr:uid="{5ED6F875-1052-4531-9291-CA1D8DFC944F}"/>
    <cellStyle name="40% - Accent2 7 2 2 3" xfId="16381" xr:uid="{00000000-0005-0000-0000-0000E60E0000}"/>
    <cellStyle name="40% - Accent2 7 2 2 4" xfId="33250" xr:uid="{5B404BCE-456B-4212-8B38-A481EC8CEFBF}"/>
    <cellStyle name="40% - Accent2 7 2 3" xfId="20598" xr:uid="{00000000-0005-0000-0000-0000E70E0000}"/>
    <cellStyle name="40% - Accent2 7 2 3 2" xfId="37467" xr:uid="{86AB4DCC-7346-4A8F-B97C-32348D907EE3}"/>
    <cellStyle name="40% - Accent2 7 2 4" xfId="12163" xr:uid="{00000000-0005-0000-0000-0000E80E0000}"/>
    <cellStyle name="40% - Accent2 7 2 5" xfId="29033" xr:uid="{15D2007C-0CF5-4096-B79A-71CDC9A0CEF4}"/>
    <cellStyle name="40% - Accent2 7 3" xfId="5801" xr:uid="{00000000-0005-0000-0000-0000E90E0000}"/>
    <cellStyle name="40% - Accent2 7 3 2" xfId="22671" xr:uid="{00000000-0005-0000-0000-0000EA0E0000}"/>
    <cellStyle name="40% - Accent2 7 3 2 2" xfId="39539" xr:uid="{51333F17-754C-4DAB-B272-6242A153DB86}"/>
    <cellStyle name="40% - Accent2 7 3 3" xfId="14236" xr:uid="{00000000-0005-0000-0000-0000EB0E0000}"/>
    <cellStyle name="40% - Accent2 7 3 4" xfId="31105" xr:uid="{EE247E4E-54BC-4837-99D6-E9C6A1031E60}"/>
    <cellStyle name="40% - Accent2 7 4" xfId="18453" xr:uid="{00000000-0005-0000-0000-0000EC0E0000}"/>
    <cellStyle name="40% - Accent2 7 4 2" xfId="35322" xr:uid="{E0B23089-95F2-4C7D-8332-B065BDCB0BE3}"/>
    <cellStyle name="40% - Accent2 7 5" xfId="10018" xr:uid="{00000000-0005-0000-0000-0000ED0E0000}"/>
    <cellStyle name="40% - Accent2 7 6" xfId="26888" xr:uid="{328953F9-8B06-48DC-93CF-8A94E4D9C726}"/>
    <cellStyle name="40% - Accent2 8" xfId="1907" xr:uid="{00000000-0005-0000-0000-0000EE0E0000}"/>
    <cellStyle name="40% - Accent2 8 2" xfId="4136" xr:uid="{00000000-0005-0000-0000-0000EF0E0000}"/>
    <cellStyle name="40% - Accent2 8 2 2" xfId="8359" xr:uid="{00000000-0005-0000-0000-0000F00E0000}"/>
    <cellStyle name="40% - Accent2 8 2 2 2" xfId="25229" xr:uid="{00000000-0005-0000-0000-0000F10E0000}"/>
    <cellStyle name="40% - Accent2 8 2 2 2 2" xfId="42097" xr:uid="{53892BB5-C0F9-425B-8455-12277E132C48}"/>
    <cellStyle name="40% - Accent2 8 2 2 3" xfId="16794" xr:uid="{00000000-0005-0000-0000-0000F20E0000}"/>
    <cellStyle name="40% - Accent2 8 2 2 4" xfId="33663" xr:uid="{BB7234DE-46D0-40DA-A982-12A34AF71F02}"/>
    <cellStyle name="40% - Accent2 8 2 3" xfId="21011" xr:uid="{00000000-0005-0000-0000-0000F30E0000}"/>
    <cellStyle name="40% - Accent2 8 2 3 2" xfId="37880" xr:uid="{6C851DFC-4FD8-4144-9B48-F6C9F758A0A5}"/>
    <cellStyle name="40% - Accent2 8 2 4" xfId="12576" xr:uid="{00000000-0005-0000-0000-0000F40E0000}"/>
    <cellStyle name="40% - Accent2 8 2 5" xfId="29446" xr:uid="{7EE32D29-E907-4ED5-92D5-B67FBCB2A129}"/>
    <cellStyle name="40% - Accent2 8 3" xfId="6214" xr:uid="{00000000-0005-0000-0000-0000F50E0000}"/>
    <cellStyle name="40% - Accent2 8 3 2" xfId="23084" xr:uid="{00000000-0005-0000-0000-0000F60E0000}"/>
    <cellStyle name="40% - Accent2 8 3 2 2" xfId="39952" xr:uid="{059F0980-14B2-4C6D-BD0B-8C42857E001A}"/>
    <cellStyle name="40% - Accent2 8 3 3" xfId="14649" xr:uid="{00000000-0005-0000-0000-0000F70E0000}"/>
    <cellStyle name="40% - Accent2 8 3 4" xfId="31518" xr:uid="{1D1C48D8-14AB-4CA6-8859-6C4D26586F25}"/>
    <cellStyle name="40% - Accent2 8 4" xfId="18866" xr:uid="{00000000-0005-0000-0000-0000F80E0000}"/>
    <cellStyle name="40% - Accent2 8 4 2" xfId="35735" xr:uid="{D584E64F-9887-4910-87C7-2ECC41DC0614}"/>
    <cellStyle name="40% - Accent2 8 5" xfId="10431" xr:uid="{00000000-0005-0000-0000-0000F90E0000}"/>
    <cellStyle name="40% - Accent2 8 6" xfId="27301" xr:uid="{54A657E1-55F7-4A69-BF0B-9EF46D23C48F}"/>
    <cellStyle name="40% - Accent2 9" xfId="2320" xr:uid="{00000000-0005-0000-0000-0000FA0E0000}"/>
    <cellStyle name="40% - Accent2 9 2" xfId="6627" xr:uid="{00000000-0005-0000-0000-0000FB0E0000}"/>
    <cellStyle name="40% - Accent2 9 2 2" xfId="23497" xr:uid="{00000000-0005-0000-0000-0000FC0E0000}"/>
    <cellStyle name="40% - Accent2 9 2 2 2" xfId="40365" xr:uid="{7D102B5B-EF22-4D1C-B3FF-8E4481DF0C80}"/>
    <cellStyle name="40% - Accent2 9 2 3" xfId="15062" xr:uid="{00000000-0005-0000-0000-0000FD0E0000}"/>
    <cellStyle name="40% - Accent2 9 2 4" xfId="31931" xr:uid="{B14D5C47-C113-4E9F-BDED-2DA3289BDE9F}"/>
    <cellStyle name="40% - Accent2 9 3" xfId="19279" xr:uid="{00000000-0005-0000-0000-0000FE0E0000}"/>
    <cellStyle name="40% - Accent2 9 3 2" xfId="36148" xr:uid="{2882B0D2-BF39-4FE8-9388-0C687502111C}"/>
    <cellStyle name="40% - Accent2 9 4" xfId="10844" xr:uid="{00000000-0005-0000-0000-0000FF0E0000}"/>
    <cellStyle name="40% - Accent2 9 5" xfId="27714" xr:uid="{22C1A8A5-25C1-4F0D-9187-7CA90973561E}"/>
    <cellStyle name="40% - Accent3" xfId="65" builtinId="39" customBuiltin="1"/>
    <cellStyle name="40% - Accent3 10" xfId="4569" xr:uid="{00000000-0005-0000-0000-0000010F0000}"/>
    <cellStyle name="40% - Accent3 10 2" xfId="21439" xr:uid="{00000000-0005-0000-0000-0000020F0000}"/>
    <cellStyle name="40% - Accent3 10 2 2" xfId="38307" xr:uid="{D8762737-CBA6-4B9C-8DA3-4522438E219C}"/>
    <cellStyle name="40% - Accent3 10 3" xfId="13004" xr:uid="{00000000-0005-0000-0000-0000030F0000}"/>
    <cellStyle name="40% - Accent3 10 4" xfId="29873" xr:uid="{26AB3B28-0919-452C-92DC-821E1A4383AC}"/>
    <cellStyle name="40% - Accent3 11" xfId="17221" xr:uid="{00000000-0005-0000-0000-0000040F0000}"/>
    <cellStyle name="40% - Accent3 11 2" xfId="34090" xr:uid="{1EF38EE7-25A2-419B-84B1-F0DD0CBDC97D}"/>
    <cellStyle name="40% - Accent3 12" xfId="8786" xr:uid="{00000000-0005-0000-0000-0000050F0000}"/>
    <cellStyle name="40% - Accent3 13" xfId="25656" xr:uid="{411C9DC5-8CE8-4D72-AF05-855289C6CE48}"/>
    <cellStyle name="40% - Accent3 2" xfId="66" xr:uid="{00000000-0005-0000-0000-0000060F0000}"/>
    <cellStyle name="40% - Accent3 2 10" xfId="17222" xr:uid="{00000000-0005-0000-0000-0000070F0000}"/>
    <cellStyle name="40% - Accent3 2 10 2" xfId="34091" xr:uid="{16F8D153-EFE9-4B6D-8348-813CBC46BDDE}"/>
    <cellStyle name="40% - Accent3 2 11" xfId="8787" xr:uid="{00000000-0005-0000-0000-0000080F0000}"/>
    <cellStyle name="40% - Accent3 2 12" xfId="25657" xr:uid="{9A4A023E-D00A-45FB-BCC1-95E24B94C477}"/>
    <cellStyle name="40% - Accent3 2 2" xfId="67" xr:uid="{00000000-0005-0000-0000-0000090F0000}"/>
    <cellStyle name="40% - Accent3 2 2 10" xfId="8788" xr:uid="{00000000-0005-0000-0000-00000A0F0000}"/>
    <cellStyle name="40% - Accent3 2 2 11" xfId="25658" xr:uid="{C8D3AF8C-854C-416F-9067-63517E1CA8E0}"/>
    <cellStyle name="40% - Accent3 2 2 2" xfId="68" xr:uid="{00000000-0005-0000-0000-00000B0F0000}"/>
    <cellStyle name="40% - Accent3 2 2 2 10" xfId="25659" xr:uid="{54EAF42E-06AE-4ADC-8DBB-67776A9C5F1D}"/>
    <cellStyle name="40% - Accent3 2 2 2 2" xfId="637" xr:uid="{00000000-0005-0000-0000-00000C0F0000}"/>
    <cellStyle name="40% - Accent3 2 2 2 2 2" xfId="2908" xr:uid="{00000000-0005-0000-0000-00000D0F0000}"/>
    <cellStyle name="40% - Accent3 2 2 2 2 2 2" xfId="7131" xr:uid="{00000000-0005-0000-0000-00000E0F0000}"/>
    <cellStyle name="40% - Accent3 2 2 2 2 2 2 2" xfId="24001" xr:uid="{00000000-0005-0000-0000-00000F0F0000}"/>
    <cellStyle name="40% - Accent3 2 2 2 2 2 2 2 2" xfId="40869" xr:uid="{08A721D0-E654-4E0A-8FAA-39A2B168C74B}"/>
    <cellStyle name="40% - Accent3 2 2 2 2 2 2 3" xfId="15566" xr:uid="{00000000-0005-0000-0000-0000100F0000}"/>
    <cellStyle name="40% - Accent3 2 2 2 2 2 2 4" xfId="32435" xr:uid="{9F611C8E-23FF-4690-8479-E00268E532FE}"/>
    <cellStyle name="40% - Accent3 2 2 2 2 2 3" xfId="19783" xr:uid="{00000000-0005-0000-0000-0000110F0000}"/>
    <cellStyle name="40% - Accent3 2 2 2 2 2 3 2" xfId="36652" xr:uid="{BB1EC2B9-9550-4A89-A0C9-CC3BD731A8E5}"/>
    <cellStyle name="40% - Accent3 2 2 2 2 2 4" xfId="11348" xr:uid="{00000000-0005-0000-0000-0000120F0000}"/>
    <cellStyle name="40% - Accent3 2 2 2 2 2 5" xfId="28218" xr:uid="{460EB376-CDD2-4E3A-B75D-CE41B996667B}"/>
    <cellStyle name="40% - Accent3 2 2 2 2 3" xfId="4986" xr:uid="{00000000-0005-0000-0000-0000130F0000}"/>
    <cellStyle name="40% - Accent3 2 2 2 2 3 2" xfId="21856" xr:uid="{00000000-0005-0000-0000-0000140F0000}"/>
    <cellStyle name="40% - Accent3 2 2 2 2 3 2 2" xfId="38724" xr:uid="{A11AC706-BFE7-4B44-931D-AFD2C3184803}"/>
    <cellStyle name="40% - Accent3 2 2 2 2 3 3" xfId="13421" xr:uid="{00000000-0005-0000-0000-0000150F0000}"/>
    <cellStyle name="40% - Accent3 2 2 2 2 3 4" xfId="30290" xr:uid="{9CCB0467-626C-4460-8234-DBF0B24E7A3C}"/>
    <cellStyle name="40% - Accent3 2 2 2 2 4" xfId="17638" xr:uid="{00000000-0005-0000-0000-0000160F0000}"/>
    <cellStyle name="40% - Accent3 2 2 2 2 4 2" xfId="34507" xr:uid="{D77DCF7C-D40E-4A01-9615-3204760CE1E2}"/>
    <cellStyle name="40% - Accent3 2 2 2 2 5" xfId="9203" xr:uid="{00000000-0005-0000-0000-0000170F0000}"/>
    <cellStyle name="40% - Accent3 2 2 2 2 6" xfId="26073" xr:uid="{7B2C50EC-1FEE-46AF-8DBD-092F75B2F324}"/>
    <cellStyle name="40% - Accent3 2 2 2 3" xfId="1090" xr:uid="{00000000-0005-0000-0000-0000180F0000}"/>
    <cellStyle name="40% - Accent3 2 2 2 3 2" xfId="3321" xr:uid="{00000000-0005-0000-0000-0000190F0000}"/>
    <cellStyle name="40% - Accent3 2 2 2 3 2 2" xfId="7544" xr:uid="{00000000-0005-0000-0000-00001A0F0000}"/>
    <cellStyle name="40% - Accent3 2 2 2 3 2 2 2" xfId="24414" xr:uid="{00000000-0005-0000-0000-00001B0F0000}"/>
    <cellStyle name="40% - Accent3 2 2 2 3 2 2 2 2" xfId="41282" xr:uid="{C579FD7E-43EA-4B83-9FF9-55546BC20200}"/>
    <cellStyle name="40% - Accent3 2 2 2 3 2 2 3" xfId="15979" xr:uid="{00000000-0005-0000-0000-00001C0F0000}"/>
    <cellStyle name="40% - Accent3 2 2 2 3 2 2 4" xfId="32848" xr:uid="{221E3119-C024-4B85-96E1-75731265132F}"/>
    <cellStyle name="40% - Accent3 2 2 2 3 2 3" xfId="20196" xr:uid="{00000000-0005-0000-0000-00001D0F0000}"/>
    <cellStyle name="40% - Accent3 2 2 2 3 2 3 2" xfId="37065" xr:uid="{BEB5832A-31A2-4D27-8022-E68FD3CB6FF3}"/>
    <cellStyle name="40% - Accent3 2 2 2 3 2 4" xfId="11761" xr:uid="{00000000-0005-0000-0000-00001E0F0000}"/>
    <cellStyle name="40% - Accent3 2 2 2 3 2 5" xfId="28631" xr:uid="{18C0562E-B0C0-41BF-B82F-57615AE7B6A2}"/>
    <cellStyle name="40% - Accent3 2 2 2 3 3" xfId="5399" xr:uid="{00000000-0005-0000-0000-00001F0F0000}"/>
    <cellStyle name="40% - Accent3 2 2 2 3 3 2" xfId="22269" xr:uid="{00000000-0005-0000-0000-0000200F0000}"/>
    <cellStyle name="40% - Accent3 2 2 2 3 3 2 2" xfId="39137" xr:uid="{61C917A9-942B-45ED-815A-B247C14FE31D}"/>
    <cellStyle name="40% - Accent3 2 2 2 3 3 3" xfId="13834" xr:uid="{00000000-0005-0000-0000-0000210F0000}"/>
    <cellStyle name="40% - Accent3 2 2 2 3 3 4" xfId="30703" xr:uid="{9B7F8594-EB95-4556-9FBB-4C2486AF34DD}"/>
    <cellStyle name="40% - Accent3 2 2 2 3 4" xfId="18051" xr:uid="{00000000-0005-0000-0000-0000220F0000}"/>
    <cellStyle name="40% - Accent3 2 2 2 3 4 2" xfId="34920" xr:uid="{08565EF8-447D-4455-9473-77F260655624}"/>
    <cellStyle name="40% - Accent3 2 2 2 3 5" xfId="9616" xr:uid="{00000000-0005-0000-0000-0000230F0000}"/>
    <cellStyle name="40% - Accent3 2 2 2 3 6" xfId="26486" xr:uid="{0627B3F8-4258-4DEA-9F0C-29AB574C047D}"/>
    <cellStyle name="40% - Accent3 2 2 2 4" xfId="1504" xr:uid="{00000000-0005-0000-0000-0000240F0000}"/>
    <cellStyle name="40% - Accent3 2 2 2 4 2" xfId="3734" xr:uid="{00000000-0005-0000-0000-0000250F0000}"/>
    <cellStyle name="40% - Accent3 2 2 2 4 2 2" xfId="7957" xr:uid="{00000000-0005-0000-0000-0000260F0000}"/>
    <cellStyle name="40% - Accent3 2 2 2 4 2 2 2" xfId="24827" xr:uid="{00000000-0005-0000-0000-0000270F0000}"/>
    <cellStyle name="40% - Accent3 2 2 2 4 2 2 2 2" xfId="41695" xr:uid="{4F832260-D59E-453E-8BB4-2B7FADB235C7}"/>
    <cellStyle name="40% - Accent3 2 2 2 4 2 2 3" xfId="16392" xr:uid="{00000000-0005-0000-0000-0000280F0000}"/>
    <cellStyle name="40% - Accent3 2 2 2 4 2 2 4" xfId="33261" xr:uid="{7FA6E4D5-320A-4EBE-A99B-2B0DD19D37FD}"/>
    <cellStyle name="40% - Accent3 2 2 2 4 2 3" xfId="20609" xr:uid="{00000000-0005-0000-0000-0000290F0000}"/>
    <cellStyle name="40% - Accent3 2 2 2 4 2 3 2" xfId="37478" xr:uid="{DA5F878F-B115-47D7-8AC2-55218BC1721B}"/>
    <cellStyle name="40% - Accent3 2 2 2 4 2 4" xfId="12174" xr:uid="{00000000-0005-0000-0000-00002A0F0000}"/>
    <cellStyle name="40% - Accent3 2 2 2 4 2 5" xfId="29044" xr:uid="{EAA695BB-7867-4004-AADA-3195EDCD73F0}"/>
    <cellStyle name="40% - Accent3 2 2 2 4 3" xfId="5812" xr:uid="{00000000-0005-0000-0000-00002B0F0000}"/>
    <cellStyle name="40% - Accent3 2 2 2 4 3 2" xfId="22682" xr:uid="{00000000-0005-0000-0000-00002C0F0000}"/>
    <cellStyle name="40% - Accent3 2 2 2 4 3 2 2" xfId="39550" xr:uid="{2FE24D59-7D90-4B0E-82EF-78DCEDBBD6BE}"/>
    <cellStyle name="40% - Accent3 2 2 2 4 3 3" xfId="14247" xr:uid="{00000000-0005-0000-0000-00002D0F0000}"/>
    <cellStyle name="40% - Accent3 2 2 2 4 3 4" xfId="31116" xr:uid="{ADC15432-FF67-4F4E-9C8D-12EF947382D3}"/>
    <cellStyle name="40% - Accent3 2 2 2 4 4" xfId="18464" xr:uid="{00000000-0005-0000-0000-00002E0F0000}"/>
    <cellStyle name="40% - Accent3 2 2 2 4 4 2" xfId="35333" xr:uid="{500AD9F6-298D-40B0-9875-88ECA32DB8BA}"/>
    <cellStyle name="40% - Accent3 2 2 2 4 5" xfId="10029" xr:uid="{00000000-0005-0000-0000-00002F0F0000}"/>
    <cellStyle name="40% - Accent3 2 2 2 4 6" xfId="26899" xr:uid="{BEC5B057-58DB-470C-88EA-81AE9E5F60EA}"/>
    <cellStyle name="40% - Accent3 2 2 2 5" xfId="1918" xr:uid="{00000000-0005-0000-0000-0000300F0000}"/>
    <cellStyle name="40% - Accent3 2 2 2 5 2" xfId="4147" xr:uid="{00000000-0005-0000-0000-0000310F0000}"/>
    <cellStyle name="40% - Accent3 2 2 2 5 2 2" xfId="8370" xr:uid="{00000000-0005-0000-0000-0000320F0000}"/>
    <cellStyle name="40% - Accent3 2 2 2 5 2 2 2" xfId="25240" xr:uid="{00000000-0005-0000-0000-0000330F0000}"/>
    <cellStyle name="40% - Accent3 2 2 2 5 2 2 2 2" xfId="42108" xr:uid="{0C658C24-6FA8-4164-863F-420375A0DC34}"/>
    <cellStyle name="40% - Accent3 2 2 2 5 2 2 3" xfId="16805" xr:uid="{00000000-0005-0000-0000-0000340F0000}"/>
    <cellStyle name="40% - Accent3 2 2 2 5 2 2 4" xfId="33674" xr:uid="{34B0EE69-BD1B-4522-BBDA-2C46F6E0F24B}"/>
    <cellStyle name="40% - Accent3 2 2 2 5 2 3" xfId="21022" xr:uid="{00000000-0005-0000-0000-0000350F0000}"/>
    <cellStyle name="40% - Accent3 2 2 2 5 2 3 2" xfId="37891" xr:uid="{8B6E1A08-1CDC-42CA-BC07-E9200DEAA463}"/>
    <cellStyle name="40% - Accent3 2 2 2 5 2 4" xfId="12587" xr:uid="{00000000-0005-0000-0000-0000360F0000}"/>
    <cellStyle name="40% - Accent3 2 2 2 5 2 5" xfId="29457" xr:uid="{69165326-B579-4C61-9687-7356F07C95DA}"/>
    <cellStyle name="40% - Accent3 2 2 2 5 3" xfId="6225" xr:uid="{00000000-0005-0000-0000-0000370F0000}"/>
    <cellStyle name="40% - Accent3 2 2 2 5 3 2" xfId="23095" xr:uid="{00000000-0005-0000-0000-0000380F0000}"/>
    <cellStyle name="40% - Accent3 2 2 2 5 3 2 2" xfId="39963" xr:uid="{4C322F0A-A9A2-4485-ADBF-FADCF1BDE425}"/>
    <cellStyle name="40% - Accent3 2 2 2 5 3 3" xfId="14660" xr:uid="{00000000-0005-0000-0000-0000390F0000}"/>
    <cellStyle name="40% - Accent3 2 2 2 5 3 4" xfId="31529" xr:uid="{0B96D5BD-3E80-47A9-B7E6-97BEAC435871}"/>
    <cellStyle name="40% - Accent3 2 2 2 5 4" xfId="18877" xr:uid="{00000000-0005-0000-0000-00003A0F0000}"/>
    <cellStyle name="40% - Accent3 2 2 2 5 4 2" xfId="35746" xr:uid="{0455724B-74B8-4755-BB85-FCF7612AEF13}"/>
    <cellStyle name="40% - Accent3 2 2 2 5 5" xfId="10442" xr:uid="{00000000-0005-0000-0000-00003B0F0000}"/>
    <cellStyle name="40% - Accent3 2 2 2 5 6" xfId="27312" xr:uid="{59042989-AB6F-42E5-8DD0-77693B4FBC13}"/>
    <cellStyle name="40% - Accent3 2 2 2 6" xfId="2331" xr:uid="{00000000-0005-0000-0000-00003C0F0000}"/>
    <cellStyle name="40% - Accent3 2 2 2 6 2" xfId="6638" xr:uid="{00000000-0005-0000-0000-00003D0F0000}"/>
    <cellStyle name="40% - Accent3 2 2 2 6 2 2" xfId="23508" xr:uid="{00000000-0005-0000-0000-00003E0F0000}"/>
    <cellStyle name="40% - Accent3 2 2 2 6 2 2 2" xfId="40376" xr:uid="{B894DD78-0B2B-46B7-A00C-FB0ADA94EEB4}"/>
    <cellStyle name="40% - Accent3 2 2 2 6 2 3" xfId="15073" xr:uid="{00000000-0005-0000-0000-00003F0F0000}"/>
    <cellStyle name="40% - Accent3 2 2 2 6 2 4" xfId="31942" xr:uid="{04B68C78-E60A-405C-A05B-E68136602E49}"/>
    <cellStyle name="40% - Accent3 2 2 2 6 3" xfId="19290" xr:uid="{00000000-0005-0000-0000-0000400F0000}"/>
    <cellStyle name="40% - Accent3 2 2 2 6 3 2" xfId="36159" xr:uid="{19E7EA02-B79A-4D35-BDB4-D1271E0C93A9}"/>
    <cellStyle name="40% - Accent3 2 2 2 6 4" xfId="10855" xr:uid="{00000000-0005-0000-0000-0000410F0000}"/>
    <cellStyle name="40% - Accent3 2 2 2 6 5" xfId="27725" xr:uid="{785F0EF1-092F-4128-AD4E-AF2846F5F972}"/>
    <cellStyle name="40% - Accent3 2 2 2 7" xfId="4572" xr:uid="{00000000-0005-0000-0000-0000420F0000}"/>
    <cellStyle name="40% - Accent3 2 2 2 7 2" xfId="21442" xr:uid="{00000000-0005-0000-0000-0000430F0000}"/>
    <cellStyle name="40% - Accent3 2 2 2 7 2 2" xfId="38310" xr:uid="{7B4A7C58-07E0-40EA-A017-78A2DB062287}"/>
    <cellStyle name="40% - Accent3 2 2 2 7 3" xfId="13007" xr:uid="{00000000-0005-0000-0000-0000440F0000}"/>
    <cellStyle name="40% - Accent3 2 2 2 7 4" xfId="29876" xr:uid="{05668902-1540-4071-9C33-274350EF9F37}"/>
    <cellStyle name="40% - Accent3 2 2 2 8" xfId="17224" xr:uid="{00000000-0005-0000-0000-0000450F0000}"/>
    <cellStyle name="40% - Accent3 2 2 2 8 2" xfId="34093" xr:uid="{CC58E649-6F6E-4A16-94FD-83ED0C9B1C98}"/>
    <cellStyle name="40% - Accent3 2 2 2 9" xfId="8789" xr:uid="{00000000-0005-0000-0000-0000460F0000}"/>
    <cellStyle name="40% - Accent3 2 2 3" xfId="636" xr:uid="{00000000-0005-0000-0000-0000470F0000}"/>
    <cellStyle name="40% - Accent3 2 2 3 2" xfId="2907" xr:uid="{00000000-0005-0000-0000-0000480F0000}"/>
    <cellStyle name="40% - Accent3 2 2 3 2 2" xfId="7130" xr:uid="{00000000-0005-0000-0000-0000490F0000}"/>
    <cellStyle name="40% - Accent3 2 2 3 2 2 2" xfId="24000" xr:uid="{00000000-0005-0000-0000-00004A0F0000}"/>
    <cellStyle name="40% - Accent3 2 2 3 2 2 2 2" xfId="40868" xr:uid="{7EFC5C49-8B8E-4696-BA66-C148857FF84D}"/>
    <cellStyle name="40% - Accent3 2 2 3 2 2 3" xfId="15565" xr:uid="{00000000-0005-0000-0000-00004B0F0000}"/>
    <cellStyle name="40% - Accent3 2 2 3 2 2 4" xfId="32434" xr:uid="{D51AFA9A-72AB-47FC-9A80-28B854C3F987}"/>
    <cellStyle name="40% - Accent3 2 2 3 2 3" xfId="19782" xr:uid="{00000000-0005-0000-0000-00004C0F0000}"/>
    <cellStyle name="40% - Accent3 2 2 3 2 3 2" xfId="36651" xr:uid="{F764789F-1DE1-4D13-9F5E-AE8F605267E5}"/>
    <cellStyle name="40% - Accent3 2 2 3 2 4" xfId="11347" xr:uid="{00000000-0005-0000-0000-00004D0F0000}"/>
    <cellStyle name="40% - Accent3 2 2 3 2 5" xfId="28217" xr:uid="{59A59429-02AF-436F-8737-CFC03983DA76}"/>
    <cellStyle name="40% - Accent3 2 2 3 3" xfId="4985" xr:uid="{00000000-0005-0000-0000-00004E0F0000}"/>
    <cellStyle name="40% - Accent3 2 2 3 3 2" xfId="21855" xr:uid="{00000000-0005-0000-0000-00004F0F0000}"/>
    <cellStyle name="40% - Accent3 2 2 3 3 2 2" xfId="38723" xr:uid="{D76DC21F-7780-4E5C-9EF1-CA603118E4BF}"/>
    <cellStyle name="40% - Accent3 2 2 3 3 3" xfId="13420" xr:uid="{00000000-0005-0000-0000-0000500F0000}"/>
    <cellStyle name="40% - Accent3 2 2 3 3 4" xfId="30289" xr:uid="{B5CBABBC-CB6B-4F39-BC11-BFC873F59675}"/>
    <cellStyle name="40% - Accent3 2 2 3 4" xfId="17637" xr:uid="{00000000-0005-0000-0000-0000510F0000}"/>
    <cellStyle name="40% - Accent3 2 2 3 4 2" xfId="34506" xr:uid="{18EB50E6-BD6A-40F2-9A88-24F2EF0448F0}"/>
    <cellStyle name="40% - Accent3 2 2 3 5" xfId="9202" xr:uid="{00000000-0005-0000-0000-0000520F0000}"/>
    <cellStyle name="40% - Accent3 2 2 3 6" xfId="26072" xr:uid="{C427EDBF-2B1F-40BF-BF11-57814505E860}"/>
    <cellStyle name="40% - Accent3 2 2 4" xfId="1089" xr:uid="{00000000-0005-0000-0000-0000530F0000}"/>
    <cellStyle name="40% - Accent3 2 2 4 2" xfId="3320" xr:uid="{00000000-0005-0000-0000-0000540F0000}"/>
    <cellStyle name="40% - Accent3 2 2 4 2 2" xfId="7543" xr:uid="{00000000-0005-0000-0000-0000550F0000}"/>
    <cellStyle name="40% - Accent3 2 2 4 2 2 2" xfId="24413" xr:uid="{00000000-0005-0000-0000-0000560F0000}"/>
    <cellStyle name="40% - Accent3 2 2 4 2 2 2 2" xfId="41281" xr:uid="{54DF5558-470F-4847-AB6F-5404EE8F93C4}"/>
    <cellStyle name="40% - Accent3 2 2 4 2 2 3" xfId="15978" xr:uid="{00000000-0005-0000-0000-0000570F0000}"/>
    <cellStyle name="40% - Accent3 2 2 4 2 2 4" xfId="32847" xr:uid="{F4E24FF6-65D3-4805-8172-A78A86FF6846}"/>
    <cellStyle name="40% - Accent3 2 2 4 2 3" xfId="20195" xr:uid="{00000000-0005-0000-0000-0000580F0000}"/>
    <cellStyle name="40% - Accent3 2 2 4 2 3 2" xfId="37064" xr:uid="{5BB2789B-D3D8-4504-8B03-6752A8A2A337}"/>
    <cellStyle name="40% - Accent3 2 2 4 2 4" xfId="11760" xr:uid="{00000000-0005-0000-0000-0000590F0000}"/>
    <cellStyle name="40% - Accent3 2 2 4 2 5" xfId="28630" xr:uid="{4BA8E749-62E9-46BC-8FB0-C2E2707A6173}"/>
    <cellStyle name="40% - Accent3 2 2 4 3" xfId="5398" xr:uid="{00000000-0005-0000-0000-00005A0F0000}"/>
    <cellStyle name="40% - Accent3 2 2 4 3 2" xfId="22268" xr:uid="{00000000-0005-0000-0000-00005B0F0000}"/>
    <cellStyle name="40% - Accent3 2 2 4 3 2 2" xfId="39136" xr:uid="{7AF0A86F-3941-44DF-937D-2EFBC18B414E}"/>
    <cellStyle name="40% - Accent3 2 2 4 3 3" xfId="13833" xr:uid="{00000000-0005-0000-0000-00005C0F0000}"/>
    <cellStyle name="40% - Accent3 2 2 4 3 4" xfId="30702" xr:uid="{33924741-A6A5-4A17-8CB0-489A82A8C258}"/>
    <cellStyle name="40% - Accent3 2 2 4 4" xfId="18050" xr:uid="{00000000-0005-0000-0000-00005D0F0000}"/>
    <cellStyle name="40% - Accent3 2 2 4 4 2" xfId="34919" xr:uid="{E7A7875F-FF64-49AC-8A85-529206C96F53}"/>
    <cellStyle name="40% - Accent3 2 2 4 5" xfId="9615" xr:uid="{00000000-0005-0000-0000-00005E0F0000}"/>
    <cellStyle name="40% - Accent3 2 2 4 6" xfId="26485" xr:uid="{ED3C377B-2064-46C0-B5A9-C991AEF982A7}"/>
    <cellStyle name="40% - Accent3 2 2 5" xfId="1503" xr:uid="{00000000-0005-0000-0000-00005F0F0000}"/>
    <cellStyle name="40% - Accent3 2 2 5 2" xfId="3733" xr:uid="{00000000-0005-0000-0000-0000600F0000}"/>
    <cellStyle name="40% - Accent3 2 2 5 2 2" xfId="7956" xr:uid="{00000000-0005-0000-0000-0000610F0000}"/>
    <cellStyle name="40% - Accent3 2 2 5 2 2 2" xfId="24826" xr:uid="{00000000-0005-0000-0000-0000620F0000}"/>
    <cellStyle name="40% - Accent3 2 2 5 2 2 2 2" xfId="41694" xr:uid="{412CB242-35AC-4F04-A809-BAE19D604CF6}"/>
    <cellStyle name="40% - Accent3 2 2 5 2 2 3" xfId="16391" xr:uid="{00000000-0005-0000-0000-0000630F0000}"/>
    <cellStyle name="40% - Accent3 2 2 5 2 2 4" xfId="33260" xr:uid="{D20C0071-2DF5-4196-8BE5-78C824FD325B}"/>
    <cellStyle name="40% - Accent3 2 2 5 2 3" xfId="20608" xr:uid="{00000000-0005-0000-0000-0000640F0000}"/>
    <cellStyle name="40% - Accent3 2 2 5 2 3 2" xfId="37477" xr:uid="{D20CAD3F-972D-43F8-9B92-6B3958FE092E}"/>
    <cellStyle name="40% - Accent3 2 2 5 2 4" xfId="12173" xr:uid="{00000000-0005-0000-0000-0000650F0000}"/>
    <cellStyle name="40% - Accent3 2 2 5 2 5" xfId="29043" xr:uid="{EC2810EA-2693-4517-8D7F-75A65E3CBCCF}"/>
    <cellStyle name="40% - Accent3 2 2 5 3" xfId="5811" xr:uid="{00000000-0005-0000-0000-0000660F0000}"/>
    <cellStyle name="40% - Accent3 2 2 5 3 2" xfId="22681" xr:uid="{00000000-0005-0000-0000-0000670F0000}"/>
    <cellStyle name="40% - Accent3 2 2 5 3 2 2" xfId="39549" xr:uid="{CA13A1A5-F241-48C3-A86F-4E88FBCB4147}"/>
    <cellStyle name="40% - Accent3 2 2 5 3 3" xfId="14246" xr:uid="{00000000-0005-0000-0000-0000680F0000}"/>
    <cellStyle name="40% - Accent3 2 2 5 3 4" xfId="31115" xr:uid="{FC6535B8-60D5-4FF4-8E4D-FC0F63F4873B}"/>
    <cellStyle name="40% - Accent3 2 2 5 4" xfId="18463" xr:uid="{00000000-0005-0000-0000-0000690F0000}"/>
    <cellStyle name="40% - Accent3 2 2 5 4 2" xfId="35332" xr:uid="{661C71FD-A7BC-4871-80DE-F4D727B4813A}"/>
    <cellStyle name="40% - Accent3 2 2 5 5" xfId="10028" xr:uid="{00000000-0005-0000-0000-00006A0F0000}"/>
    <cellStyle name="40% - Accent3 2 2 5 6" xfId="26898" xr:uid="{C71E0FDB-FAA3-4F62-BA64-5D7A09F08811}"/>
    <cellStyle name="40% - Accent3 2 2 6" xfId="1917" xr:uid="{00000000-0005-0000-0000-00006B0F0000}"/>
    <cellStyle name="40% - Accent3 2 2 6 2" xfId="4146" xr:uid="{00000000-0005-0000-0000-00006C0F0000}"/>
    <cellStyle name="40% - Accent3 2 2 6 2 2" xfId="8369" xr:uid="{00000000-0005-0000-0000-00006D0F0000}"/>
    <cellStyle name="40% - Accent3 2 2 6 2 2 2" xfId="25239" xr:uid="{00000000-0005-0000-0000-00006E0F0000}"/>
    <cellStyle name="40% - Accent3 2 2 6 2 2 2 2" xfId="42107" xr:uid="{6DDA81E8-AD2C-49B5-B6D1-374C06C0D5A6}"/>
    <cellStyle name="40% - Accent3 2 2 6 2 2 3" xfId="16804" xr:uid="{00000000-0005-0000-0000-00006F0F0000}"/>
    <cellStyle name="40% - Accent3 2 2 6 2 2 4" xfId="33673" xr:uid="{8C5979F5-BB73-4D16-998A-A1046380D7A1}"/>
    <cellStyle name="40% - Accent3 2 2 6 2 3" xfId="21021" xr:uid="{00000000-0005-0000-0000-0000700F0000}"/>
    <cellStyle name="40% - Accent3 2 2 6 2 3 2" xfId="37890" xr:uid="{06DE71D6-1104-41EF-AF4F-D729743FB633}"/>
    <cellStyle name="40% - Accent3 2 2 6 2 4" xfId="12586" xr:uid="{00000000-0005-0000-0000-0000710F0000}"/>
    <cellStyle name="40% - Accent3 2 2 6 2 5" xfId="29456" xr:uid="{398771A0-1036-443F-858D-EC65468B8967}"/>
    <cellStyle name="40% - Accent3 2 2 6 3" xfId="6224" xr:uid="{00000000-0005-0000-0000-0000720F0000}"/>
    <cellStyle name="40% - Accent3 2 2 6 3 2" xfId="23094" xr:uid="{00000000-0005-0000-0000-0000730F0000}"/>
    <cellStyle name="40% - Accent3 2 2 6 3 2 2" xfId="39962" xr:uid="{2024552C-9AC9-467E-9F2F-685A59B086F9}"/>
    <cellStyle name="40% - Accent3 2 2 6 3 3" xfId="14659" xr:uid="{00000000-0005-0000-0000-0000740F0000}"/>
    <cellStyle name="40% - Accent3 2 2 6 3 4" xfId="31528" xr:uid="{B9858734-B573-45B5-A615-3F47709180C5}"/>
    <cellStyle name="40% - Accent3 2 2 6 4" xfId="18876" xr:uid="{00000000-0005-0000-0000-0000750F0000}"/>
    <cellStyle name="40% - Accent3 2 2 6 4 2" xfId="35745" xr:uid="{7402BC76-075F-4FBA-9AD2-553B568D1D8F}"/>
    <cellStyle name="40% - Accent3 2 2 6 5" xfId="10441" xr:uid="{00000000-0005-0000-0000-0000760F0000}"/>
    <cellStyle name="40% - Accent3 2 2 6 6" xfId="27311" xr:uid="{6075889E-2417-401D-9EB6-6BD2E25A7ACB}"/>
    <cellStyle name="40% - Accent3 2 2 7" xfId="2330" xr:uid="{00000000-0005-0000-0000-0000770F0000}"/>
    <cellStyle name="40% - Accent3 2 2 7 2" xfId="6637" xr:uid="{00000000-0005-0000-0000-0000780F0000}"/>
    <cellStyle name="40% - Accent3 2 2 7 2 2" xfId="23507" xr:uid="{00000000-0005-0000-0000-0000790F0000}"/>
    <cellStyle name="40% - Accent3 2 2 7 2 2 2" xfId="40375" xr:uid="{3B6C526E-57CA-4C13-92D8-D3CBF5DCDA34}"/>
    <cellStyle name="40% - Accent3 2 2 7 2 3" xfId="15072" xr:uid="{00000000-0005-0000-0000-00007A0F0000}"/>
    <cellStyle name="40% - Accent3 2 2 7 2 4" xfId="31941" xr:uid="{A282DCAE-E94E-4665-BB22-64F6A85A2185}"/>
    <cellStyle name="40% - Accent3 2 2 7 3" xfId="19289" xr:uid="{00000000-0005-0000-0000-00007B0F0000}"/>
    <cellStyle name="40% - Accent3 2 2 7 3 2" xfId="36158" xr:uid="{FC77901F-1CB4-4CC7-879F-929BC302D2ED}"/>
    <cellStyle name="40% - Accent3 2 2 7 4" xfId="10854" xr:uid="{00000000-0005-0000-0000-00007C0F0000}"/>
    <cellStyle name="40% - Accent3 2 2 7 5" xfId="27724" xr:uid="{9A9289ED-09B7-48AB-978E-6D1D14FD0651}"/>
    <cellStyle name="40% - Accent3 2 2 8" xfId="4571" xr:uid="{00000000-0005-0000-0000-00007D0F0000}"/>
    <cellStyle name="40% - Accent3 2 2 8 2" xfId="21441" xr:uid="{00000000-0005-0000-0000-00007E0F0000}"/>
    <cellStyle name="40% - Accent3 2 2 8 2 2" xfId="38309" xr:uid="{69A70BB5-7625-4F03-89C2-B422486152DF}"/>
    <cellStyle name="40% - Accent3 2 2 8 3" xfId="13006" xr:uid="{00000000-0005-0000-0000-00007F0F0000}"/>
    <cellStyle name="40% - Accent3 2 2 8 4" xfId="29875" xr:uid="{7DF57E18-70A7-4701-840A-9B35B23FE3CF}"/>
    <cellStyle name="40% - Accent3 2 2 9" xfId="17223" xr:uid="{00000000-0005-0000-0000-0000800F0000}"/>
    <cellStyle name="40% - Accent3 2 2 9 2" xfId="34092" xr:uid="{CA39105A-D04F-4D04-B327-C14966E562C8}"/>
    <cellStyle name="40% - Accent3 2 3" xfId="69" xr:uid="{00000000-0005-0000-0000-0000810F0000}"/>
    <cellStyle name="40% - Accent3 2 3 10" xfId="25660" xr:uid="{CD234A67-4ABD-4B69-9C97-75FA64483F5D}"/>
    <cellStyle name="40% - Accent3 2 3 2" xfId="638" xr:uid="{00000000-0005-0000-0000-0000820F0000}"/>
    <cellStyle name="40% - Accent3 2 3 2 2" xfId="2909" xr:uid="{00000000-0005-0000-0000-0000830F0000}"/>
    <cellStyle name="40% - Accent3 2 3 2 2 2" xfId="7132" xr:uid="{00000000-0005-0000-0000-0000840F0000}"/>
    <cellStyle name="40% - Accent3 2 3 2 2 2 2" xfId="24002" xr:uid="{00000000-0005-0000-0000-0000850F0000}"/>
    <cellStyle name="40% - Accent3 2 3 2 2 2 2 2" xfId="40870" xr:uid="{05C46C30-0770-4043-ACD8-D6AFED13F4DA}"/>
    <cellStyle name="40% - Accent3 2 3 2 2 2 3" xfId="15567" xr:uid="{00000000-0005-0000-0000-0000860F0000}"/>
    <cellStyle name="40% - Accent3 2 3 2 2 2 4" xfId="32436" xr:uid="{A6AA1617-086D-4974-BC24-21CF792BFA8A}"/>
    <cellStyle name="40% - Accent3 2 3 2 2 3" xfId="19784" xr:uid="{00000000-0005-0000-0000-0000870F0000}"/>
    <cellStyle name="40% - Accent3 2 3 2 2 3 2" xfId="36653" xr:uid="{5562EB22-A6E3-4A62-A6B7-8BFD280C9EA5}"/>
    <cellStyle name="40% - Accent3 2 3 2 2 4" xfId="11349" xr:uid="{00000000-0005-0000-0000-0000880F0000}"/>
    <cellStyle name="40% - Accent3 2 3 2 2 5" xfId="28219" xr:uid="{2E50AAE2-DF7E-4ABF-AAB7-00658D233C9A}"/>
    <cellStyle name="40% - Accent3 2 3 2 3" xfId="4987" xr:uid="{00000000-0005-0000-0000-0000890F0000}"/>
    <cellStyle name="40% - Accent3 2 3 2 3 2" xfId="21857" xr:uid="{00000000-0005-0000-0000-00008A0F0000}"/>
    <cellStyle name="40% - Accent3 2 3 2 3 2 2" xfId="38725" xr:uid="{0A32F98B-178E-4DD6-A51C-DCD96B35D887}"/>
    <cellStyle name="40% - Accent3 2 3 2 3 3" xfId="13422" xr:uid="{00000000-0005-0000-0000-00008B0F0000}"/>
    <cellStyle name="40% - Accent3 2 3 2 3 4" xfId="30291" xr:uid="{D67F6FFE-FC6F-463B-A6F2-9D2BC46E27D3}"/>
    <cellStyle name="40% - Accent3 2 3 2 4" xfId="17639" xr:uid="{00000000-0005-0000-0000-00008C0F0000}"/>
    <cellStyle name="40% - Accent3 2 3 2 4 2" xfId="34508" xr:uid="{F1BCDEA8-E3C4-46F1-AA9D-0E6CC50E39CA}"/>
    <cellStyle name="40% - Accent3 2 3 2 5" xfId="9204" xr:uid="{00000000-0005-0000-0000-00008D0F0000}"/>
    <cellStyle name="40% - Accent3 2 3 2 6" xfId="26074" xr:uid="{EFFFB9B7-DB50-40A2-A68C-98F05207471A}"/>
    <cellStyle name="40% - Accent3 2 3 3" xfId="1091" xr:uid="{00000000-0005-0000-0000-00008E0F0000}"/>
    <cellStyle name="40% - Accent3 2 3 3 2" xfId="3322" xr:uid="{00000000-0005-0000-0000-00008F0F0000}"/>
    <cellStyle name="40% - Accent3 2 3 3 2 2" xfId="7545" xr:uid="{00000000-0005-0000-0000-0000900F0000}"/>
    <cellStyle name="40% - Accent3 2 3 3 2 2 2" xfId="24415" xr:uid="{00000000-0005-0000-0000-0000910F0000}"/>
    <cellStyle name="40% - Accent3 2 3 3 2 2 2 2" xfId="41283" xr:uid="{53E9BC3B-84EC-47BE-881B-A0DD8DB42E4B}"/>
    <cellStyle name="40% - Accent3 2 3 3 2 2 3" xfId="15980" xr:uid="{00000000-0005-0000-0000-0000920F0000}"/>
    <cellStyle name="40% - Accent3 2 3 3 2 2 4" xfId="32849" xr:uid="{757ED395-6908-47DF-945E-7F428B41B4FB}"/>
    <cellStyle name="40% - Accent3 2 3 3 2 3" xfId="20197" xr:uid="{00000000-0005-0000-0000-0000930F0000}"/>
    <cellStyle name="40% - Accent3 2 3 3 2 3 2" xfId="37066" xr:uid="{2E1D2B42-A968-4415-B362-BACDCCF20D5D}"/>
    <cellStyle name="40% - Accent3 2 3 3 2 4" xfId="11762" xr:uid="{00000000-0005-0000-0000-0000940F0000}"/>
    <cellStyle name="40% - Accent3 2 3 3 2 5" xfId="28632" xr:uid="{229F2FFE-B385-4D74-B394-44A50679B9B9}"/>
    <cellStyle name="40% - Accent3 2 3 3 3" xfId="5400" xr:uid="{00000000-0005-0000-0000-0000950F0000}"/>
    <cellStyle name="40% - Accent3 2 3 3 3 2" xfId="22270" xr:uid="{00000000-0005-0000-0000-0000960F0000}"/>
    <cellStyle name="40% - Accent3 2 3 3 3 2 2" xfId="39138" xr:uid="{180CB37F-84EE-473D-9AEE-CF12C2CD3C45}"/>
    <cellStyle name="40% - Accent3 2 3 3 3 3" xfId="13835" xr:uid="{00000000-0005-0000-0000-0000970F0000}"/>
    <cellStyle name="40% - Accent3 2 3 3 3 4" xfId="30704" xr:uid="{A6B93DCE-EFD2-4A83-914A-8D38E6391EAB}"/>
    <cellStyle name="40% - Accent3 2 3 3 4" xfId="18052" xr:uid="{00000000-0005-0000-0000-0000980F0000}"/>
    <cellStyle name="40% - Accent3 2 3 3 4 2" xfId="34921" xr:uid="{073EBD0C-CE6D-4ACA-A345-3D748B5E99FB}"/>
    <cellStyle name="40% - Accent3 2 3 3 5" xfId="9617" xr:uid="{00000000-0005-0000-0000-0000990F0000}"/>
    <cellStyle name="40% - Accent3 2 3 3 6" xfId="26487" xr:uid="{43CA6270-53C4-4A42-86EB-6B791CEFF227}"/>
    <cellStyle name="40% - Accent3 2 3 4" xfId="1505" xr:uid="{00000000-0005-0000-0000-00009A0F0000}"/>
    <cellStyle name="40% - Accent3 2 3 4 2" xfId="3735" xr:uid="{00000000-0005-0000-0000-00009B0F0000}"/>
    <cellStyle name="40% - Accent3 2 3 4 2 2" xfId="7958" xr:uid="{00000000-0005-0000-0000-00009C0F0000}"/>
    <cellStyle name="40% - Accent3 2 3 4 2 2 2" xfId="24828" xr:uid="{00000000-0005-0000-0000-00009D0F0000}"/>
    <cellStyle name="40% - Accent3 2 3 4 2 2 2 2" xfId="41696" xr:uid="{9E6D0CFE-EEB5-4AB6-A67D-DCB6F8328C5D}"/>
    <cellStyle name="40% - Accent3 2 3 4 2 2 3" xfId="16393" xr:uid="{00000000-0005-0000-0000-00009E0F0000}"/>
    <cellStyle name="40% - Accent3 2 3 4 2 2 4" xfId="33262" xr:uid="{554B9106-8F90-4D3B-BC97-05A87B827C43}"/>
    <cellStyle name="40% - Accent3 2 3 4 2 3" xfId="20610" xr:uid="{00000000-0005-0000-0000-00009F0F0000}"/>
    <cellStyle name="40% - Accent3 2 3 4 2 3 2" xfId="37479" xr:uid="{808452CB-9824-4757-B081-AD270A6F91F0}"/>
    <cellStyle name="40% - Accent3 2 3 4 2 4" xfId="12175" xr:uid="{00000000-0005-0000-0000-0000A00F0000}"/>
    <cellStyle name="40% - Accent3 2 3 4 2 5" xfId="29045" xr:uid="{2E961A09-196A-45B6-B191-69BBF159ECDB}"/>
    <cellStyle name="40% - Accent3 2 3 4 3" xfId="5813" xr:uid="{00000000-0005-0000-0000-0000A10F0000}"/>
    <cellStyle name="40% - Accent3 2 3 4 3 2" xfId="22683" xr:uid="{00000000-0005-0000-0000-0000A20F0000}"/>
    <cellStyle name="40% - Accent3 2 3 4 3 2 2" xfId="39551" xr:uid="{D12F083D-8211-4F57-9C78-32DAD22EBD03}"/>
    <cellStyle name="40% - Accent3 2 3 4 3 3" xfId="14248" xr:uid="{00000000-0005-0000-0000-0000A30F0000}"/>
    <cellStyle name="40% - Accent3 2 3 4 3 4" xfId="31117" xr:uid="{D05A6803-F958-43F0-83BA-1F5D59ACCA7E}"/>
    <cellStyle name="40% - Accent3 2 3 4 4" xfId="18465" xr:uid="{00000000-0005-0000-0000-0000A40F0000}"/>
    <cellStyle name="40% - Accent3 2 3 4 4 2" xfId="35334" xr:uid="{68AF4CB3-E901-4D48-86C0-820DF68B1EEE}"/>
    <cellStyle name="40% - Accent3 2 3 4 5" xfId="10030" xr:uid="{00000000-0005-0000-0000-0000A50F0000}"/>
    <cellStyle name="40% - Accent3 2 3 4 6" xfId="26900" xr:uid="{AA038AD4-0055-409E-AE57-6297F4D6B1F1}"/>
    <cellStyle name="40% - Accent3 2 3 5" xfId="1919" xr:uid="{00000000-0005-0000-0000-0000A60F0000}"/>
    <cellStyle name="40% - Accent3 2 3 5 2" xfId="4148" xr:uid="{00000000-0005-0000-0000-0000A70F0000}"/>
    <cellStyle name="40% - Accent3 2 3 5 2 2" xfId="8371" xr:uid="{00000000-0005-0000-0000-0000A80F0000}"/>
    <cellStyle name="40% - Accent3 2 3 5 2 2 2" xfId="25241" xr:uid="{00000000-0005-0000-0000-0000A90F0000}"/>
    <cellStyle name="40% - Accent3 2 3 5 2 2 2 2" xfId="42109" xr:uid="{F93DFD6C-F181-4B24-B009-9F278FE8C79D}"/>
    <cellStyle name="40% - Accent3 2 3 5 2 2 3" xfId="16806" xr:uid="{00000000-0005-0000-0000-0000AA0F0000}"/>
    <cellStyle name="40% - Accent3 2 3 5 2 2 4" xfId="33675" xr:uid="{FA0D618B-F491-4324-B8AC-AD2EA3213B26}"/>
    <cellStyle name="40% - Accent3 2 3 5 2 3" xfId="21023" xr:uid="{00000000-0005-0000-0000-0000AB0F0000}"/>
    <cellStyle name="40% - Accent3 2 3 5 2 3 2" xfId="37892" xr:uid="{37FC4215-13D8-404C-B674-B910DB1B5906}"/>
    <cellStyle name="40% - Accent3 2 3 5 2 4" xfId="12588" xr:uid="{00000000-0005-0000-0000-0000AC0F0000}"/>
    <cellStyle name="40% - Accent3 2 3 5 2 5" xfId="29458" xr:uid="{C505E0FC-2D5C-42A4-98CE-386B852E226E}"/>
    <cellStyle name="40% - Accent3 2 3 5 3" xfId="6226" xr:uid="{00000000-0005-0000-0000-0000AD0F0000}"/>
    <cellStyle name="40% - Accent3 2 3 5 3 2" xfId="23096" xr:uid="{00000000-0005-0000-0000-0000AE0F0000}"/>
    <cellStyle name="40% - Accent3 2 3 5 3 2 2" xfId="39964" xr:uid="{69AE078F-E3C7-4D18-87F8-9EF50EA98BA6}"/>
    <cellStyle name="40% - Accent3 2 3 5 3 3" xfId="14661" xr:uid="{00000000-0005-0000-0000-0000AF0F0000}"/>
    <cellStyle name="40% - Accent3 2 3 5 3 4" xfId="31530" xr:uid="{2FCCF0B1-982C-43AD-9C42-EA9501C54858}"/>
    <cellStyle name="40% - Accent3 2 3 5 4" xfId="18878" xr:uid="{00000000-0005-0000-0000-0000B00F0000}"/>
    <cellStyle name="40% - Accent3 2 3 5 4 2" xfId="35747" xr:uid="{839BD54C-2D2B-42D5-9FBD-E17D8D8E3347}"/>
    <cellStyle name="40% - Accent3 2 3 5 5" xfId="10443" xr:uid="{00000000-0005-0000-0000-0000B10F0000}"/>
    <cellStyle name="40% - Accent3 2 3 5 6" xfId="27313" xr:uid="{F6CC5CEE-5EA1-49B5-B916-47539B2049BD}"/>
    <cellStyle name="40% - Accent3 2 3 6" xfId="2332" xr:uid="{00000000-0005-0000-0000-0000B20F0000}"/>
    <cellStyle name="40% - Accent3 2 3 6 2" xfId="6639" xr:uid="{00000000-0005-0000-0000-0000B30F0000}"/>
    <cellStyle name="40% - Accent3 2 3 6 2 2" xfId="23509" xr:uid="{00000000-0005-0000-0000-0000B40F0000}"/>
    <cellStyle name="40% - Accent3 2 3 6 2 2 2" xfId="40377" xr:uid="{CAC77EC2-3A70-4799-B52A-1CB1D0932888}"/>
    <cellStyle name="40% - Accent3 2 3 6 2 3" xfId="15074" xr:uid="{00000000-0005-0000-0000-0000B50F0000}"/>
    <cellStyle name="40% - Accent3 2 3 6 2 4" xfId="31943" xr:uid="{08924E42-0BFA-4288-883C-0870841D7CF4}"/>
    <cellStyle name="40% - Accent3 2 3 6 3" xfId="19291" xr:uid="{00000000-0005-0000-0000-0000B60F0000}"/>
    <cellStyle name="40% - Accent3 2 3 6 3 2" xfId="36160" xr:uid="{019493C7-C913-44F2-BE6D-F7B8B8F00E58}"/>
    <cellStyle name="40% - Accent3 2 3 6 4" xfId="10856" xr:uid="{00000000-0005-0000-0000-0000B70F0000}"/>
    <cellStyle name="40% - Accent3 2 3 6 5" xfId="27726" xr:uid="{689F27A1-7273-4E17-BDC2-2AC31869E775}"/>
    <cellStyle name="40% - Accent3 2 3 7" xfId="4573" xr:uid="{00000000-0005-0000-0000-0000B80F0000}"/>
    <cellStyle name="40% - Accent3 2 3 7 2" xfId="21443" xr:uid="{00000000-0005-0000-0000-0000B90F0000}"/>
    <cellStyle name="40% - Accent3 2 3 7 2 2" xfId="38311" xr:uid="{C6792A6F-0047-4EE3-A14C-9C498FEFBBAD}"/>
    <cellStyle name="40% - Accent3 2 3 7 3" xfId="13008" xr:uid="{00000000-0005-0000-0000-0000BA0F0000}"/>
    <cellStyle name="40% - Accent3 2 3 7 4" xfId="29877" xr:uid="{28DCD201-4DC9-430B-8F19-4F89FC520A30}"/>
    <cellStyle name="40% - Accent3 2 3 8" xfId="17225" xr:uid="{00000000-0005-0000-0000-0000BB0F0000}"/>
    <cellStyle name="40% - Accent3 2 3 8 2" xfId="34094" xr:uid="{34F7F649-623D-4407-8B4F-A78400E17B84}"/>
    <cellStyle name="40% - Accent3 2 3 9" xfId="8790" xr:uid="{00000000-0005-0000-0000-0000BC0F0000}"/>
    <cellStyle name="40% - Accent3 2 4" xfId="635" xr:uid="{00000000-0005-0000-0000-0000BD0F0000}"/>
    <cellStyle name="40% - Accent3 2 4 2" xfId="2906" xr:uid="{00000000-0005-0000-0000-0000BE0F0000}"/>
    <cellStyle name="40% - Accent3 2 4 2 2" xfId="7129" xr:uid="{00000000-0005-0000-0000-0000BF0F0000}"/>
    <cellStyle name="40% - Accent3 2 4 2 2 2" xfId="23999" xr:uid="{00000000-0005-0000-0000-0000C00F0000}"/>
    <cellStyle name="40% - Accent3 2 4 2 2 2 2" xfId="40867" xr:uid="{CF6EB274-84BD-493F-9433-4B86EBAB64A6}"/>
    <cellStyle name="40% - Accent3 2 4 2 2 3" xfId="15564" xr:uid="{00000000-0005-0000-0000-0000C10F0000}"/>
    <cellStyle name="40% - Accent3 2 4 2 2 4" xfId="32433" xr:uid="{B87ACC61-CB9D-4D36-B782-3AFAEF6FBE37}"/>
    <cellStyle name="40% - Accent3 2 4 2 3" xfId="19781" xr:uid="{00000000-0005-0000-0000-0000C20F0000}"/>
    <cellStyle name="40% - Accent3 2 4 2 3 2" xfId="36650" xr:uid="{47C40392-9F68-4255-B7CF-9CBCB305E284}"/>
    <cellStyle name="40% - Accent3 2 4 2 4" xfId="11346" xr:uid="{00000000-0005-0000-0000-0000C30F0000}"/>
    <cellStyle name="40% - Accent3 2 4 2 5" xfId="28216" xr:uid="{D7E3C631-6AEA-4770-AE63-F8B4175559CD}"/>
    <cellStyle name="40% - Accent3 2 4 3" xfId="4984" xr:uid="{00000000-0005-0000-0000-0000C40F0000}"/>
    <cellStyle name="40% - Accent3 2 4 3 2" xfId="21854" xr:uid="{00000000-0005-0000-0000-0000C50F0000}"/>
    <cellStyle name="40% - Accent3 2 4 3 2 2" xfId="38722" xr:uid="{306284D4-913D-46E7-BDCC-F5141609FFAF}"/>
    <cellStyle name="40% - Accent3 2 4 3 3" xfId="13419" xr:uid="{00000000-0005-0000-0000-0000C60F0000}"/>
    <cellStyle name="40% - Accent3 2 4 3 4" xfId="30288" xr:uid="{B2CE54AB-F115-4BE4-8A14-F02BB30C241B}"/>
    <cellStyle name="40% - Accent3 2 4 4" xfId="17636" xr:uid="{00000000-0005-0000-0000-0000C70F0000}"/>
    <cellStyle name="40% - Accent3 2 4 4 2" xfId="34505" xr:uid="{CEDCA13A-B5A2-4CDD-A962-638F1708486F}"/>
    <cellStyle name="40% - Accent3 2 4 5" xfId="9201" xr:uid="{00000000-0005-0000-0000-0000C80F0000}"/>
    <cellStyle name="40% - Accent3 2 4 6" xfId="26071" xr:uid="{C7E18C4D-87DA-406A-B2A7-CE110DFFEE52}"/>
    <cellStyle name="40% - Accent3 2 5" xfId="1088" xr:uid="{00000000-0005-0000-0000-0000C90F0000}"/>
    <cellStyle name="40% - Accent3 2 5 2" xfId="3319" xr:uid="{00000000-0005-0000-0000-0000CA0F0000}"/>
    <cellStyle name="40% - Accent3 2 5 2 2" xfId="7542" xr:uid="{00000000-0005-0000-0000-0000CB0F0000}"/>
    <cellStyle name="40% - Accent3 2 5 2 2 2" xfId="24412" xr:uid="{00000000-0005-0000-0000-0000CC0F0000}"/>
    <cellStyle name="40% - Accent3 2 5 2 2 2 2" xfId="41280" xr:uid="{674C6B03-3BDC-46FE-B96A-5D55DAFFFB12}"/>
    <cellStyle name="40% - Accent3 2 5 2 2 3" xfId="15977" xr:uid="{00000000-0005-0000-0000-0000CD0F0000}"/>
    <cellStyle name="40% - Accent3 2 5 2 2 4" xfId="32846" xr:uid="{E049F200-A11C-423B-9667-FEA9E443A85E}"/>
    <cellStyle name="40% - Accent3 2 5 2 3" xfId="20194" xr:uid="{00000000-0005-0000-0000-0000CE0F0000}"/>
    <cellStyle name="40% - Accent3 2 5 2 3 2" xfId="37063" xr:uid="{735FB2D1-27C4-48BD-86C0-475FC2AA367F}"/>
    <cellStyle name="40% - Accent3 2 5 2 4" xfId="11759" xr:uid="{00000000-0005-0000-0000-0000CF0F0000}"/>
    <cellStyle name="40% - Accent3 2 5 2 5" xfId="28629" xr:uid="{F24CFBDF-CFE4-409B-A0F4-2A5358687CFA}"/>
    <cellStyle name="40% - Accent3 2 5 3" xfId="5397" xr:uid="{00000000-0005-0000-0000-0000D00F0000}"/>
    <cellStyle name="40% - Accent3 2 5 3 2" xfId="22267" xr:uid="{00000000-0005-0000-0000-0000D10F0000}"/>
    <cellStyle name="40% - Accent3 2 5 3 2 2" xfId="39135" xr:uid="{BE45D409-C55F-4B13-AE48-3B94EE23660E}"/>
    <cellStyle name="40% - Accent3 2 5 3 3" xfId="13832" xr:uid="{00000000-0005-0000-0000-0000D20F0000}"/>
    <cellStyle name="40% - Accent3 2 5 3 4" xfId="30701" xr:uid="{3A660CC5-39D9-49FC-B00A-2A93B1ABF96F}"/>
    <cellStyle name="40% - Accent3 2 5 4" xfId="18049" xr:uid="{00000000-0005-0000-0000-0000D30F0000}"/>
    <cellStyle name="40% - Accent3 2 5 4 2" xfId="34918" xr:uid="{48DBD101-B391-430F-B1BA-3CA024EAA779}"/>
    <cellStyle name="40% - Accent3 2 5 5" xfId="9614" xr:uid="{00000000-0005-0000-0000-0000D40F0000}"/>
    <cellStyle name="40% - Accent3 2 5 6" xfId="26484" xr:uid="{D8DA38F4-412C-4D4B-89A1-A70F4BD56BD5}"/>
    <cellStyle name="40% - Accent3 2 6" xfId="1502" xr:uid="{00000000-0005-0000-0000-0000D50F0000}"/>
    <cellStyle name="40% - Accent3 2 6 2" xfId="3732" xr:uid="{00000000-0005-0000-0000-0000D60F0000}"/>
    <cellStyle name="40% - Accent3 2 6 2 2" xfId="7955" xr:uid="{00000000-0005-0000-0000-0000D70F0000}"/>
    <cellStyle name="40% - Accent3 2 6 2 2 2" xfId="24825" xr:uid="{00000000-0005-0000-0000-0000D80F0000}"/>
    <cellStyle name="40% - Accent3 2 6 2 2 2 2" xfId="41693" xr:uid="{6BA2AA45-3C3A-4E1F-94FA-C592CAC733B9}"/>
    <cellStyle name="40% - Accent3 2 6 2 2 3" xfId="16390" xr:uid="{00000000-0005-0000-0000-0000D90F0000}"/>
    <cellStyle name="40% - Accent3 2 6 2 2 4" xfId="33259" xr:uid="{BB391218-BD61-4244-942B-04A3B69448F7}"/>
    <cellStyle name="40% - Accent3 2 6 2 3" xfId="20607" xr:uid="{00000000-0005-0000-0000-0000DA0F0000}"/>
    <cellStyle name="40% - Accent3 2 6 2 3 2" xfId="37476" xr:uid="{6CA61328-E56A-47F5-9797-DE2CDCF5641B}"/>
    <cellStyle name="40% - Accent3 2 6 2 4" xfId="12172" xr:uid="{00000000-0005-0000-0000-0000DB0F0000}"/>
    <cellStyle name="40% - Accent3 2 6 2 5" xfId="29042" xr:uid="{71FE00D9-244B-427C-80D7-223D7A18BC46}"/>
    <cellStyle name="40% - Accent3 2 6 3" xfId="5810" xr:uid="{00000000-0005-0000-0000-0000DC0F0000}"/>
    <cellStyle name="40% - Accent3 2 6 3 2" xfId="22680" xr:uid="{00000000-0005-0000-0000-0000DD0F0000}"/>
    <cellStyle name="40% - Accent3 2 6 3 2 2" xfId="39548" xr:uid="{8377B205-D357-47CB-A2DA-EB4738F79EE1}"/>
    <cellStyle name="40% - Accent3 2 6 3 3" xfId="14245" xr:uid="{00000000-0005-0000-0000-0000DE0F0000}"/>
    <cellStyle name="40% - Accent3 2 6 3 4" xfId="31114" xr:uid="{E532C78A-AA8C-426A-A944-137B038594C4}"/>
    <cellStyle name="40% - Accent3 2 6 4" xfId="18462" xr:uid="{00000000-0005-0000-0000-0000DF0F0000}"/>
    <cellStyle name="40% - Accent3 2 6 4 2" xfId="35331" xr:uid="{EA733835-6B5D-4606-A28D-6C5202130934}"/>
    <cellStyle name="40% - Accent3 2 6 5" xfId="10027" xr:uid="{00000000-0005-0000-0000-0000E00F0000}"/>
    <cellStyle name="40% - Accent3 2 6 6" xfId="26897" xr:uid="{588AE6D6-0CDD-478D-9693-5DE44C299664}"/>
    <cellStyle name="40% - Accent3 2 7" xfId="1916" xr:uid="{00000000-0005-0000-0000-0000E10F0000}"/>
    <cellStyle name="40% - Accent3 2 7 2" xfId="4145" xr:uid="{00000000-0005-0000-0000-0000E20F0000}"/>
    <cellStyle name="40% - Accent3 2 7 2 2" xfId="8368" xr:uid="{00000000-0005-0000-0000-0000E30F0000}"/>
    <cellStyle name="40% - Accent3 2 7 2 2 2" xfId="25238" xr:uid="{00000000-0005-0000-0000-0000E40F0000}"/>
    <cellStyle name="40% - Accent3 2 7 2 2 2 2" xfId="42106" xr:uid="{2C8A28DD-2782-4320-AE34-A473FF1AEEA7}"/>
    <cellStyle name="40% - Accent3 2 7 2 2 3" xfId="16803" xr:uid="{00000000-0005-0000-0000-0000E50F0000}"/>
    <cellStyle name="40% - Accent3 2 7 2 2 4" xfId="33672" xr:uid="{55205B70-04C5-4054-B3D0-71E29108C03A}"/>
    <cellStyle name="40% - Accent3 2 7 2 3" xfId="21020" xr:uid="{00000000-0005-0000-0000-0000E60F0000}"/>
    <cellStyle name="40% - Accent3 2 7 2 3 2" xfId="37889" xr:uid="{934A7571-8009-4D17-8789-52EDE7687CAF}"/>
    <cellStyle name="40% - Accent3 2 7 2 4" xfId="12585" xr:uid="{00000000-0005-0000-0000-0000E70F0000}"/>
    <cellStyle name="40% - Accent3 2 7 2 5" xfId="29455" xr:uid="{E111081D-7549-4B4A-95D3-D5EEF3E20A6C}"/>
    <cellStyle name="40% - Accent3 2 7 3" xfId="6223" xr:uid="{00000000-0005-0000-0000-0000E80F0000}"/>
    <cellStyle name="40% - Accent3 2 7 3 2" xfId="23093" xr:uid="{00000000-0005-0000-0000-0000E90F0000}"/>
    <cellStyle name="40% - Accent3 2 7 3 2 2" xfId="39961" xr:uid="{F7141063-68D8-4B4D-903F-CD84C976A1CE}"/>
    <cellStyle name="40% - Accent3 2 7 3 3" xfId="14658" xr:uid="{00000000-0005-0000-0000-0000EA0F0000}"/>
    <cellStyle name="40% - Accent3 2 7 3 4" xfId="31527" xr:uid="{FC56747E-4012-470D-8C93-13B8B44410FD}"/>
    <cellStyle name="40% - Accent3 2 7 4" xfId="18875" xr:uid="{00000000-0005-0000-0000-0000EB0F0000}"/>
    <cellStyle name="40% - Accent3 2 7 4 2" xfId="35744" xr:uid="{A4C50F46-EF3C-437F-9A19-A687C0C6A932}"/>
    <cellStyle name="40% - Accent3 2 7 5" xfId="10440" xr:uid="{00000000-0005-0000-0000-0000EC0F0000}"/>
    <cellStyle name="40% - Accent3 2 7 6" xfId="27310" xr:uid="{5A5ED9F1-0117-4C2D-81CC-5AA8EC4755E2}"/>
    <cellStyle name="40% - Accent3 2 8" xfId="2329" xr:uid="{00000000-0005-0000-0000-0000ED0F0000}"/>
    <cellStyle name="40% - Accent3 2 8 2" xfId="6636" xr:uid="{00000000-0005-0000-0000-0000EE0F0000}"/>
    <cellStyle name="40% - Accent3 2 8 2 2" xfId="23506" xr:uid="{00000000-0005-0000-0000-0000EF0F0000}"/>
    <cellStyle name="40% - Accent3 2 8 2 2 2" xfId="40374" xr:uid="{4FA40E90-F2BF-4B85-968C-B398266C8951}"/>
    <cellStyle name="40% - Accent3 2 8 2 3" xfId="15071" xr:uid="{00000000-0005-0000-0000-0000F00F0000}"/>
    <cellStyle name="40% - Accent3 2 8 2 4" xfId="31940" xr:uid="{874E37B1-0B71-4B4A-8659-059FF5D0632D}"/>
    <cellStyle name="40% - Accent3 2 8 3" xfId="19288" xr:uid="{00000000-0005-0000-0000-0000F10F0000}"/>
    <cellStyle name="40% - Accent3 2 8 3 2" xfId="36157" xr:uid="{622E9922-5AB9-472B-A81E-CA89D5C44D52}"/>
    <cellStyle name="40% - Accent3 2 8 4" xfId="10853" xr:uid="{00000000-0005-0000-0000-0000F20F0000}"/>
    <cellStyle name="40% - Accent3 2 8 5" xfId="27723" xr:uid="{0A3A40E1-C797-4774-B537-20FDED4D570A}"/>
    <cellStyle name="40% - Accent3 2 9" xfId="4570" xr:uid="{00000000-0005-0000-0000-0000F30F0000}"/>
    <cellStyle name="40% - Accent3 2 9 2" xfId="21440" xr:uid="{00000000-0005-0000-0000-0000F40F0000}"/>
    <cellStyle name="40% - Accent3 2 9 2 2" xfId="38308" xr:uid="{8D55EFAB-78B8-415C-A39D-7B7DCE53D3D4}"/>
    <cellStyle name="40% - Accent3 2 9 3" xfId="13005" xr:uid="{00000000-0005-0000-0000-0000F50F0000}"/>
    <cellStyle name="40% - Accent3 2 9 4" xfId="29874" xr:uid="{71058F82-AB5D-4835-ABCE-BDD8C30160B1}"/>
    <cellStyle name="40% - Accent3 3" xfId="70" xr:uid="{00000000-0005-0000-0000-0000F60F0000}"/>
    <cellStyle name="40% - Accent3 3 10" xfId="8791" xr:uid="{00000000-0005-0000-0000-0000F70F0000}"/>
    <cellStyle name="40% - Accent3 3 11" xfId="25661" xr:uid="{E4D10D90-53C6-4229-85A1-4A087066F0FD}"/>
    <cellStyle name="40% - Accent3 3 2" xfId="71" xr:uid="{00000000-0005-0000-0000-0000F80F0000}"/>
    <cellStyle name="40% - Accent3 3 2 10" xfId="25662" xr:uid="{E401C40C-F686-46F0-9C28-EB19663E0269}"/>
    <cellStyle name="40% - Accent3 3 2 2" xfId="640" xr:uid="{00000000-0005-0000-0000-0000F90F0000}"/>
    <cellStyle name="40% - Accent3 3 2 2 2" xfId="2911" xr:uid="{00000000-0005-0000-0000-0000FA0F0000}"/>
    <cellStyle name="40% - Accent3 3 2 2 2 2" xfId="7134" xr:uid="{00000000-0005-0000-0000-0000FB0F0000}"/>
    <cellStyle name="40% - Accent3 3 2 2 2 2 2" xfId="24004" xr:uid="{00000000-0005-0000-0000-0000FC0F0000}"/>
    <cellStyle name="40% - Accent3 3 2 2 2 2 2 2" xfId="40872" xr:uid="{CE92FBF1-1B0A-48FC-8086-C94F101D34A5}"/>
    <cellStyle name="40% - Accent3 3 2 2 2 2 3" xfId="15569" xr:uid="{00000000-0005-0000-0000-0000FD0F0000}"/>
    <cellStyle name="40% - Accent3 3 2 2 2 2 4" xfId="32438" xr:uid="{203DDB90-4D09-4A38-A56B-17E3E0FEB933}"/>
    <cellStyle name="40% - Accent3 3 2 2 2 3" xfId="19786" xr:uid="{00000000-0005-0000-0000-0000FE0F0000}"/>
    <cellStyle name="40% - Accent3 3 2 2 2 3 2" xfId="36655" xr:uid="{F614AEE3-34B0-4DBB-8498-F8012EDAFFA3}"/>
    <cellStyle name="40% - Accent3 3 2 2 2 4" xfId="11351" xr:uid="{00000000-0005-0000-0000-0000FF0F0000}"/>
    <cellStyle name="40% - Accent3 3 2 2 2 5" xfId="28221" xr:uid="{6FBDFDE0-C551-4015-AFC8-93412606CF49}"/>
    <cellStyle name="40% - Accent3 3 2 2 3" xfId="4989" xr:uid="{00000000-0005-0000-0000-000000100000}"/>
    <cellStyle name="40% - Accent3 3 2 2 3 2" xfId="21859" xr:uid="{00000000-0005-0000-0000-000001100000}"/>
    <cellStyle name="40% - Accent3 3 2 2 3 2 2" xfId="38727" xr:uid="{D03CB037-F0CF-40FB-88C8-543AEE3EB118}"/>
    <cellStyle name="40% - Accent3 3 2 2 3 3" xfId="13424" xr:uid="{00000000-0005-0000-0000-000002100000}"/>
    <cellStyle name="40% - Accent3 3 2 2 3 4" xfId="30293" xr:uid="{DD191823-F90C-4579-B332-CE64C7598346}"/>
    <cellStyle name="40% - Accent3 3 2 2 4" xfId="17641" xr:uid="{00000000-0005-0000-0000-000003100000}"/>
    <cellStyle name="40% - Accent3 3 2 2 4 2" xfId="34510" xr:uid="{414AE45E-F645-4D46-B8FD-06F73DA12766}"/>
    <cellStyle name="40% - Accent3 3 2 2 5" xfId="9206" xr:uid="{00000000-0005-0000-0000-000004100000}"/>
    <cellStyle name="40% - Accent3 3 2 2 6" xfId="26076" xr:uid="{B7316C60-A212-4023-9EDB-E107A78EFB0F}"/>
    <cellStyle name="40% - Accent3 3 2 3" xfId="1093" xr:uid="{00000000-0005-0000-0000-000005100000}"/>
    <cellStyle name="40% - Accent3 3 2 3 2" xfId="3324" xr:uid="{00000000-0005-0000-0000-000006100000}"/>
    <cellStyle name="40% - Accent3 3 2 3 2 2" xfId="7547" xr:uid="{00000000-0005-0000-0000-000007100000}"/>
    <cellStyle name="40% - Accent3 3 2 3 2 2 2" xfId="24417" xr:uid="{00000000-0005-0000-0000-000008100000}"/>
    <cellStyle name="40% - Accent3 3 2 3 2 2 2 2" xfId="41285" xr:uid="{0BA1469C-B888-4CF0-8808-4C27882FC35F}"/>
    <cellStyle name="40% - Accent3 3 2 3 2 2 3" xfId="15982" xr:uid="{00000000-0005-0000-0000-000009100000}"/>
    <cellStyle name="40% - Accent3 3 2 3 2 2 4" xfId="32851" xr:uid="{89F11EE1-95DB-468B-8140-9E5CB747EF0C}"/>
    <cellStyle name="40% - Accent3 3 2 3 2 3" xfId="20199" xr:uid="{00000000-0005-0000-0000-00000A100000}"/>
    <cellStyle name="40% - Accent3 3 2 3 2 3 2" xfId="37068" xr:uid="{386BA794-8128-4C7D-A474-46680A8F42D5}"/>
    <cellStyle name="40% - Accent3 3 2 3 2 4" xfId="11764" xr:uid="{00000000-0005-0000-0000-00000B100000}"/>
    <cellStyle name="40% - Accent3 3 2 3 2 5" xfId="28634" xr:uid="{2204F78E-9D63-4C94-B7C0-3484D6522946}"/>
    <cellStyle name="40% - Accent3 3 2 3 3" xfId="5402" xr:uid="{00000000-0005-0000-0000-00000C100000}"/>
    <cellStyle name="40% - Accent3 3 2 3 3 2" xfId="22272" xr:uid="{00000000-0005-0000-0000-00000D100000}"/>
    <cellStyle name="40% - Accent3 3 2 3 3 2 2" xfId="39140" xr:uid="{A48FFBEE-E43D-4797-AA81-7318FDB5DB7A}"/>
    <cellStyle name="40% - Accent3 3 2 3 3 3" xfId="13837" xr:uid="{00000000-0005-0000-0000-00000E100000}"/>
    <cellStyle name="40% - Accent3 3 2 3 3 4" xfId="30706" xr:uid="{621770B5-911D-45FA-B769-D3977DE933DC}"/>
    <cellStyle name="40% - Accent3 3 2 3 4" xfId="18054" xr:uid="{00000000-0005-0000-0000-00000F100000}"/>
    <cellStyle name="40% - Accent3 3 2 3 4 2" xfId="34923" xr:uid="{F287DB18-C979-48B5-B1B3-2319F33628F8}"/>
    <cellStyle name="40% - Accent3 3 2 3 5" xfId="9619" xr:uid="{00000000-0005-0000-0000-000010100000}"/>
    <cellStyle name="40% - Accent3 3 2 3 6" xfId="26489" xr:uid="{DD43C33C-9C83-4E24-AE0B-952A57B9F628}"/>
    <cellStyle name="40% - Accent3 3 2 4" xfId="1507" xr:uid="{00000000-0005-0000-0000-000011100000}"/>
    <cellStyle name="40% - Accent3 3 2 4 2" xfId="3737" xr:uid="{00000000-0005-0000-0000-000012100000}"/>
    <cellStyle name="40% - Accent3 3 2 4 2 2" xfId="7960" xr:uid="{00000000-0005-0000-0000-000013100000}"/>
    <cellStyle name="40% - Accent3 3 2 4 2 2 2" xfId="24830" xr:uid="{00000000-0005-0000-0000-000014100000}"/>
    <cellStyle name="40% - Accent3 3 2 4 2 2 2 2" xfId="41698" xr:uid="{BDF7ED26-1233-433D-B2D1-F8632D8D2CB4}"/>
    <cellStyle name="40% - Accent3 3 2 4 2 2 3" xfId="16395" xr:uid="{00000000-0005-0000-0000-000015100000}"/>
    <cellStyle name="40% - Accent3 3 2 4 2 2 4" xfId="33264" xr:uid="{6F31ADF2-8A2B-4D99-9DD2-7399F5E28E12}"/>
    <cellStyle name="40% - Accent3 3 2 4 2 3" xfId="20612" xr:uid="{00000000-0005-0000-0000-000016100000}"/>
    <cellStyle name="40% - Accent3 3 2 4 2 3 2" xfId="37481" xr:uid="{AC2525ED-164E-4B25-89C6-EF49885EF179}"/>
    <cellStyle name="40% - Accent3 3 2 4 2 4" xfId="12177" xr:uid="{00000000-0005-0000-0000-000017100000}"/>
    <cellStyle name="40% - Accent3 3 2 4 2 5" xfId="29047" xr:uid="{40C5D300-7298-4E4A-A86E-11415320C201}"/>
    <cellStyle name="40% - Accent3 3 2 4 3" xfId="5815" xr:uid="{00000000-0005-0000-0000-000018100000}"/>
    <cellStyle name="40% - Accent3 3 2 4 3 2" xfId="22685" xr:uid="{00000000-0005-0000-0000-000019100000}"/>
    <cellStyle name="40% - Accent3 3 2 4 3 2 2" xfId="39553" xr:uid="{64D45799-0E22-4149-AC2F-0CED2613D300}"/>
    <cellStyle name="40% - Accent3 3 2 4 3 3" xfId="14250" xr:uid="{00000000-0005-0000-0000-00001A100000}"/>
    <cellStyle name="40% - Accent3 3 2 4 3 4" xfId="31119" xr:uid="{B63644FA-B10B-482C-8A58-6D2BC385A3A8}"/>
    <cellStyle name="40% - Accent3 3 2 4 4" xfId="18467" xr:uid="{00000000-0005-0000-0000-00001B100000}"/>
    <cellStyle name="40% - Accent3 3 2 4 4 2" xfId="35336" xr:uid="{FBD195F0-5FD4-4FFA-B578-A939D88D7016}"/>
    <cellStyle name="40% - Accent3 3 2 4 5" xfId="10032" xr:uid="{00000000-0005-0000-0000-00001C100000}"/>
    <cellStyle name="40% - Accent3 3 2 4 6" xfId="26902" xr:uid="{C85B0A07-4895-4BC3-8221-E06FFD538334}"/>
    <cellStyle name="40% - Accent3 3 2 5" xfId="1921" xr:uid="{00000000-0005-0000-0000-00001D100000}"/>
    <cellStyle name="40% - Accent3 3 2 5 2" xfId="4150" xr:uid="{00000000-0005-0000-0000-00001E100000}"/>
    <cellStyle name="40% - Accent3 3 2 5 2 2" xfId="8373" xr:uid="{00000000-0005-0000-0000-00001F100000}"/>
    <cellStyle name="40% - Accent3 3 2 5 2 2 2" xfId="25243" xr:uid="{00000000-0005-0000-0000-000020100000}"/>
    <cellStyle name="40% - Accent3 3 2 5 2 2 2 2" xfId="42111" xr:uid="{13BB0818-89B2-4974-AF4D-E9C831F6A9C6}"/>
    <cellStyle name="40% - Accent3 3 2 5 2 2 3" xfId="16808" xr:uid="{00000000-0005-0000-0000-000021100000}"/>
    <cellStyle name="40% - Accent3 3 2 5 2 2 4" xfId="33677" xr:uid="{1CF0CC62-A3E6-4488-8D96-1AD52FAD2216}"/>
    <cellStyle name="40% - Accent3 3 2 5 2 3" xfId="21025" xr:uid="{00000000-0005-0000-0000-000022100000}"/>
    <cellStyle name="40% - Accent3 3 2 5 2 3 2" xfId="37894" xr:uid="{FC7CC84F-60EE-47C1-9CC1-39E8E77BF740}"/>
    <cellStyle name="40% - Accent3 3 2 5 2 4" xfId="12590" xr:uid="{00000000-0005-0000-0000-000023100000}"/>
    <cellStyle name="40% - Accent3 3 2 5 2 5" xfId="29460" xr:uid="{5E974904-925D-4AEC-BF20-BD94C2C15FA0}"/>
    <cellStyle name="40% - Accent3 3 2 5 3" xfId="6228" xr:uid="{00000000-0005-0000-0000-000024100000}"/>
    <cellStyle name="40% - Accent3 3 2 5 3 2" xfId="23098" xr:uid="{00000000-0005-0000-0000-000025100000}"/>
    <cellStyle name="40% - Accent3 3 2 5 3 2 2" xfId="39966" xr:uid="{D0553C26-4024-40B5-9FC3-D492DD8ACC4C}"/>
    <cellStyle name="40% - Accent3 3 2 5 3 3" xfId="14663" xr:uid="{00000000-0005-0000-0000-000026100000}"/>
    <cellStyle name="40% - Accent3 3 2 5 3 4" xfId="31532" xr:uid="{7275D64D-5DCE-4D4F-962B-90BD2720C982}"/>
    <cellStyle name="40% - Accent3 3 2 5 4" xfId="18880" xr:uid="{00000000-0005-0000-0000-000027100000}"/>
    <cellStyle name="40% - Accent3 3 2 5 4 2" xfId="35749" xr:uid="{54D86C41-9EA5-402E-ADE8-6A85431211C9}"/>
    <cellStyle name="40% - Accent3 3 2 5 5" xfId="10445" xr:uid="{00000000-0005-0000-0000-000028100000}"/>
    <cellStyle name="40% - Accent3 3 2 5 6" xfId="27315" xr:uid="{AD4A9512-6937-47EB-A7A9-17BE07953207}"/>
    <cellStyle name="40% - Accent3 3 2 6" xfId="2334" xr:uid="{00000000-0005-0000-0000-000029100000}"/>
    <cellStyle name="40% - Accent3 3 2 6 2" xfId="6641" xr:uid="{00000000-0005-0000-0000-00002A100000}"/>
    <cellStyle name="40% - Accent3 3 2 6 2 2" xfId="23511" xr:uid="{00000000-0005-0000-0000-00002B100000}"/>
    <cellStyle name="40% - Accent3 3 2 6 2 2 2" xfId="40379" xr:uid="{43BC942B-92ED-49D8-A25C-ACC8856C1179}"/>
    <cellStyle name="40% - Accent3 3 2 6 2 3" xfId="15076" xr:uid="{00000000-0005-0000-0000-00002C100000}"/>
    <cellStyle name="40% - Accent3 3 2 6 2 4" xfId="31945" xr:uid="{FC1B53DF-9922-4381-A748-396055CE09AB}"/>
    <cellStyle name="40% - Accent3 3 2 6 3" xfId="19293" xr:uid="{00000000-0005-0000-0000-00002D100000}"/>
    <cellStyle name="40% - Accent3 3 2 6 3 2" xfId="36162" xr:uid="{7020A237-19A8-4FCC-9C44-40567CD2D2F1}"/>
    <cellStyle name="40% - Accent3 3 2 6 4" xfId="10858" xr:uid="{00000000-0005-0000-0000-00002E100000}"/>
    <cellStyle name="40% - Accent3 3 2 6 5" xfId="27728" xr:uid="{62E043FC-CEEB-4E88-A077-E86B2AA93BEF}"/>
    <cellStyle name="40% - Accent3 3 2 7" xfId="4575" xr:uid="{00000000-0005-0000-0000-00002F100000}"/>
    <cellStyle name="40% - Accent3 3 2 7 2" xfId="21445" xr:uid="{00000000-0005-0000-0000-000030100000}"/>
    <cellStyle name="40% - Accent3 3 2 7 2 2" xfId="38313" xr:uid="{9F343C46-1C05-43BC-AAB8-BC0AC078DC22}"/>
    <cellStyle name="40% - Accent3 3 2 7 3" xfId="13010" xr:uid="{00000000-0005-0000-0000-000031100000}"/>
    <cellStyle name="40% - Accent3 3 2 7 4" xfId="29879" xr:uid="{C63ABB8E-767E-4636-8957-326B14A6567F}"/>
    <cellStyle name="40% - Accent3 3 2 8" xfId="17227" xr:uid="{00000000-0005-0000-0000-000032100000}"/>
    <cellStyle name="40% - Accent3 3 2 8 2" xfId="34096" xr:uid="{0702AECD-FD5C-4A29-A9DC-882DA5EEE28C}"/>
    <cellStyle name="40% - Accent3 3 2 9" xfId="8792" xr:uid="{00000000-0005-0000-0000-000033100000}"/>
    <cellStyle name="40% - Accent3 3 3" xfId="639" xr:uid="{00000000-0005-0000-0000-000034100000}"/>
    <cellStyle name="40% - Accent3 3 3 2" xfId="2910" xr:uid="{00000000-0005-0000-0000-000035100000}"/>
    <cellStyle name="40% - Accent3 3 3 2 2" xfId="7133" xr:uid="{00000000-0005-0000-0000-000036100000}"/>
    <cellStyle name="40% - Accent3 3 3 2 2 2" xfId="24003" xr:uid="{00000000-0005-0000-0000-000037100000}"/>
    <cellStyle name="40% - Accent3 3 3 2 2 2 2" xfId="40871" xr:uid="{3014959D-CB40-4654-B113-4A03A89F0FBF}"/>
    <cellStyle name="40% - Accent3 3 3 2 2 3" xfId="15568" xr:uid="{00000000-0005-0000-0000-000038100000}"/>
    <cellStyle name="40% - Accent3 3 3 2 2 4" xfId="32437" xr:uid="{54AF49C0-B3E9-42AB-B6D1-00690322C1F9}"/>
    <cellStyle name="40% - Accent3 3 3 2 3" xfId="19785" xr:uid="{00000000-0005-0000-0000-000039100000}"/>
    <cellStyle name="40% - Accent3 3 3 2 3 2" xfId="36654" xr:uid="{0F409937-028E-4B72-88C8-68EAB566877A}"/>
    <cellStyle name="40% - Accent3 3 3 2 4" xfId="11350" xr:uid="{00000000-0005-0000-0000-00003A100000}"/>
    <cellStyle name="40% - Accent3 3 3 2 5" xfId="28220" xr:uid="{7AFECB81-C3D4-4153-8760-F0249630B2E9}"/>
    <cellStyle name="40% - Accent3 3 3 3" xfId="4988" xr:uid="{00000000-0005-0000-0000-00003B100000}"/>
    <cellStyle name="40% - Accent3 3 3 3 2" xfId="21858" xr:uid="{00000000-0005-0000-0000-00003C100000}"/>
    <cellStyle name="40% - Accent3 3 3 3 2 2" xfId="38726" xr:uid="{6535B601-B858-4B2A-8A8C-5994035FF9DC}"/>
    <cellStyle name="40% - Accent3 3 3 3 3" xfId="13423" xr:uid="{00000000-0005-0000-0000-00003D100000}"/>
    <cellStyle name="40% - Accent3 3 3 3 4" xfId="30292" xr:uid="{D8B45D7C-3407-4DF3-84FA-EA9B70070835}"/>
    <cellStyle name="40% - Accent3 3 3 4" xfId="17640" xr:uid="{00000000-0005-0000-0000-00003E100000}"/>
    <cellStyle name="40% - Accent3 3 3 4 2" xfId="34509" xr:uid="{3984B5A6-19B8-4A0B-A7E7-B851ED1716AE}"/>
    <cellStyle name="40% - Accent3 3 3 5" xfId="9205" xr:uid="{00000000-0005-0000-0000-00003F100000}"/>
    <cellStyle name="40% - Accent3 3 3 6" xfId="26075" xr:uid="{923099B5-B141-42C8-99D6-993B6C203829}"/>
    <cellStyle name="40% - Accent3 3 4" xfId="1092" xr:uid="{00000000-0005-0000-0000-000040100000}"/>
    <cellStyle name="40% - Accent3 3 4 2" xfId="3323" xr:uid="{00000000-0005-0000-0000-000041100000}"/>
    <cellStyle name="40% - Accent3 3 4 2 2" xfId="7546" xr:uid="{00000000-0005-0000-0000-000042100000}"/>
    <cellStyle name="40% - Accent3 3 4 2 2 2" xfId="24416" xr:uid="{00000000-0005-0000-0000-000043100000}"/>
    <cellStyle name="40% - Accent3 3 4 2 2 2 2" xfId="41284" xr:uid="{B3F4BFB0-2A8F-40C5-B74C-4919894EADCE}"/>
    <cellStyle name="40% - Accent3 3 4 2 2 3" xfId="15981" xr:uid="{00000000-0005-0000-0000-000044100000}"/>
    <cellStyle name="40% - Accent3 3 4 2 2 4" xfId="32850" xr:uid="{888F18C9-C388-4230-85CA-8823AF173B52}"/>
    <cellStyle name="40% - Accent3 3 4 2 3" xfId="20198" xr:uid="{00000000-0005-0000-0000-000045100000}"/>
    <cellStyle name="40% - Accent3 3 4 2 3 2" xfId="37067" xr:uid="{959857D9-9E0B-4307-ADB6-27BA375F6194}"/>
    <cellStyle name="40% - Accent3 3 4 2 4" xfId="11763" xr:uid="{00000000-0005-0000-0000-000046100000}"/>
    <cellStyle name="40% - Accent3 3 4 2 5" xfId="28633" xr:uid="{800F3991-2043-4AFD-A73D-A8D3AA5C9A81}"/>
    <cellStyle name="40% - Accent3 3 4 3" xfId="5401" xr:uid="{00000000-0005-0000-0000-000047100000}"/>
    <cellStyle name="40% - Accent3 3 4 3 2" xfId="22271" xr:uid="{00000000-0005-0000-0000-000048100000}"/>
    <cellStyle name="40% - Accent3 3 4 3 2 2" xfId="39139" xr:uid="{784B8C6B-0774-4CA4-9E38-B5E9DA2323FF}"/>
    <cellStyle name="40% - Accent3 3 4 3 3" xfId="13836" xr:uid="{00000000-0005-0000-0000-000049100000}"/>
    <cellStyle name="40% - Accent3 3 4 3 4" xfId="30705" xr:uid="{9D42030F-481E-4724-A51A-811A4F90C945}"/>
    <cellStyle name="40% - Accent3 3 4 4" xfId="18053" xr:uid="{00000000-0005-0000-0000-00004A100000}"/>
    <cellStyle name="40% - Accent3 3 4 4 2" xfId="34922" xr:uid="{CE82D83B-7C3B-4955-BC9A-1B34D126BC60}"/>
    <cellStyle name="40% - Accent3 3 4 5" xfId="9618" xr:uid="{00000000-0005-0000-0000-00004B100000}"/>
    <cellStyle name="40% - Accent3 3 4 6" xfId="26488" xr:uid="{BDF4B2D7-1213-4584-9582-452437ABD05C}"/>
    <cellStyle name="40% - Accent3 3 5" xfId="1506" xr:uid="{00000000-0005-0000-0000-00004C100000}"/>
    <cellStyle name="40% - Accent3 3 5 2" xfId="3736" xr:uid="{00000000-0005-0000-0000-00004D100000}"/>
    <cellStyle name="40% - Accent3 3 5 2 2" xfId="7959" xr:uid="{00000000-0005-0000-0000-00004E100000}"/>
    <cellStyle name="40% - Accent3 3 5 2 2 2" xfId="24829" xr:uid="{00000000-0005-0000-0000-00004F100000}"/>
    <cellStyle name="40% - Accent3 3 5 2 2 2 2" xfId="41697" xr:uid="{9942FA87-6BFC-4268-A69F-F230D7011A36}"/>
    <cellStyle name="40% - Accent3 3 5 2 2 3" xfId="16394" xr:uid="{00000000-0005-0000-0000-000050100000}"/>
    <cellStyle name="40% - Accent3 3 5 2 2 4" xfId="33263" xr:uid="{53641562-79A4-413A-ABC8-093B2C37E66C}"/>
    <cellStyle name="40% - Accent3 3 5 2 3" xfId="20611" xr:uid="{00000000-0005-0000-0000-000051100000}"/>
    <cellStyle name="40% - Accent3 3 5 2 3 2" xfId="37480" xr:uid="{76E6354E-092D-43DE-86E8-0FBC88BC88BA}"/>
    <cellStyle name="40% - Accent3 3 5 2 4" xfId="12176" xr:uid="{00000000-0005-0000-0000-000052100000}"/>
    <cellStyle name="40% - Accent3 3 5 2 5" xfId="29046" xr:uid="{84E6F4EB-7BB1-4CCC-9CC9-29D649042E5B}"/>
    <cellStyle name="40% - Accent3 3 5 3" xfId="5814" xr:uid="{00000000-0005-0000-0000-000053100000}"/>
    <cellStyle name="40% - Accent3 3 5 3 2" xfId="22684" xr:uid="{00000000-0005-0000-0000-000054100000}"/>
    <cellStyle name="40% - Accent3 3 5 3 2 2" xfId="39552" xr:uid="{243AF7B9-9B4A-48C9-B7AE-0947EC9C9366}"/>
    <cellStyle name="40% - Accent3 3 5 3 3" xfId="14249" xr:uid="{00000000-0005-0000-0000-000055100000}"/>
    <cellStyle name="40% - Accent3 3 5 3 4" xfId="31118" xr:uid="{7B50C956-F31B-42EA-B43F-5010628E9A76}"/>
    <cellStyle name="40% - Accent3 3 5 4" xfId="18466" xr:uid="{00000000-0005-0000-0000-000056100000}"/>
    <cellStyle name="40% - Accent3 3 5 4 2" xfId="35335" xr:uid="{85347156-43F0-445D-9CAA-97C9201E67D3}"/>
    <cellStyle name="40% - Accent3 3 5 5" xfId="10031" xr:uid="{00000000-0005-0000-0000-000057100000}"/>
    <cellStyle name="40% - Accent3 3 5 6" xfId="26901" xr:uid="{906AB8A6-4A28-4120-B475-8CF1B5474A1F}"/>
    <cellStyle name="40% - Accent3 3 6" xfId="1920" xr:uid="{00000000-0005-0000-0000-000058100000}"/>
    <cellStyle name="40% - Accent3 3 6 2" xfId="4149" xr:uid="{00000000-0005-0000-0000-000059100000}"/>
    <cellStyle name="40% - Accent3 3 6 2 2" xfId="8372" xr:uid="{00000000-0005-0000-0000-00005A100000}"/>
    <cellStyle name="40% - Accent3 3 6 2 2 2" xfId="25242" xr:uid="{00000000-0005-0000-0000-00005B100000}"/>
    <cellStyle name="40% - Accent3 3 6 2 2 2 2" xfId="42110" xr:uid="{B12CA9FF-13B8-4F8A-AB1C-6EC36B34807A}"/>
    <cellStyle name="40% - Accent3 3 6 2 2 3" xfId="16807" xr:uid="{00000000-0005-0000-0000-00005C100000}"/>
    <cellStyle name="40% - Accent3 3 6 2 2 4" xfId="33676" xr:uid="{6A2409D3-EE55-43D5-B4F4-7724EC0CB08D}"/>
    <cellStyle name="40% - Accent3 3 6 2 3" xfId="21024" xr:uid="{00000000-0005-0000-0000-00005D100000}"/>
    <cellStyle name="40% - Accent3 3 6 2 3 2" xfId="37893" xr:uid="{0BC3D544-6D73-4D97-B4FB-20D57EA462A4}"/>
    <cellStyle name="40% - Accent3 3 6 2 4" xfId="12589" xr:uid="{00000000-0005-0000-0000-00005E100000}"/>
    <cellStyle name="40% - Accent3 3 6 2 5" xfId="29459" xr:uid="{80B3DE65-98F2-4F3D-9515-5E669EA3ED59}"/>
    <cellStyle name="40% - Accent3 3 6 3" xfId="6227" xr:uid="{00000000-0005-0000-0000-00005F100000}"/>
    <cellStyle name="40% - Accent3 3 6 3 2" xfId="23097" xr:uid="{00000000-0005-0000-0000-000060100000}"/>
    <cellStyle name="40% - Accent3 3 6 3 2 2" xfId="39965" xr:uid="{956A51B6-615F-4709-82C5-6F57E38EEFB9}"/>
    <cellStyle name="40% - Accent3 3 6 3 3" xfId="14662" xr:uid="{00000000-0005-0000-0000-000061100000}"/>
    <cellStyle name="40% - Accent3 3 6 3 4" xfId="31531" xr:uid="{B3E0CF21-0558-4986-9D1A-4F85EED7368E}"/>
    <cellStyle name="40% - Accent3 3 6 4" xfId="18879" xr:uid="{00000000-0005-0000-0000-000062100000}"/>
    <cellStyle name="40% - Accent3 3 6 4 2" xfId="35748" xr:uid="{6A06DD4A-1165-4241-B409-44AB0B019E46}"/>
    <cellStyle name="40% - Accent3 3 6 5" xfId="10444" xr:uid="{00000000-0005-0000-0000-000063100000}"/>
    <cellStyle name="40% - Accent3 3 6 6" xfId="27314" xr:uid="{5B588D6C-3951-4EE2-8D87-D5C43CC98D22}"/>
    <cellStyle name="40% - Accent3 3 7" xfId="2333" xr:uid="{00000000-0005-0000-0000-000064100000}"/>
    <cellStyle name="40% - Accent3 3 7 2" xfId="6640" xr:uid="{00000000-0005-0000-0000-000065100000}"/>
    <cellStyle name="40% - Accent3 3 7 2 2" xfId="23510" xr:uid="{00000000-0005-0000-0000-000066100000}"/>
    <cellStyle name="40% - Accent3 3 7 2 2 2" xfId="40378" xr:uid="{B488A88F-24DF-4A80-BDDF-4BDADD320E06}"/>
    <cellStyle name="40% - Accent3 3 7 2 3" xfId="15075" xr:uid="{00000000-0005-0000-0000-000067100000}"/>
    <cellStyle name="40% - Accent3 3 7 2 4" xfId="31944" xr:uid="{048FFFD7-42F4-4146-9F4B-1C0A179205FF}"/>
    <cellStyle name="40% - Accent3 3 7 3" xfId="19292" xr:uid="{00000000-0005-0000-0000-000068100000}"/>
    <cellStyle name="40% - Accent3 3 7 3 2" xfId="36161" xr:uid="{FE4EA934-4765-4FEA-AABA-0094172B5CE2}"/>
    <cellStyle name="40% - Accent3 3 7 4" xfId="10857" xr:uid="{00000000-0005-0000-0000-000069100000}"/>
    <cellStyle name="40% - Accent3 3 7 5" xfId="27727" xr:uid="{9E0A7754-476F-4DA0-B60E-8F2CE338967E}"/>
    <cellStyle name="40% - Accent3 3 8" xfId="4574" xr:uid="{00000000-0005-0000-0000-00006A100000}"/>
    <cellStyle name="40% - Accent3 3 8 2" xfId="21444" xr:uid="{00000000-0005-0000-0000-00006B100000}"/>
    <cellStyle name="40% - Accent3 3 8 2 2" xfId="38312" xr:uid="{A115A73D-2ED9-4C3B-B13E-C501C5D7B04D}"/>
    <cellStyle name="40% - Accent3 3 8 3" xfId="13009" xr:uid="{00000000-0005-0000-0000-00006C100000}"/>
    <cellStyle name="40% - Accent3 3 8 4" xfId="29878" xr:uid="{9F32D4F7-0FEC-43A5-9264-8B42560759AD}"/>
    <cellStyle name="40% - Accent3 3 9" xfId="17226" xr:uid="{00000000-0005-0000-0000-00006D100000}"/>
    <cellStyle name="40% - Accent3 3 9 2" xfId="34095" xr:uid="{A36476A7-0069-4E12-A28F-2D6AC74F32C1}"/>
    <cellStyle name="40% - Accent3 4" xfId="72" xr:uid="{00000000-0005-0000-0000-00006E100000}"/>
    <cellStyle name="40% - Accent3 4 10" xfId="25663" xr:uid="{A457ED18-93E5-422F-B9B0-C772215B27C8}"/>
    <cellStyle name="40% - Accent3 4 2" xfId="641" xr:uid="{00000000-0005-0000-0000-00006F100000}"/>
    <cellStyle name="40% - Accent3 4 2 2" xfId="2912" xr:uid="{00000000-0005-0000-0000-000070100000}"/>
    <cellStyle name="40% - Accent3 4 2 2 2" xfId="7135" xr:uid="{00000000-0005-0000-0000-000071100000}"/>
    <cellStyle name="40% - Accent3 4 2 2 2 2" xfId="24005" xr:uid="{00000000-0005-0000-0000-000072100000}"/>
    <cellStyle name="40% - Accent3 4 2 2 2 2 2" xfId="40873" xr:uid="{B0FF312F-94C9-4F21-A1D6-9B44EDF6A81B}"/>
    <cellStyle name="40% - Accent3 4 2 2 2 3" xfId="15570" xr:uid="{00000000-0005-0000-0000-000073100000}"/>
    <cellStyle name="40% - Accent3 4 2 2 2 4" xfId="32439" xr:uid="{2FB921A3-4624-4AE6-A385-E458AF200450}"/>
    <cellStyle name="40% - Accent3 4 2 2 3" xfId="19787" xr:uid="{00000000-0005-0000-0000-000074100000}"/>
    <cellStyle name="40% - Accent3 4 2 2 3 2" xfId="36656" xr:uid="{1025FBC1-85C4-421C-A072-276FF0096894}"/>
    <cellStyle name="40% - Accent3 4 2 2 4" xfId="11352" xr:uid="{00000000-0005-0000-0000-000075100000}"/>
    <cellStyle name="40% - Accent3 4 2 2 5" xfId="28222" xr:uid="{95785143-652C-41E0-B0CF-A2CB6380DBEC}"/>
    <cellStyle name="40% - Accent3 4 2 3" xfId="4990" xr:uid="{00000000-0005-0000-0000-000076100000}"/>
    <cellStyle name="40% - Accent3 4 2 3 2" xfId="21860" xr:uid="{00000000-0005-0000-0000-000077100000}"/>
    <cellStyle name="40% - Accent3 4 2 3 2 2" xfId="38728" xr:uid="{136BD924-0B1E-4ED3-AFC4-01663A32D38B}"/>
    <cellStyle name="40% - Accent3 4 2 3 3" xfId="13425" xr:uid="{00000000-0005-0000-0000-000078100000}"/>
    <cellStyle name="40% - Accent3 4 2 3 4" xfId="30294" xr:uid="{B087AC7C-7661-4700-934D-3623AE5CBDB1}"/>
    <cellStyle name="40% - Accent3 4 2 4" xfId="17642" xr:uid="{00000000-0005-0000-0000-000079100000}"/>
    <cellStyle name="40% - Accent3 4 2 4 2" xfId="34511" xr:uid="{F15317D6-A988-4693-A6DF-28D2AB27E4B5}"/>
    <cellStyle name="40% - Accent3 4 2 5" xfId="9207" xr:uid="{00000000-0005-0000-0000-00007A100000}"/>
    <cellStyle name="40% - Accent3 4 2 6" xfId="26077" xr:uid="{F3371EAB-5E88-4DE4-82E9-E7694B32C3D1}"/>
    <cellStyle name="40% - Accent3 4 3" xfId="1094" xr:uid="{00000000-0005-0000-0000-00007B100000}"/>
    <cellStyle name="40% - Accent3 4 3 2" xfId="3325" xr:uid="{00000000-0005-0000-0000-00007C100000}"/>
    <cellStyle name="40% - Accent3 4 3 2 2" xfId="7548" xr:uid="{00000000-0005-0000-0000-00007D100000}"/>
    <cellStyle name="40% - Accent3 4 3 2 2 2" xfId="24418" xr:uid="{00000000-0005-0000-0000-00007E100000}"/>
    <cellStyle name="40% - Accent3 4 3 2 2 2 2" xfId="41286" xr:uid="{25A0554D-9387-4916-B7F3-7DBCC172EE99}"/>
    <cellStyle name="40% - Accent3 4 3 2 2 3" xfId="15983" xr:uid="{00000000-0005-0000-0000-00007F100000}"/>
    <cellStyle name="40% - Accent3 4 3 2 2 4" xfId="32852" xr:uid="{C066222C-40CB-4944-A7A9-15426ACE40FF}"/>
    <cellStyle name="40% - Accent3 4 3 2 3" xfId="20200" xr:uid="{00000000-0005-0000-0000-000080100000}"/>
    <cellStyle name="40% - Accent3 4 3 2 3 2" xfId="37069" xr:uid="{134733A6-7DB0-4CDC-9903-DA0A15812EB3}"/>
    <cellStyle name="40% - Accent3 4 3 2 4" xfId="11765" xr:uid="{00000000-0005-0000-0000-000081100000}"/>
    <cellStyle name="40% - Accent3 4 3 2 5" xfId="28635" xr:uid="{DA924709-C5BC-4753-8B0F-0FEB743DA6D6}"/>
    <cellStyle name="40% - Accent3 4 3 3" xfId="5403" xr:uid="{00000000-0005-0000-0000-000082100000}"/>
    <cellStyle name="40% - Accent3 4 3 3 2" xfId="22273" xr:uid="{00000000-0005-0000-0000-000083100000}"/>
    <cellStyle name="40% - Accent3 4 3 3 2 2" xfId="39141" xr:uid="{C0B9515A-5BFA-4FBC-9CE1-F67A5DFCE4DA}"/>
    <cellStyle name="40% - Accent3 4 3 3 3" xfId="13838" xr:uid="{00000000-0005-0000-0000-000084100000}"/>
    <cellStyle name="40% - Accent3 4 3 3 4" xfId="30707" xr:uid="{EDD403F3-E185-46AA-A629-42B5C9D92DF5}"/>
    <cellStyle name="40% - Accent3 4 3 4" xfId="18055" xr:uid="{00000000-0005-0000-0000-000085100000}"/>
    <cellStyle name="40% - Accent3 4 3 4 2" xfId="34924" xr:uid="{43137BCF-198C-4CE2-BE60-2D98CBA7E083}"/>
    <cellStyle name="40% - Accent3 4 3 5" xfId="9620" xr:uid="{00000000-0005-0000-0000-000086100000}"/>
    <cellStyle name="40% - Accent3 4 3 6" xfId="26490" xr:uid="{4649DA62-7703-4E9A-999D-A00923500442}"/>
    <cellStyle name="40% - Accent3 4 4" xfId="1508" xr:uid="{00000000-0005-0000-0000-000087100000}"/>
    <cellStyle name="40% - Accent3 4 4 2" xfId="3738" xr:uid="{00000000-0005-0000-0000-000088100000}"/>
    <cellStyle name="40% - Accent3 4 4 2 2" xfId="7961" xr:uid="{00000000-0005-0000-0000-000089100000}"/>
    <cellStyle name="40% - Accent3 4 4 2 2 2" xfId="24831" xr:uid="{00000000-0005-0000-0000-00008A100000}"/>
    <cellStyle name="40% - Accent3 4 4 2 2 2 2" xfId="41699" xr:uid="{4E27CE10-14DD-4F47-9F4B-2C8672F891F6}"/>
    <cellStyle name="40% - Accent3 4 4 2 2 3" xfId="16396" xr:uid="{00000000-0005-0000-0000-00008B100000}"/>
    <cellStyle name="40% - Accent3 4 4 2 2 4" xfId="33265" xr:uid="{354F7C15-A3AA-404B-940A-8E2A59623230}"/>
    <cellStyle name="40% - Accent3 4 4 2 3" xfId="20613" xr:uid="{00000000-0005-0000-0000-00008C100000}"/>
    <cellStyle name="40% - Accent3 4 4 2 3 2" xfId="37482" xr:uid="{318EE85B-F26B-44E7-8B6B-BDA83D4F904C}"/>
    <cellStyle name="40% - Accent3 4 4 2 4" xfId="12178" xr:uid="{00000000-0005-0000-0000-00008D100000}"/>
    <cellStyle name="40% - Accent3 4 4 2 5" xfId="29048" xr:uid="{C18E2456-B0B7-4067-AD07-CA7DE4CEC230}"/>
    <cellStyle name="40% - Accent3 4 4 3" xfId="5816" xr:uid="{00000000-0005-0000-0000-00008E100000}"/>
    <cellStyle name="40% - Accent3 4 4 3 2" xfId="22686" xr:uid="{00000000-0005-0000-0000-00008F100000}"/>
    <cellStyle name="40% - Accent3 4 4 3 2 2" xfId="39554" xr:uid="{364CC61F-8985-4A35-BEE3-C071AC6740A4}"/>
    <cellStyle name="40% - Accent3 4 4 3 3" xfId="14251" xr:uid="{00000000-0005-0000-0000-000090100000}"/>
    <cellStyle name="40% - Accent3 4 4 3 4" xfId="31120" xr:uid="{1A872334-2EE0-4312-A6EA-CCFC763015F2}"/>
    <cellStyle name="40% - Accent3 4 4 4" xfId="18468" xr:uid="{00000000-0005-0000-0000-000091100000}"/>
    <cellStyle name="40% - Accent3 4 4 4 2" xfId="35337" xr:uid="{7EFA287A-F797-41A1-B468-74A5DB32FBCB}"/>
    <cellStyle name="40% - Accent3 4 4 5" xfId="10033" xr:uid="{00000000-0005-0000-0000-000092100000}"/>
    <cellStyle name="40% - Accent3 4 4 6" xfId="26903" xr:uid="{C892DFA2-F26A-4192-B26F-A70DA837898C}"/>
    <cellStyle name="40% - Accent3 4 5" xfId="1922" xr:uid="{00000000-0005-0000-0000-000093100000}"/>
    <cellStyle name="40% - Accent3 4 5 2" xfId="4151" xr:uid="{00000000-0005-0000-0000-000094100000}"/>
    <cellStyle name="40% - Accent3 4 5 2 2" xfId="8374" xr:uid="{00000000-0005-0000-0000-000095100000}"/>
    <cellStyle name="40% - Accent3 4 5 2 2 2" xfId="25244" xr:uid="{00000000-0005-0000-0000-000096100000}"/>
    <cellStyle name="40% - Accent3 4 5 2 2 2 2" xfId="42112" xr:uid="{5531A812-9BE8-4D8D-AB96-C1A794A5AB8E}"/>
    <cellStyle name="40% - Accent3 4 5 2 2 3" xfId="16809" xr:uid="{00000000-0005-0000-0000-000097100000}"/>
    <cellStyle name="40% - Accent3 4 5 2 2 4" xfId="33678" xr:uid="{C6811678-3308-4952-B5A2-2619402EBC2A}"/>
    <cellStyle name="40% - Accent3 4 5 2 3" xfId="21026" xr:uid="{00000000-0005-0000-0000-000098100000}"/>
    <cellStyle name="40% - Accent3 4 5 2 3 2" xfId="37895" xr:uid="{EF6D852D-DBA4-4940-A021-F8C3B1AD461D}"/>
    <cellStyle name="40% - Accent3 4 5 2 4" xfId="12591" xr:uid="{00000000-0005-0000-0000-000099100000}"/>
    <cellStyle name="40% - Accent3 4 5 2 5" xfId="29461" xr:uid="{5B3BACBF-EFCC-4ACF-9EA1-30707523B476}"/>
    <cellStyle name="40% - Accent3 4 5 3" xfId="6229" xr:uid="{00000000-0005-0000-0000-00009A100000}"/>
    <cellStyle name="40% - Accent3 4 5 3 2" xfId="23099" xr:uid="{00000000-0005-0000-0000-00009B100000}"/>
    <cellStyle name="40% - Accent3 4 5 3 2 2" xfId="39967" xr:uid="{628CA568-4699-4DF5-A81B-FA1C24FCF106}"/>
    <cellStyle name="40% - Accent3 4 5 3 3" xfId="14664" xr:uid="{00000000-0005-0000-0000-00009C100000}"/>
    <cellStyle name="40% - Accent3 4 5 3 4" xfId="31533" xr:uid="{DBBA09F4-F3B9-4437-AFCE-D76B3ACA88DA}"/>
    <cellStyle name="40% - Accent3 4 5 4" xfId="18881" xr:uid="{00000000-0005-0000-0000-00009D100000}"/>
    <cellStyle name="40% - Accent3 4 5 4 2" xfId="35750" xr:uid="{845C6C5D-1C17-4162-ABA2-C9E13F31CEBF}"/>
    <cellStyle name="40% - Accent3 4 5 5" xfId="10446" xr:uid="{00000000-0005-0000-0000-00009E100000}"/>
    <cellStyle name="40% - Accent3 4 5 6" xfId="27316" xr:uid="{C47FFC1B-49AF-4FFB-B22C-E977678DAAD9}"/>
    <cellStyle name="40% - Accent3 4 6" xfId="2335" xr:uid="{00000000-0005-0000-0000-00009F100000}"/>
    <cellStyle name="40% - Accent3 4 6 2" xfId="6642" xr:uid="{00000000-0005-0000-0000-0000A0100000}"/>
    <cellStyle name="40% - Accent3 4 6 2 2" xfId="23512" xr:uid="{00000000-0005-0000-0000-0000A1100000}"/>
    <cellStyle name="40% - Accent3 4 6 2 2 2" xfId="40380" xr:uid="{39EBE663-77C1-41BE-9546-16131217C3F8}"/>
    <cellStyle name="40% - Accent3 4 6 2 3" xfId="15077" xr:uid="{00000000-0005-0000-0000-0000A2100000}"/>
    <cellStyle name="40% - Accent3 4 6 2 4" xfId="31946" xr:uid="{40DB4F8C-36C7-4E7B-BA81-93E7D8D8A7FE}"/>
    <cellStyle name="40% - Accent3 4 6 3" xfId="19294" xr:uid="{00000000-0005-0000-0000-0000A3100000}"/>
    <cellStyle name="40% - Accent3 4 6 3 2" xfId="36163" xr:uid="{64E8A63F-1EB7-4736-87F9-6F3BCA27C00C}"/>
    <cellStyle name="40% - Accent3 4 6 4" xfId="10859" xr:uid="{00000000-0005-0000-0000-0000A4100000}"/>
    <cellStyle name="40% - Accent3 4 6 5" xfId="27729" xr:uid="{5F974DF8-F247-4182-A60C-5E08E62222C7}"/>
    <cellStyle name="40% - Accent3 4 7" xfId="4576" xr:uid="{00000000-0005-0000-0000-0000A5100000}"/>
    <cellStyle name="40% - Accent3 4 7 2" xfId="21446" xr:uid="{00000000-0005-0000-0000-0000A6100000}"/>
    <cellStyle name="40% - Accent3 4 7 2 2" xfId="38314" xr:uid="{7E0E735D-8FDB-4E7C-A17A-13BA611C353E}"/>
    <cellStyle name="40% - Accent3 4 7 3" xfId="13011" xr:uid="{00000000-0005-0000-0000-0000A7100000}"/>
    <cellStyle name="40% - Accent3 4 7 4" xfId="29880" xr:uid="{2621F56F-9E16-478F-B1B8-DB8CD8281FC4}"/>
    <cellStyle name="40% - Accent3 4 8" xfId="17228" xr:uid="{00000000-0005-0000-0000-0000A8100000}"/>
    <cellStyle name="40% - Accent3 4 8 2" xfId="34097" xr:uid="{94BB414B-A004-4BF9-AC6E-D7F536BFD458}"/>
    <cellStyle name="40% - Accent3 4 9" xfId="8793" xr:uid="{00000000-0005-0000-0000-0000A9100000}"/>
    <cellStyle name="40% - Accent3 5" xfId="634" xr:uid="{00000000-0005-0000-0000-0000AA100000}"/>
    <cellStyle name="40% - Accent3 5 2" xfId="2905" xr:uid="{00000000-0005-0000-0000-0000AB100000}"/>
    <cellStyle name="40% - Accent3 5 2 2" xfId="7128" xr:uid="{00000000-0005-0000-0000-0000AC100000}"/>
    <cellStyle name="40% - Accent3 5 2 2 2" xfId="23998" xr:uid="{00000000-0005-0000-0000-0000AD100000}"/>
    <cellStyle name="40% - Accent3 5 2 2 2 2" xfId="40866" xr:uid="{AB07D1DD-6C6D-407B-B461-FD361F7EA004}"/>
    <cellStyle name="40% - Accent3 5 2 2 3" xfId="15563" xr:uid="{00000000-0005-0000-0000-0000AE100000}"/>
    <cellStyle name="40% - Accent3 5 2 2 4" xfId="32432" xr:uid="{932F5A54-1D29-4DF4-9197-052888661388}"/>
    <cellStyle name="40% - Accent3 5 2 3" xfId="19780" xr:uid="{00000000-0005-0000-0000-0000AF100000}"/>
    <cellStyle name="40% - Accent3 5 2 3 2" xfId="36649" xr:uid="{4A06A7D2-D19E-43AB-A237-CBDD10E32A67}"/>
    <cellStyle name="40% - Accent3 5 2 4" xfId="11345" xr:uid="{00000000-0005-0000-0000-0000B0100000}"/>
    <cellStyle name="40% - Accent3 5 2 5" xfId="28215" xr:uid="{6FF66D97-64A2-460E-B82D-4344A9AF1BD3}"/>
    <cellStyle name="40% - Accent3 5 3" xfId="4983" xr:uid="{00000000-0005-0000-0000-0000B1100000}"/>
    <cellStyle name="40% - Accent3 5 3 2" xfId="21853" xr:uid="{00000000-0005-0000-0000-0000B2100000}"/>
    <cellStyle name="40% - Accent3 5 3 2 2" xfId="38721" xr:uid="{803E4DF1-19AC-48FF-ACA1-F91A184BED94}"/>
    <cellStyle name="40% - Accent3 5 3 3" xfId="13418" xr:uid="{00000000-0005-0000-0000-0000B3100000}"/>
    <cellStyle name="40% - Accent3 5 3 4" xfId="30287" xr:uid="{DC3C410A-A69F-444C-ADFD-FD0A786FF771}"/>
    <cellStyle name="40% - Accent3 5 4" xfId="17635" xr:uid="{00000000-0005-0000-0000-0000B4100000}"/>
    <cellStyle name="40% - Accent3 5 4 2" xfId="34504" xr:uid="{96C0B821-BB03-4EA3-A7C5-F3BE65DA6510}"/>
    <cellStyle name="40% - Accent3 5 5" xfId="9200" xr:uid="{00000000-0005-0000-0000-0000B5100000}"/>
    <cellStyle name="40% - Accent3 5 6" xfId="26070" xr:uid="{24BDF7AE-0DDA-4D19-857E-7DB40ECF69E7}"/>
    <cellStyle name="40% - Accent3 6" xfId="1087" xr:uid="{00000000-0005-0000-0000-0000B6100000}"/>
    <cellStyle name="40% - Accent3 6 2" xfId="3318" xr:uid="{00000000-0005-0000-0000-0000B7100000}"/>
    <cellStyle name="40% - Accent3 6 2 2" xfId="7541" xr:uid="{00000000-0005-0000-0000-0000B8100000}"/>
    <cellStyle name="40% - Accent3 6 2 2 2" xfId="24411" xr:uid="{00000000-0005-0000-0000-0000B9100000}"/>
    <cellStyle name="40% - Accent3 6 2 2 2 2" xfId="41279" xr:uid="{5D7A3EEE-D128-49E5-9937-CA4A48E14AD2}"/>
    <cellStyle name="40% - Accent3 6 2 2 3" xfId="15976" xr:uid="{00000000-0005-0000-0000-0000BA100000}"/>
    <cellStyle name="40% - Accent3 6 2 2 4" xfId="32845" xr:uid="{8D890C0E-3032-43AF-95F0-017EAABB9DBF}"/>
    <cellStyle name="40% - Accent3 6 2 3" xfId="20193" xr:uid="{00000000-0005-0000-0000-0000BB100000}"/>
    <cellStyle name="40% - Accent3 6 2 3 2" xfId="37062" xr:uid="{1D97F124-5379-4019-BB88-BBA8442ADAB1}"/>
    <cellStyle name="40% - Accent3 6 2 4" xfId="11758" xr:uid="{00000000-0005-0000-0000-0000BC100000}"/>
    <cellStyle name="40% - Accent3 6 2 5" xfId="28628" xr:uid="{EBEC745C-42C4-4F5C-BBD6-4E48403A8C74}"/>
    <cellStyle name="40% - Accent3 6 3" xfId="5396" xr:uid="{00000000-0005-0000-0000-0000BD100000}"/>
    <cellStyle name="40% - Accent3 6 3 2" xfId="22266" xr:uid="{00000000-0005-0000-0000-0000BE100000}"/>
    <cellStyle name="40% - Accent3 6 3 2 2" xfId="39134" xr:uid="{D00444BC-773B-44A1-ABD5-A65DC138DE70}"/>
    <cellStyle name="40% - Accent3 6 3 3" xfId="13831" xr:uid="{00000000-0005-0000-0000-0000BF100000}"/>
    <cellStyle name="40% - Accent3 6 3 4" xfId="30700" xr:uid="{42AF0F53-EE3D-4CF4-97B4-0419E42FE106}"/>
    <cellStyle name="40% - Accent3 6 4" xfId="18048" xr:uid="{00000000-0005-0000-0000-0000C0100000}"/>
    <cellStyle name="40% - Accent3 6 4 2" xfId="34917" xr:uid="{2ED3C99C-A78F-4035-99CE-1FCFBE9B4ADA}"/>
    <cellStyle name="40% - Accent3 6 5" xfId="9613" xr:uid="{00000000-0005-0000-0000-0000C1100000}"/>
    <cellStyle name="40% - Accent3 6 6" xfId="26483" xr:uid="{913A59EA-BE46-45DA-85AF-7903577B55DF}"/>
    <cellStyle name="40% - Accent3 7" xfId="1501" xr:uid="{00000000-0005-0000-0000-0000C2100000}"/>
    <cellStyle name="40% - Accent3 7 2" xfId="3731" xr:uid="{00000000-0005-0000-0000-0000C3100000}"/>
    <cellStyle name="40% - Accent3 7 2 2" xfId="7954" xr:uid="{00000000-0005-0000-0000-0000C4100000}"/>
    <cellStyle name="40% - Accent3 7 2 2 2" xfId="24824" xr:uid="{00000000-0005-0000-0000-0000C5100000}"/>
    <cellStyle name="40% - Accent3 7 2 2 2 2" xfId="41692" xr:uid="{A6B60247-BD65-495D-80E8-32DAC49CD888}"/>
    <cellStyle name="40% - Accent3 7 2 2 3" xfId="16389" xr:uid="{00000000-0005-0000-0000-0000C6100000}"/>
    <cellStyle name="40% - Accent3 7 2 2 4" xfId="33258" xr:uid="{2D02BF75-EF94-45FE-AA25-5BE171DCEC3D}"/>
    <cellStyle name="40% - Accent3 7 2 3" xfId="20606" xr:uid="{00000000-0005-0000-0000-0000C7100000}"/>
    <cellStyle name="40% - Accent3 7 2 3 2" xfId="37475" xr:uid="{DA8E5EF4-05BC-42EA-9470-0FE0533C3C34}"/>
    <cellStyle name="40% - Accent3 7 2 4" xfId="12171" xr:uid="{00000000-0005-0000-0000-0000C8100000}"/>
    <cellStyle name="40% - Accent3 7 2 5" xfId="29041" xr:uid="{75402E55-9BE0-43BC-839E-08AE08CAD0BF}"/>
    <cellStyle name="40% - Accent3 7 3" xfId="5809" xr:uid="{00000000-0005-0000-0000-0000C9100000}"/>
    <cellStyle name="40% - Accent3 7 3 2" xfId="22679" xr:uid="{00000000-0005-0000-0000-0000CA100000}"/>
    <cellStyle name="40% - Accent3 7 3 2 2" xfId="39547" xr:uid="{36BBB77F-E3BB-4952-8128-EF0BA9235D38}"/>
    <cellStyle name="40% - Accent3 7 3 3" xfId="14244" xr:uid="{00000000-0005-0000-0000-0000CB100000}"/>
    <cellStyle name="40% - Accent3 7 3 4" xfId="31113" xr:uid="{8C859FBF-0924-4CDC-A59B-C24EA7721CC3}"/>
    <cellStyle name="40% - Accent3 7 4" xfId="18461" xr:uid="{00000000-0005-0000-0000-0000CC100000}"/>
    <cellStyle name="40% - Accent3 7 4 2" xfId="35330" xr:uid="{C01F74E5-6E81-462F-97D9-646A7C528E5F}"/>
    <cellStyle name="40% - Accent3 7 5" xfId="10026" xr:uid="{00000000-0005-0000-0000-0000CD100000}"/>
    <cellStyle name="40% - Accent3 7 6" xfId="26896" xr:uid="{D2FD0309-CC05-4593-8EA0-5BD7600CBAAF}"/>
    <cellStyle name="40% - Accent3 8" xfId="1915" xr:uid="{00000000-0005-0000-0000-0000CE100000}"/>
    <cellStyle name="40% - Accent3 8 2" xfId="4144" xr:uid="{00000000-0005-0000-0000-0000CF100000}"/>
    <cellStyle name="40% - Accent3 8 2 2" xfId="8367" xr:uid="{00000000-0005-0000-0000-0000D0100000}"/>
    <cellStyle name="40% - Accent3 8 2 2 2" xfId="25237" xr:uid="{00000000-0005-0000-0000-0000D1100000}"/>
    <cellStyle name="40% - Accent3 8 2 2 2 2" xfId="42105" xr:uid="{DE34A4F7-01ED-47F2-BD2C-D97215773D36}"/>
    <cellStyle name="40% - Accent3 8 2 2 3" xfId="16802" xr:uid="{00000000-0005-0000-0000-0000D2100000}"/>
    <cellStyle name="40% - Accent3 8 2 2 4" xfId="33671" xr:uid="{F94A31C0-C776-4397-A9C5-C8C8CB665144}"/>
    <cellStyle name="40% - Accent3 8 2 3" xfId="21019" xr:uid="{00000000-0005-0000-0000-0000D3100000}"/>
    <cellStyle name="40% - Accent3 8 2 3 2" xfId="37888" xr:uid="{8A2536ED-6399-41CF-ACA4-76E66F4E1DCB}"/>
    <cellStyle name="40% - Accent3 8 2 4" xfId="12584" xr:uid="{00000000-0005-0000-0000-0000D4100000}"/>
    <cellStyle name="40% - Accent3 8 2 5" xfId="29454" xr:uid="{B4D154C5-7A70-4434-BC61-1817FB741FA7}"/>
    <cellStyle name="40% - Accent3 8 3" xfId="6222" xr:uid="{00000000-0005-0000-0000-0000D5100000}"/>
    <cellStyle name="40% - Accent3 8 3 2" xfId="23092" xr:uid="{00000000-0005-0000-0000-0000D6100000}"/>
    <cellStyle name="40% - Accent3 8 3 2 2" xfId="39960" xr:uid="{EF8CC6CD-F522-4EFA-A83E-E95D661C6D91}"/>
    <cellStyle name="40% - Accent3 8 3 3" xfId="14657" xr:uid="{00000000-0005-0000-0000-0000D7100000}"/>
    <cellStyle name="40% - Accent3 8 3 4" xfId="31526" xr:uid="{B505A823-B98A-4C4A-881C-C0EC57103DCD}"/>
    <cellStyle name="40% - Accent3 8 4" xfId="18874" xr:uid="{00000000-0005-0000-0000-0000D8100000}"/>
    <cellStyle name="40% - Accent3 8 4 2" xfId="35743" xr:uid="{B00A5B21-17FF-4F4A-BCAA-0340CD360DEC}"/>
    <cellStyle name="40% - Accent3 8 5" xfId="10439" xr:uid="{00000000-0005-0000-0000-0000D9100000}"/>
    <cellStyle name="40% - Accent3 8 6" xfId="27309" xr:uid="{18B902DE-0ED0-467C-AC8B-87459F668CF1}"/>
    <cellStyle name="40% - Accent3 9" xfId="2328" xr:uid="{00000000-0005-0000-0000-0000DA100000}"/>
    <cellStyle name="40% - Accent3 9 2" xfId="6635" xr:uid="{00000000-0005-0000-0000-0000DB100000}"/>
    <cellStyle name="40% - Accent3 9 2 2" xfId="23505" xr:uid="{00000000-0005-0000-0000-0000DC100000}"/>
    <cellStyle name="40% - Accent3 9 2 2 2" xfId="40373" xr:uid="{E0CA7854-C181-4788-BCB1-569CB067ED27}"/>
    <cellStyle name="40% - Accent3 9 2 3" xfId="15070" xr:uid="{00000000-0005-0000-0000-0000DD100000}"/>
    <cellStyle name="40% - Accent3 9 2 4" xfId="31939" xr:uid="{62FB6C22-E56F-4623-BCD2-2969BD323128}"/>
    <cellStyle name="40% - Accent3 9 3" xfId="19287" xr:uid="{00000000-0005-0000-0000-0000DE100000}"/>
    <cellStyle name="40% - Accent3 9 3 2" xfId="36156" xr:uid="{AA95A22A-54F9-42A2-875C-9D9B6046BD16}"/>
    <cellStyle name="40% - Accent3 9 4" xfId="10852" xr:uid="{00000000-0005-0000-0000-0000DF100000}"/>
    <cellStyle name="40% - Accent3 9 5" xfId="27722" xr:uid="{BE25185B-1883-40E4-804A-DF58A2E12802}"/>
    <cellStyle name="40% - Accent4" xfId="73" builtinId="43" customBuiltin="1"/>
    <cellStyle name="40% - Accent4 10" xfId="4577" xr:uid="{00000000-0005-0000-0000-0000E1100000}"/>
    <cellStyle name="40% - Accent4 10 2" xfId="21447" xr:uid="{00000000-0005-0000-0000-0000E2100000}"/>
    <cellStyle name="40% - Accent4 10 2 2" xfId="38315" xr:uid="{62A90534-72DE-4DD3-ADA3-E6C6277DB863}"/>
    <cellStyle name="40% - Accent4 10 3" xfId="13012" xr:uid="{00000000-0005-0000-0000-0000E3100000}"/>
    <cellStyle name="40% - Accent4 10 4" xfId="29881" xr:uid="{9192A46E-943A-4827-8698-B6F3878746C2}"/>
    <cellStyle name="40% - Accent4 11" xfId="17229" xr:uid="{00000000-0005-0000-0000-0000E4100000}"/>
    <cellStyle name="40% - Accent4 11 2" xfId="34098" xr:uid="{2EADD7F5-B19F-4293-8508-FE413FBCA3FC}"/>
    <cellStyle name="40% - Accent4 12" xfId="8794" xr:uid="{00000000-0005-0000-0000-0000E5100000}"/>
    <cellStyle name="40% - Accent4 13" xfId="25664" xr:uid="{054001E4-1DA3-4E99-897B-C99863A04EAC}"/>
    <cellStyle name="40% - Accent4 2" xfId="74" xr:uid="{00000000-0005-0000-0000-0000E6100000}"/>
    <cellStyle name="40% - Accent4 2 10" xfId="17230" xr:uid="{00000000-0005-0000-0000-0000E7100000}"/>
    <cellStyle name="40% - Accent4 2 10 2" xfId="34099" xr:uid="{CB326E6F-EE01-4802-937C-46881B114E45}"/>
    <cellStyle name="40% - Accent4 2 11" xfId="8795" xr:uid="{00000000-0005-0000-0000-0000E8100000}"/>
    <cellStyle name="40% - Accent4 2 12" xfId="25665" xr:uid="{FC3C9C0D-C3F0-4FA7-87A7-F001A3DDC876}"/>
    <cellStyle name="40% - Accent4 2 2" xfId="75" xr:uid="{00000000-0005-0000-0000-0000E9100000}"/>
    <cellStyle name="40% - Accent4 2 2 10" xfId="8796" xr:uid="{00000000-0005-0000-0000-0000EA100000}"/>
    <cellStyle name="40% - Accent4 2 2 11" xfId="25666" xr:uid="{5C9A0D51-C87E-4F70-9E4D-9056093BFBCB}"/>
    <cellStyle name="40% - Accent4 2 2 2" xfId="76" xr:uid="{00000000-0005-0000-0000-0000EB100000}"/>
    <cellStyle name="40% - Accent4 2 2 2 10" xfId="25667" xr:uid="{E9B84470-F516-4295-A628-0F50F3173FD8}"/>
    <cellStyle name="40% - Accent4 2 2 2 2" xfId="645" xr:uid="{00000000-0005-0000-0000-0000EC100000}"/>
    <cellStyle name="40% - Accent4 2 2 2 2 2" xfId="2916" xr:uid="{00000000-0005-0000-0000-0000ED100000}"/>
    <cellStyle name="40% - Accent4 2 2 2 2 2 2" xfId="7139" xr:uid="{00000000-0005-0000-0000-0000EE100000}"/>
    <cellStyle name="40% - Accent4 2 2 2 2 2 2 2" xfId="24009" xr:uid="{00000000-0005-0000-0000-0000EF100000}"/>
    <cellStyle name="40% - Accent4 2 2 2 2 2 2 2 2" xfId="40877" xr:uid="{AA026ACB-E511-4040-BDA7-8828FBB49087}"/>
    <cellStyle name="40% - Accent4 2 2 2 2 2 2 3" xfId="15574" xr:uid="{00000000-0005-0000-0000-0000F0100000}"/>
    <cellStyle name="40% - Accent4 2 2 2 2 2 2 4" xfId="32443" xr:uid="{7A417517-EF77-41CF-95C2-FF6150AA91F6}"/>
    <cellStyle name="40% - Accent4 2 2 2 2 2 3" xfId="19791" xr:uid="{00000000-0005-0000-0000-0000F1100000}"/>
    <cellStyle name="40% - Accent4 2 2 2 2 2 3 2" xfId="36660" xr:uid="{DF58B20A-D841-454A-B123-608DA08D71FC}"/>
    <cellStyle name="40% - Accent4 2 2 2 2 2 4" xfId="11356" xr:uid="{00000000-0005-0000-0000-0000F2100000}"/>
    <cellStyle name="40% - Accent4 2 2 2 2 2 5" xfId="28226" xr:uid="{8A338DE4-1583-456D-8C98-60FB66C1FBE9}"/>
    <cellStyle name="40% - Accent4 2 2 2 2 3" xfId="4994" xr:uid="{00000000-0005-0000-0000-0000F3100000}"/>
    <cellStyle name="40% - Accent4 2 2 2 2 3 2" xfId="21864" xr:uid="{00000000-0005-0000-0000-0000F4100000}"/>
    <cellStyle name="40% - Accent4 2 2 2 2 3 2 2" xfId="38732" xr:uid="{BD0B0AE1-FF80-45F0-B1F0-28A6A538D025}"/>
    <cellStyle name="40% - Accent4 2 2 2 2 3 3" xfId="13429" xr:uid="{00000000-0005-0000-0000-0000F5100000}"/>
    <cellStyle name="40% - Accent4 2 2 2 2 3 4" xfId="30298" xr:uid="{9329C918-7657-4B64-8EE7-917121451B63}"/>
    <cellStyle name="40% - Accent4 2 2 2 2 4" xfId="17646" xr:uid="{00000000-0005-0000-0000-0000F6100000}"/>
    <cellStyle name="40% - Accent4 2 2 2 2 4 2" xfId="34515" xr:uid="{AEEA1F9F-C08B-4A77-90AD-610F37B53472}"/>
    <cellStyle name="40% - Accent4 2 2 2 2 5" xfId="9211" xr:uid="{00000000-0005-0000-0000-0000F7100000}"/>
    <cellStyle name="40% - Accent4 2 2 2 2 6" xfId="26081" xr:uid="{03B918BF-80FC-401C-9C2D-43100AAA356C}"/>
    <cellStyle name="40% - Accent4 2 2 2 3" xfId="1098" xr:uid="{00000000-0005-0000-0000-0000F8100000}"/>
    <cellStyle name="40% - Accent4 2 2 2 3 2" xfId="3329" xr:uid="{00000000-0005-0000-0000-0000F9100000}"/>
    <cellStyle name="40% - Accent4 2 2 2 3 2 2" xfId="7552" xr:uid="{00000000-0005-0000-0000-0000FA100000}"/>
    <cellStyle name="40% - Accent4 2 2 2 3 2 2 2" xfId="24422" xr:uid="{00000000-0005-0000-0000-0000FB100000}"/>
    <cellStyle name="40% - Accent4 2 2 2 3 2 2 2 2" xfId="41290" xr:uid="{CF0853E0-856F-454B-B45B-E61C28AB81AA}"/>
    <cellStyle name="40% - Accent4 2 2 2 3 2 2 3" xfId="15987" xr:uid="{00000000-0005-0000-0000-0000FC100000}"/>
    <cellStyle name="40% - Accent4 2 2 2 3 2 2 4" xfId="32856" xr:uid="{26B00082-A799-4282-A252-FCF78332177B}"/>
    <cellStyle name="40% - Accent4 2 2 2 3 2 3" xfId="20204" xr:uid="{00000000-0005-0000-0000-0000FD100000}"/>
    <cellStyle name="40% - Accent4 2 2 2 3 2 3 2" xfId="37073" xr:uid="{DDA934F2-90C7-45E3-839B-C60B17A1CBA9}"/>
    <cellStyle name="40% - Accent4 2 2 2 3 2 4" xfId="11769" xr:uid="{00000000-0005-0000-0000-0000FE100000}"/>
    <cellStyle name="40% - Accent4 2 2 2 3 2 5" xfId="28639" xr:uid="{F3AF82FB-C791-450E-9A13-92F050ADFA3D}"/>
    <cellStyle name="40% - Accent4 2 2 2 3 3" xfId="5407" xr:uid="{00000000-0005-0000-0000-0000FF100000}"/>
    <cellStyle name="40% - Accent4 2 2 2 3 3 2" xfId="22277" xr:uid="{00000000-0005-0000-0000-000000110000}"/>
    <cellStyle name="40% - Accent4 2 2 2 3 3 2 2" xfId="39145" xr:uid="{4092A8D0-F30B-4EC1-9A2C-9CF3658FFC31}"/>
    <cellStyle name="40% - Accent4 2 2 2 3 3 3" xfId="13842" xr:uid="{00000000-0005-0000-0000-000001110000}"/>
    <cellStyle name="40% - Accent4 2 2 2 3 3 4" xfId="30711" xr:uid="{89BFF8FD-5AAB-4CD7-AF3E-CA202132F5CB}"/>
    <cellStyle name="40% - Accent4 2 2 2 3 4" xfId="18059" xr:uid="{00000000-0005-0000-0000-000002110000}"/>
    <cellStyle name="40% - Accent4 2 2 2 3 4 2" xfId="34928" xr:uid="{1547A4FC-E735-4707-9C11-B4D8E8F06AAA}"/>
    <cellStyle name="40% - Accent4 2 2 2 3 5" xfId="9624" xr:uid="{00000000-0005-0000-0000-000003110000}"/>
    <cellStyle name="40% - Accent4 2 2 2 3 6" xfId="26494" xr:uid="{06970614-AB25-435C-B651-A083AF308DE6}"/>
    <cellStyle name="40% - Accent4 2 2 2 4" xfId="1512" xr:uid="{00000000-0005-0000-0000-000004110000}"/>
    <cellStyle name="40% - Accent4 2 2 2 4 2" xfId="3742" xr:uid="{00000000-0005-0000-0000-000005110000}"/>
    <cellStyle name="40% - Accent4 2 2 2 4 2 2" xfId="7965" xr:uid="{00000000-0005-0000-0000-000006110000}"/>
    <cellStyle name="40% - Accent4 2 2 2 4 2 2 2" xfId="24835" xr:uid="{00000000-0005-0000-0000-000007110000}"/>
    <cellStyle name="40% - Accent4 2 2 2 4 2 2 2 2" xfId="41703" xr:uid="{A4F29C66-11C8-4C51-A3D4-AA8BF4497990}"/>
    <cellStyle name="40% - Accent4 2 2 2 4 2 2 3" xfId="16400" xr:uid="{00000000-0005-0000-0000-000008110000}"/>
    <cellStyle name="40% - Accent4 2 2 2 4 2 2 4" xfId="33269" xr:uid="{FA985098-2E69-4C70-8E87-BA9A54A0B477}"/>
    <cellStyle name="40% - Accent4 2 2 2 4 2 3" xfId="20617" xr:uid="{00000000-0005-0000-0000-000009110000}"/>
    <cellStyle name="40% - Accent4 2 2 2 4 2 3 2" xfId="37486" xr:uid="{004A2519-915B-45D2-91A4-25F86000339B}"/>
    <cellStyle name="40% - Accent4 2 2 2 4 2 4" xfId="12182" xr:uid="{00000000-0005-0000-0000-00000A110000}"/>
    <cellStyle name="40% - Accent4 2 2 2 4 2 5" xfId="29052" xr:uid="{1A4E93E7-2723-4FAA-BFFB-87A8529380DB}"/>
    <cellStyle name="40% - Accent4 2 2 2 4 3" xfId="5820" xr:uid="{00000000-0005-0000-0000-00000B110000}"/>
    <cellStyle name="40% - Accent4 2 2 2 4 3 2" xfId="22690" xr:uid="{00000000-0005-0000-0000-00000C110000}"/>
    <cellStyle name="40% - Accent4 2 2 2 4 3 2 2" xfId="39558" xr:uid="{391AFE6F-7BDC-4B91-8E05-11BFCB932675}"/>
    <cellStyle name="40% - Accent4 2 2 2 4 3 3" xfId="14255" xr:uid="{00000000-0005-0000-0000-00000D110000}"/>
    <cellStyle name="40% - Accent4 2 2 2 4 3 4" xfId="31124" xr:uid="{4BCC90F6-FB70-49BD-A9A8-6115C4AF9A18}"/>
    <cellStyle name="40% - Accent4 2 2 2 4 4" xfId="18472" xr:uid="{00000000-0005-0000-0000-00000E110000}"/>
    <cellStyle name="40% - Accent4 2 2 2 4 4 2" xfId="35341" xr:uid="{4030F56F-A4A1-4F37-97C5-B55EBD2FE87B}"/>
    <cellStyle name="40% - Accent4 2 2 2 4 5" xfId="10037" xr:uid="{00000000-0005-0000-0000-00000F110000}"/>
    <cellStyle name="40% - Accent4 2 2 2 4 6" xfId="26907" xr:uid="{9111C956-EE68-47CA-9EF9-152538D4CD4F}"/>
    <cellStyle name="40% - Accent4 2 2 2 5" xfId="1926" xr:uid="{00000000-0005-0000-0000-000010110000}"/>
    <cellStyle name="40% - Accent4 2 2 2 5 2" xfId="4155" xr:uid="{00000000-0005-0000-0000-000011110000}"/>
    <cellStyle name="40% - Accent4 2 2 2 5 2 2" xfId="8378" xr:uid="{00000000-0005-0000-0000-000012110000}"/>
    <cellStyle name="40% - Accent4 2 2 2 5 2 2 2" xfId="25248" xr:uid="{00000000-0005-0000-0000-000013110000}"/>
    <cellStyle name="40% - Accent4 2 2 2 5 2 2 2 2" xfId="42116" xr:uid="{00495DCD-8C3E-4AEC-AAA4-22FF0833B9FE}"/>
    <cellStyle name="40% - Accent4 2 2 2 5 2 2 3" xfId="16813" xr:uid="{00000000-0005-0000-0000-000014110000}"/>
    <cellStyle name="40% - Accent4 2 2 2 5 2 2 4" xfId="33682" xr:uid="{138CEE23-B22C-49A4-B4EB-5CFF4E5386BE}"/>
    <cellStyle name="40% - Accent4 2 2 2 5 2 3" xfId="21030" xr:uid="{00000000-0005-0000-0000-000015110000}"/>
    <cellStyle name="40% - Accent4 2 2 2 5 2 3 2" xfId="37899" xr:uid="{0817371F-8865-489B-BF60-77B2B7D4F929}"/>
    <cellStyle name="40% - Accent4 2 2 2 5 2 4" xfId="12595" xr:uid="{00000000-0005-0000-0000-000016110000}"/>
    <cellStyle name="40% - Accent4 2 2 2 5 2 5" xfId="29465" xr:uid="{D04DED08-B67B-438E-88D0-4FEF4501E86C}"/>
    <cellStyle name="40% - Accent4 2 2 2 5 3" xfId="6233" xr:uid="{00000000-0005-0000-0000-000017110000}"/>
    <cellStyle name="40% - Accent4 2 2 2 5 3 2" xfId="23103" xr:uid="{00000000-0005-0000-0000-000018110000}"/>
    <cellStyle name="40% - Accent4 2 2 2 5 3 2 2" xfId="39971" xr:uid="{D1761159-680C-4682-9B65-D0833AB416B7}"/>
    <cellStyle name="40% - Accent4 2 2 2 5 3 3" xfId="14668" xr:uid="{00000000-0005-0000-0000-000019110000}"/>
    <cellStyle name="40% - Accent4 2 2 2 5 3 4" xfId="31537" xr:uid="{6FC1CE35-12E4-486E-A61F-25378046B393}"/>
    <cellStyle name="40% - Accent4 2 2 2 5 4" xfId="18885" xr:uid="{00000000-0005-0000-0000-00001A110000}"/>
    <cellStyle name="40% - Accent4 2 2 2 5 4 2" xfId="35754" xr:uid="{95882EC5-4CA8-4757-A20C-7F55F1766F3B}"/>
    <cellStyle name="40% - Accent4 2 2 2 5 5" xfId="10450" xr:uid="{00000000-0005-0000-0000-00001B110000}"/>
    <cellStyle name="40% - Accent4 2 2 2 5 6" xfId="27320" xr:uid="{DDB8B8B8-048B-46E0-B13C-41F733579910}"/>
    <cellStyle name="40% - Accent4 2 2 2 6" xfId="2339" xr:uid="{00000000-0005-0000-0000-00001C110000}"/>
    <cellStyle name="40% - Accent4 2 2 2 6 2" xfId="6646" xr:uid="{00000000-0005-0000-0000-00001D110000}"/>
    <cellStyle name="40% - Accent4 2 2 2 6 2 2" xfId="23516" xr:uid="{00000000-0005-0000-0000-00001E110000}"/>
    <cellStyle name="40% - Accent4 2 2 2 6 2 2 2" xfId="40384" xr:uid="{B39D7BD6-BBD1-4DED-B877-AA0606B226D2}"/>
    <cellStyle name="40% - Accent4 2 2 2 6 2 3" xfId="15081" xr:uid="{00000000-0005-0000-0000-00001F110000}"/>
    <cellStyle name="40% - Accent4 2 2 2 6 2 4" xfId="31950" xr:uid="{C1EB07BE-7DBD-439C-BD4D-8D5C1E9311E7}"/>
    <cellStyle name="40% - Accent4 2 2 2 6 3" xfId="19298" xr:uid="{00000000-0005-0000-0000-000020110000}"/>
    <cellStyle name="40% - Accent4 2 2 2 6 3 2" xfId="36167" xr:uid="{EBE14BF9-2874-45A6-90FD-0F71EED4A70F}"/>
    <cellStyle name="40% - Accent4 2 2 2 6 4" xfId="10863" xr:uid="{00000000-0005-0000-0000-000021110000}"/>
    <cellStyle name="40% - Accent4 2 2 2 6 5" xfId="27733" xr:uid="{9A978BD2-8B67-4B84-9E3E-DFDA39F700A2}"/>
    <cellStyle name="40% - Accent4 2 2 2 7" xfId="4580" xr:uid="{00000000-0005-0000-0000-000022110000}"/>
    <cellStyle name="40% - Accent4 2 2 2 7 2" xfId="21450" xr:uid="{00000000-0005-0000-0000-000023110000}"/>
    <cellStyle name="40% - Accent4 2 2 2 7 2 2" xfId="38318" xr:uid="{E53F5BA9-5870-434D-904A-F5A241268CAA}"/>
    <cellStyle name="40% - Accent4 2 2 2 7 3" xfId="13015" xr:uid="{00000000-0005-0000-0000-000024110000}"/>
    <cellStyle name="40% - Accent4 2 2 2 7 4" xfId="29884" xr:uid="{73B0A702-4AEE-4CF2-951A-CCCDCEC85238}"/>
    <cellStyle name="40% - Accent4 2 2 2 8" xfId="17232" xr:uid="{00000000-0005-0000-0000-000025110000}"/>
    <cellStyle name="40% - Accent4 2 2 2 8 2" xfId="34101" xr:uid="{6EC02284-52E4-448B-8699-04FD73B37465}"/>
    <cellStyle name="40% - Accent4 2 2 2 9" xfId="8797" xr:uid="{00000000-0005-0000-0000-000026110000}"/>
    <cellStyle name="40% - Accent4 2 2 3" xfId="644" xr:uid="{00000000-0005-0000-0000-000027110000}"/>
    <cellStyle name="40% - Accent4 2 2 3 2" xfId="2915" xr:uid="{00000000-0005-0000-0000-000028110000}"/>
    <cellStyle name="40% - Accent4 2 2 3 2 2" xfId="7138" xr:uid="{00000000-0005-0000-0000-000029110000}"/>
    <cellStyle name="40% - Accent4 2 2 3 2 2 2" xfId="24008" xr:uid="{00000000-0005-0000-0000-00002A110000}"/>
    <cellStyle name="40% - Accent4 2 2 3 2 2 2 2" xfId="40876" xr:uid="{DEBE8E2C-0FC3-4D57-92A6-CDF5EBC42801}"/>
    <cellStyle name="40% - Accent4 2 2 3 2 2 3" xfId="15573" xr:uid="{00000000-0005-0000-0000-00002B110000}"/>
    <cellStyle name="40% - Accent4 2 2 3 2 2 4" xfId="32442" xr:uid="{05CE0707-BA50-4F48-9AF9-B231318C566C}"/>
    <cellStyle name="40% - Accent4 2 2 3 2 3" xfId="19790" xr:uid="{00000000-0005-0000-0000-00002C110000}"/>
    <cellStyle name="40% - Accent4 2 2 3 2 3 2" xfId="36659" xr:uid="{0CDA6A10-1FAA-47E3-A1D9-3FCB013A8EED}"/>
    <cellStyle name="40% - Accent4 2 2 3 2 4" xfId="11355" xr:uid="{00000000-0005-0000-0000-00002D110000}"/>
    <cellStyle name="40% - Accent4 2 2 3 2 5" xfId="28225" xr:uid="{CECCE1F8-AC18-4692-A15F-05909231F841}"/>
    <cellStyle name="40% - Accent4 2 2 3 3" xfId="4993" xr:uid="{00000000-0005-0000-0000-00002E110000}"/>
    <cellStyle name="40% - Accent4 2 2 3 3 2" xfId="21863" xr:uid="{00000000-0005-0000-0000-00002F110000}"/>
    <cellStyle name="40% - Accent4 2 2 3 3 2 2" xfId="38731" xr:uid="{D9F29B17-873A-464A-886A-10DA1C3318FE}"/>
    <cellStyle name="40% - Accent4 2 2 3 3 3" xfId="13428" xr:uid="{00000000-0005-0000-0000-000030110000}"/>
    <cellStyle name="40% - Accent4 2 2 3 3 4" xfId="30297" xr:uid="{940C80BD-D7C7-4B7B-8DAF-F15CF9D6E93E}"/>
    <cellStyle name="40% - Accent4 2 2 3 4" xfId="17645" xr:uid="{00000000-0005-0000-0000-000031110000}"/>
    <cellStyle name="40% - Accent4 2 2 3 4 2" xfId="34514" xr:uid="{6018ADF9-FE7A-4450-9C39-8E1D2824C80D}"/>
    <cellStyle name="40% - Accent4 2 2 3 5" xfId="9210" xr:uid="{00000000-0005-0000-0000-000032110000}"/>
    <cellStyle name="40% - Accent4 2 2 3 6" xfId="26080" xr:uid="{CA8D3B27-6D04-409E-9EDC-9118D51A352B}"/>
    <cellStyle name="40% - Accent4 2 2 4" xfId="1097" xr:uid="{00000000-0005-0000-0000-000033110000}"/>
    <cellStyle name="40% - Accent4 2 2 4 2" xfId="3328" xr:uid="{00000000-0005-0000-0000-000034110000}"/>
    <cellStyle name="40% - Accent4 2 2 4 2 2" xfId="7551" xr:uid="{00000000-0005-0000-0000-000035110000}"/>
    <cellStyle name="40% - Accent4 2 2 4 2 2 2" xfId="24421" xr:uid="{00000000-0005-0000-0000-000036110000}"/>
    <cellStyle name="40% - Accent4 2 2 4 2 2 2 2" xfId="41289" xr:uid="{6CC9BE2A-C380-424D-979B-AFB01615F54E}"/>
    <cellStyle name="40% - Accent4 2 2 4 2 2 3" xfId="15986" xr:uid="{00000000-0005-0000-0000-000037110000}"/>
    <cellStyle name="40% - Accent4 2 2 4 2 2 4" xfId="32855" xr:uid="{A96C397E-3A0D-4FEA-82EC-B24C6611E2C4}"/>
    <cellStyle name="40% - Accent4 2 2 4 2 3" xfId="20203" xr:uid="{00000000-0005-0000-0000-000038110000}"/>
    <cellStyle name="40% - Accent4 2 2 4 2 3 2" xfId="37072" xr:uid="{4B9B155B-374F-47E2-ADE1-89E45568AAA9}"/>
    <cellStyle name="40% - Accent4 2 2 4 2 4" xfId="11768" xr:uid="{00000000-0005-0000-0000-000039110000}"/>
    <cellStyle name="40% - Accent4 2 2 4 2 5" xfId="28638" xr:uid="{C9CD412C-E4B4-4F3B-BE28-DD8D8F08995B}"/>
    <cellStyle name="40% - Accent4 2 2 4 3" xfId="5406" xr:uid="{00000000-0005-0000-0000-00003A110000}"/>
    <cellStyle name="40% - Accent4 2 2 4 3 2" xfId="22276" xr:uid="{00000000-0005-0000-0000-00003B110000}"/>
    <cellStyle name="40% - Accent4 2 2 4 3 2 2" xfId="39144" xr:uid="{39A80D73-1B62-4992-96AB-9BF1D82830C9}"/>
    <cellStyle name="40% - Accent4 2 2 4 3 3" xfId="13841" xr:uid="{00000000-0005-0000-0000-00003C110000}"/>
    <cellStyle name="40% - Accent4 2 2 4 3 4" xfId="30710" xr:uid="{91CEE8EC-724E-4F25-8882-35DDC7F5FE03}"/>
    <cellStyle name="40% - Accent4 2 2 4 4" xfId="18058" xr:uid="{00000000-0005-0000-0000-00003D110000}"/>
    <cellStyle name="40% - Accent4 2 2 4 4 2" xfId="34927" xr:uid="{9BFFBB17-1417-4492-A317-C8FEBEDA1E7F}"/>
    <cellStyle name="40% - Accent4 2 2 4 5" xfId="9623" xr:uid="{00000000-0005-0000-0000-00003E110000}"/>
    <cellStyle name="40% - Accent4 2 2 4 6" xfId="26493" xr:uid="{7A298990-85B7-40AB-A434-8438BDB7D928}"/>
    <cellStyle name="40% - Accent4 2 2 5" xfId="1511" xr:uid="{00000000-0005-0000-0000-00003F110000}"/>
    <cellStyle name="40% - Accent4 2 2 5 2" xfId="3741" xr:uid="{00000000-0005-0000-0000-000040110000}"/>
    <cellStyle name="40% - Accent4 2 2 5 2 2" xfId="7964" xr:uid="{00000000-0005-0000-0000-000041110000}"/>
    <cellStyle name="40% - Accent4 2 2 5 2 2 2" xfId="24834" xr:uid="{00000000-0005-0000-0000-000042110000}"/>
    <cellStyle name="40% - Accent4 2 2 5 2 2 2 2" xfId="41702" xr:uid="{D04358EC-BAFA-4526-80A1-57B639D9ED87}"/>
    <cellStyle name="40% - Accent4 2 2 5 2 2 3" xfId="16399" xr:uid="{00000000-0005-0000-0000-000043110000}"/>
    <cellStyle name="40% - Accent4 2 2 5 2 2 4" xfId="33268" xr:uid="{9CB67748-0202-4B05-90B1-3C86FA8C20E2}"/>
    <cellStyle name="40% - Accent4 2 2 5 2 3" xfId="20616" xr:uid="{00000000-0005-0000-0000-000044110000}"/>
    <cellStyle name="40% - Accent4 2 2 5 2 3 2" xfId="37485" xr:uid="{6FB1E1AA-0B7D-4326-A8A9-869B9072FFFF}"/>
    <cellStyle name="40% - Accent4 2 2 5 2 4" xfId="12181" xr:uid="{00000000-0005-0000-0000-000045110000}"/>
    <cellStyle name="40% - Accent4 2 2 5 2 5" xfId="29051" xr:uid="{5B00CCDA-BF84-493C-A9C7-64FB99643FEE}"/>
    <cellStyle name="40% - Accent4 2 2 5 3" xfId="5819" xr:uid="{00000000-0005-0000-0000-000046110000}"/>
    <cellStyle name="40% - Accent4 2 2 5 3 2" xfId="22689" xr:uid="{00000000-0005-0000-0000-000047110000}"/>
    <cellStyle name="40% - Accent4 2 2 5 3 2 2" xfId="39557" xr:uid="{D11CB76A-19B7-48E7-869F-AEA1C2DA9876}"/>
    <cellStyle name="40% - Accent4 2 2 5 3 3" xfId="14254" xr:uid="{00000000-0005-0000-0000-000048110000}"/>
    <cellStyle name="40% - Accent4 2 2 5 3 4" xfId="31123" xr:uid="{8C9F4DD0-8E94-4A60-991B-5DE5827F56EC}"/>
    <cellStyle name="40% - Accent4 2 2 5 4" xfId="18471" xr:uid="{00000000-0005-0000-0000-000049110000}"/>
    <cellStyle name="40% - Accent4 2 2 5 4 2" xfId="35340" xr:uid="{0912BE86-70AD-4A66-B859-E31D65176600}"/>
    <cellStyle name="40% - Accent4 2 2 5 5" xfId="10036" xr:uid="{00000000-0005-0000-0000-00004A110000}"/>
    <cellStyle name="40% - Accent4 2 2 5 6" xfId="26906" xr:uid="{2BFBE1C1-746A-4C4B-B61F-EF138B31B9EB}"/>
    <cellStyle name="40% - Accent4 2 2 6" xfId="1925" xr:uid="{00000000-0005-0000-0000-00004B110000}"/>
    <cellStyle name="40% - Accent4 2 2 6 2" xfId="4154" xr:uid="{00000000-0005-0000-0000-00004C110000}"/>
    <cellStyle name="40% - Accent4 2 2 6 2 2" xfId="8377" xr:uid="{00000000-0005-0000-0000-00004D110000}"/>
    <cellStyle name="40% - Accent4 2 2 6 2 2 2" xfId="25247" xr:uid="{00000000-0005-0000-0000-00004E110000}"/>
    <cellStyle name="40% - Accent4 2 2 6 2 2 2 2" xfId="42115" xr:uid="{A2F8A156-FE73-417B-B124-154E91932C5B}"/>
    <cellStyle name="40% - Accent4 2 2 6 2 2 3" xfId="16812" xr:uid="{00000000-0005-0000-0000-00004F110000}"/>
    <cellStyle name="40% - Accent4 2 2 6 2 2 4" xfId="33681" xr:uid="{96912399-7218-45FE-AF4D-0724D08BDBB6}"/>
    <cellStyle name="40% - Accent4 2 2 6 2 3" xfId="21029" xr:uid="{00000000-0005-0000-0000-000050110000}"/>
    <cellStyle name="40% - Accent4 2 2 6 2 3 2" xfId="37898" xr:uid="{0AE75684-F2BD-4CC1-9AAF-EDF9E8CAB565}"/>
    <cellStyle name="40% - Accent4 2 2 6 2 4" xfId="12594" xr:uid="{00000000-0005-0000-0000-000051110000}"/>
    <cellStyle name="40% - Accent4 2 2 6 2 5" xfId="29464" xr:uid="{2557D6DC-2AE4-465A-869F-B2F3B7562E64}"/>
    <cellStyle name="40% - Accent4 2 2 6 3" xfId="6232" xr:uid="{00000000-0005-0000-0000-000052110000}"/>
    <cellStyle name="40% - Accent4 2 2 6 3 2" xfId="23102" xr:uid="{00000000-0005-0000-0000-000053110000}"/>
    <cellStyle name="40% - Accent4 2 2 6 3 2 2" xfId="39970" xr:uid="{23AF8CAA-BD24-42D0-9F32-2620883D216A}"/>
    <cellStyle name="40% - Accent4 2 2 6 3 3" xfId="14667" xr:uid="{00000000-0005-0000-0000-000054110000}"/>
    <cellStyle name="40% - Accent4 2 2 6 3 4" xfId="31536" xr:uid="{EE6BBD77-37EA-4052-A5EF-A923BE7B7F37}"/>
    <cellStyle name="40% - Accent4 2 2 6 4" xfId="18884" xr:uid="{00000000-0005-0000-0000-000055110000}"/>
    <cellStyle name="40% - Accent4 2 2 6 4 2" xfId="35753" xr:uid="{6368A323-A34A-49E5-843C-BF9EF57DD862}"/>
    <cellStyle name="40% - Accent4 2 2 6 5" xfId="10449" xr:uid="{00000000-0005-0000-0000-000056110000}"/>
    <cellStyle name="40% - Accent4 2 2 6 6" xfId="27319" xr:uid="{F8811E68-A214-4968-B464-6FAE69BA7FFC}"/>
    <cellStyle name="40% - Accent4 2 2 7" xfId="2338" xr:uid="{00000000-0005-0000-0000-000057110000}"/>
    <cellStyle name="40% - Accent4 2 2 7 2" xfId="6645" xr:uid="{00000000-0005-0000-0000-000058110000}"/>
    <cellStyle name="40% - Accent4 2 2 7 2 2" xfId="23515" xr:uid="{00000000-0005-0000-0000-000059110000}"/>
    <cellStyle name="40% - Accent4 2 2 7 2 2 2" xfId="40383" xr:uid="{73AF7C59-E560-4F8C-84F5-CBEAB800DD93}"/>
    <cellStyle name="40% - Accent4 2 2 7 2 3" xfId="15080" xr:uid="{00000000-0005-0000-0000-00005A110000}"/>
    <cellStyle name="40% - Accent4 2 2 7 2 4" xfId="31949" xr:uid="{975200DF-924D-4397-B7F8-800D2AFC6695}"/>
    <cellStyle name="40% - Accent4 2 2 7 3" xfId="19297" xr:uid="{00000000-0005-0000-0000-00005B110000}"/>
    <cellStyle name="40% - Accent4 2 2 7 3 2" xfId="36166" xr:uid="{3BE10EB0-1E40-4ECA-9ABD-BCDDA11C7FE9}"/>
    <cellStyle name="40% - Accent4 2 2 7 4" xfId="10862" xr:uid="{00000000-0005-0000-0000-00005C110000}"/>
    <cellStyle name="40% - Accent4 2 2 7 5" xfId="27732" xr:uid="{FEE55D84-812F-40D0-B28A-A76E1CE785B2}"/>
    <cellStyle name="40% - Accent4 2 2 8" xfId="4579" xr:uid="{00000000-0005-0000-0000-00005D110000}"/>
    <cellStyle name="40% - Accent4 2 2 8 2" xfId="21449" xr:uid="{00000000-0005-0000-0000-00005E110000}"/>
    <cellStyle name="40% - Accent4 2 2 8 2 2" xfId="38317" xr:uid="{48DE6ABE-989B-4C4C-B2CB-1A9254128034}"/>
    <cellStyle name="40% - Accent4 2 2 8 3" xfId="13014" xr:uid="{00000000-0005-0000-0000-00005F110000}"/>
    <cellStyle name="40% - Accent4 2 2 8 4" xfId="29883" xr:uid="{B8239B2A-2CF6-4BCF-AFF1-FBD7449116D1}"/>
    <cellStyle name="40% - Accent4 2 2 9" xfId="17231" xr:uid="{00000000-0005-0000-0000-000060110000}"/>
    <cellStyle name="40% - Accent4 2 2 9 2" xfId="34100" xr:uid="{7F3C73DB-1E86-41E3-AC02-36569DB7337E}"/>
    <cellStyle name="40% - Accent4 2 3" xfId="77" xr:uid="{00000000-0005-0000-0000-000061110000}"/>
    <cellStyle name="40% - Accent4 2 3 10" xfId="25668" xr:uid="{D0AE2BB3-E9F0-4374-9C70-B9E8299DA7A2}"/>
    <cellStyle name="40% - Accent4 2 3 2" xfId="646" xr:uid="{00000000-0005-0000-0000-000062110000}"/>
    <cellStyle name="40% - Accent4 2 3 2 2" xfId="2917" xr:uid="{00000000-0005-0000-0000-000063110000}"/>
    <cellStyle name="40% - Accent4 2 3 2 2 2" xfId="7140" xr:uid="{00000000-0005-0000-0000-000064110000}"/>
    <cellStyle name="40% - Accent4 2 3 2 2 2 2" xfId="24010" xr:uid="{00000000-0005-0000-0000-000065110000}"/>
    <cellStyle name="40% - Accent4 2 3 2 2 2 2 2" xfId="40878" xr:uid="{7FAC4D2E-7F2F-40BA-A041-7FE43C89C7F5}"/>
    <cellStyle name="40% - Accent4 2 3 2 2 2 3" xfId="15575" xr:uid="{00000000-0005-0000-0000-000066110000}"/>
    <cellStyle name="40% - Accent4 2 3 2 2 2 4" xfId="32444" xr:uid="{FE689DC7-FFFC-4062-9C14-5AC16EE128A3}"/>
    <cellStyle name="40% - Accent4 2 3 2 2 3" xfId="19792" xr:uid="{00000000-0005-0000-0000-000067110000}"/>
    <cellStyle name="40% - Accent4 2 3 2 2 3 2" xfId="36661" xr:uid="{53A83473-762C-4558-8A53-264414693FA7}"/>
    <cellStyle name="40% - Accent4 2 3 2 2 4" xfId="11357" xr:uid="{00000000-0005-0000-0000-000068110000}"/>
    <cellStyle name="40% - Accent4 2 3 2 2 5" xfId="28227" xr:uid="{B5AFBC0E-26DA-422F-9174-9FCA03A9AFF0}"/>
    <cellStyle name="40% - Accent4 2 3 2 3" xfId="4995" xr:uid="{00000000-0005-0000-0000-000069110000}"/>
    <cellStyle name="40% - Accent4 2 3 2 3 2" xfId="21865" xr:uid="{00000000-0005-0000-0000-00006A110000}"/>
    <cellStyle name="40% - Accent4 2 3 2 3 2 2" xfId="38733" xr:uid="{97675A7E-FEC1-49E5-A5B3-80B3757AA766}"/>
    <cellStyle name="40% - Accent4 2 3 2 3 3" xfId="13430" xr:uid="{00000000-0005-0000-0000-00006B110000}"/>
    <cellStyle name="40% - Accent4 2 3 2 3 4" xfId="30299" xr:uid="{2788E972-A890-4CAB-BEAF-CBBF4CDFB2AD}"/>
    <cellStyle name="40% - Accent4 2 3 2 4" xfId="17647" xr:uid="{00000000-0005-0000-0000-00006C110000}"/>
    <cellStyle name="40% - Accent4 2 3 2 4 2" xfId="34516" xr:uid="{42742548-6BE4-4624-A5C3-D3F4614FC066}"/>
    <cellStyle name="40% - Accent4 2 3 2 5" xfId="9212" xr:uid="{00000000-0005-0000-0000-00006D110000}"/>
    <cellStyle name="40% - Accent4 2 3 2 6" xfId="26082" xr:uid="{485A91F2-CBB6-43EE-AF77-00D059EA63FB}"/>
    <cellStyle name="40% - Accent4 2 3 3" xfId="1099" xr:uid="{00000000-0005-0000-0000-00006E110000}"/>
    <cellStyle name="40% - Accent4 2 3 3 2" xfId="3330" xr:uid="{00000000-0005-0000-0000-00006F110000}"/>
    <cellStyle name="40% - Accent4 2 3 3 2 2" xfId="7553" xr:uid="{00000000-0005-0000-0000-000070110000}"/>
    <cellStyle name="40% - Accent4 2 3 3 2 2 2" xfId="24423" xr:uid="{00000000-0005-0000-0000-000071110000}"/>
    <cellStyle name="40% - Accent4 2 3 3 2 2 2 2" xfId="41291" xr:uid="{59A3A371-7AD4-4307-8075-9F663138B963}"/>
    <cellStyle name="40% - Accent4 2 3 3 2 2 3" xfId="15988" xr:uid="{00000000-0005-0000-0000-000072110000}"/>
    <cellStyle name="40% - Accent4 2 3 3 2 2 4" xfId="32857" xr:uid="{F2A40528-F481-4912-9A21-509C14E58613}"/>
    <cellStyle name="40% - Accent4 2 3 3 2 3" xfId="20205" xr:uid="{00000000-0005-0000-0000-000073110000}"/>
    <cellStyle name="40% - Accent4 2 3 3 2 3 2" xfId="37074" xr:uid="{44E2640D-2F80-484A-88DE-EDBB19410D2C}"/>
    <cellStyle name="40% - Accent4 2 3 3 2 4" xfId="11770" xr:uid="{00000000-0005-0000-0000-000074110000}"/>
    <cellStyle name="40% - Accent4 2 3 3 2 5" xfId="28640" xr:uid="{B5C57444-9F07-4048-9A54-3F13A60EDE2B}"/>
    <cellStyle name="40% - Accent4 2 3 3 3" xfId="5408" xr:uid="{00000000-0005-0000-0000-000075110000}"/>
    <cellStyle name="40% - Accent4 2 3 3 3 2" xfId="22278" xr:uid="{00000000-0005-0000-0000-000076110000}"/>
    <cellStyle name="40% - Accent4 2 3 3 3 2 2" xfId="39146" xr:uid="{326145CE-632C-4A81-ADCA-330B7FE70978}"/>
    <cellStyle name="40% - Accent4 2 3 3 3 3" xfId="13843" xr:uid="{00000000-0005-0000-0000-000077110000}"/>
    <cellStyle name="40% - Accent4 2 3 3 3 4" xfId="30712" xr:uid="{09CAA7F8-A7E5-48F8-B454-7050BAFFA615}"/>
    <cellStyle name="40% - Accent4 2 3 3 4" xfId="18060" xr:uid="{00000000-0005-0000-0000-000078110000}"/>
    <cellStyle name="40% - Accent4 2 3 3 4 2" xfId="34929" xr:uid="{A71E7522-D5E6-4DBA-BDDD-4B381235BE6A}"/>
    <cellStyle name="40% - Accent4 2 3 3 5" xfId="9625" xr:uid="{00000000-0005-0000-0000-000079110000}"/>
    <cellStyle name="40% - Accent4 2 3 3 6" xfId="26495" xr:uid="{9F5322FE-5D17-4A7B-8815-386B3620F574}"/>
    <cellStyle name="40% - Accent4 2 3 4" xfId="1513" xr:uid="{00000000-0005-0000-0000-00007A110000}"/>
    <cellStyle name="40% - Accent4 2 3 4 2" xfId="3743" xr:uid="{00000000-0005-0000-0000-00007B110000}"/>
    <cellStyle name="40% - Accent4 2 3 4 2 2" xfId="7966" xr:uid="{00000000-0005-0000-0000-00007C110000}"/>
    <cellStyle name="40% - Accent4 2 3 4 2 2 2" xfId="24836" xr:uid="{00000000-0005-0000-0000-00007D110000}"/>
    <cellStyle name="40% - Accent4 2 3 4 2 2 2 2" xfId="41704" xr:uid="{09BBFD7D-A6A1-424B-9401-9ECF71AAC01C}"/>
    <cellStyle name="40% - Accent4 2 3 4 2 2 3" xfId="16401" xr:uid="{00000000-0005-0000-0000-00007E110000}"/>
    <cellStyle name="40% - Accent4 2 3 4 2 2 4" xfId="33270" xr:uid="{952B162A-913C-47AA-B891-4F0CAD06E03B}"/>
    <cellStyle name="40% - Accent4 2 3 4 2 3" xfId="20618" xr:uid="{00000000-0005-0000-0000-00007F110000}"/>
    <cellStyle name="40% - Accent4 2 3 4 2 3 2" xfId="37487" xr:uid="{837A0F9A-405C-49AC-AD5C-EFD22BE9E051}"/>
    <cellStyle name="40% - Accent4 2 3 4 2 4" xfId="12183" xr:uid="{00000000-0005-0000-0000-000080110000}"/>
    <cellStyle name="40% - Accent4 2 3 4 2 5" xfId="29053" xr:uid="{9970BF42-ADFA-44F3-9815-B700A4B217D2}"/>
    <cellStyle name="40% - Accent4 2 3 4 3" xfId="5821" xr:uid="{00000000-0005-0000-0000-000081110000}"/>
    <cellStyle name="40% - Accent4 2 3 4 3 2" xfId="22691" xr:uid="{00000000-0005-0000-0000-000082110000}"/>
    <cellStyle name="40% - Accent4 2 3 4 3 2 2" xfId="39559" xr:uid="{5176F21A-8E33-463F-B06D-A4E3A526D339}"/>
    <cellStyle name="40% - Accent4 2 3 4 3 3" xfId="14256" xr:uid="{00000000-0005-0000-0000-000083110000}"/>
    <cellStyle name="40% - Accent4 2 3 4 3 4" xfId="31125" xr:uid="{8A465130-0388-470C-8535-82797A3C09EF}"/>
    <cellStyle name="40% - Accent4 2 3 4 4" xfId="18473" xr:uid="{00000000-0005-0000-0000-000084110000}"/>
    <cellStyle name="40% - Accent4 2 3 4 4 2" xfId="35342" xr:uid="{1A5437F0-5F5B-4BE7-8D66-6AB7EA704DC8}"/>
    <cellStyle name="40% - Accent4 2 3 4 5" xfId="10038" xr:uid="{00000000-0005-0000-0000-000085110000}"/>
    <cellStyle name="40% - Accent4 2 3 4 6" xfId="26908" xr:uid="{7FBF2B52-DCEC-4A07-9FB1-2514B5932874}"/>
    <cellStyle name="40% - Accent4 2 3 5" xfId="1927" xr:uid="{00000000-0005-0000-0000-000086110000}"/>
    <cellStyle name="40% - Accent4 2 3 5 2" xfId="4156" xr:uid="{00000000-0005-0000-0000-000087110000}"/>
    <cellStyle name="40% - Accent4 2 3 5 2 2" xfId="8379" xr:uid="{00000000-0005-0000-0000-000088110000}"/>
    <cellStyle name="40% - Accent4 2 3 5 2 2 2" xfId="25249" xr:uid="{00000000-0005-0000-0000-000089110000}"/>
    <cellStyle name="40% - Accent4 2 3 5 2 2 2 2" xfId="42117" xr:uid="{BAF10C9E-57AD-42E0-B3E0-AF8CFF74D361}"/>
    <cellStyle name="40% - Accent4 2 3 5 2 2 3" xfId="16814" xr:uid="{00000000-0005-0000-0000-00008A110000}"/>
    <cellStyle name="40% - Accent4 2 3 5 2 2 4" xfId="33683" xr:uid="{A256CD04-9B51-4740-870E-435E7F29B0E0}"/>
    <cellStyle name="40% - Accent4 2 3 5 2 3" xfId="21031" xr:uid="{00000000-0005-0000-0000-00008B110000}"/>
    <cellStyle name="40% - Accent4 2 3 5 2 3 2" xfId="37900" xr:uid="{A9C74F63-274D-44F5-827B-931C9B70FB1E}"/>
    <cellStyle name="40% - Accent4 2 3 5 2 4" xfId="12596" xr:uid="{00000000-0005-0000-0000-00008C110000}"/>
    <cellStyle name="40% - Accent4 2 3 5 2 5" xfId="29466" xr:uid="{E26BD459-AC37-4EA0-9159-1221D2C0F133}"/>
    <cellStyle name="40% - Accent4 2 3 5 3" xfId="6234" xr:uid="{00000000-0005-0000-0000-00008D110000}"/>
    <cellStyle name="40% - Accent4 2 3 5 3 2" xfId="23104" xr:uid="{00000000-0005-0000-0000-00008E110000}"/>
    <cellStyle name="40% - Accent4 2 3 5 3 2 2" xfId="39972" xr:uid="{96588DA0-CA6E-488A-AB48-90E888FCBD9F}"/>
    <cellStyle name="40% - Accent4 2 3 5 3 3" xfId="14669" xr:uid="{00000000-0005-0000-0000-00008F110000}"/>
    <cellStyle name="40% - Accent4 2 3 5 3 4" xfId="31538" xr:uid="{85528A86-44D5-4EE6-9DB7-F08E2553C80C}"/>
    <cellStyle name="40% - Accent4 2 3 5 4" xfId="18886" xr:uid="{00000000-0005-0000-0000-000090110000}"/>
    <cellStyle name="40% - Accent4 2 3 5 4 2" xfId="35755" xr:uid="{C3DBC59E-FD18-4189-89D3-EF5268311ADA}"/>
    <cellStyle name="40% - Accent4 2 3 5 5" xfId="10451" xr:uid="{00000000-0005-0000-0000-000091110000}"/>
    <cellStyle name="40% - Accent4 2 3 5 6" xfId="27321" xr:uid="{EC4D7709-464D-4A96-A629-20677751EF2A}"/>
    <cellStyle name="40% - Accent4 2 3 6" xfId="2340" xr:uid="{00000000-0005-0000-0000-000092110000}"/>
    <cellStyle name="40% - Accent4 2 3 6 2" xfId="6647" xr:uid="{00000000-0005-0000-0000-000093110000}"/>
    <cellStyle name="40% - Accent4 2 3 6 2 2" xfId="23517" xr:uid="{00000000-0005-0000-0000-000094110000}"/>
    <cellStyle name="40% - Accent4 2 3 6 2 2 2" xfId="40385" xr:uid="{43525DBA-9A90-43F2-9B1E-5D52F6506F24}"/>
    <cellStyle name="40% - Accent4 2 3 6 2 3" xfId="15082" xr:uid="{00000000-0005-0000-0000-000095110000}"/>
    <cellStyle name="40% - Accent4 2 3 6 2 4" xfId="31951" xr:uid="{066F7E57-9187-47BA-B230-9FD6CE94DA4B}"/>
    <cellStyle name="40% - Accent4 2 3 6 3" xfId="19299" xr:uid="{00000000-0005-0000-0000-000096110000}"/>
    <cellStyle name="40% - Accent4 2 3 6 3 2" xfId="36168" xr:uid="{A2317CC0-FBB4-4CC1-9CE0-80269D9FDEEA}"/>
    <cellStyle name="40% - Accent4 2 3 6 4" xfId="10864" xr:uid="{00000000-0005-0000-0000-000097110000}"/>
    <cellStyle name="40% - Accent4 2 3 6 5" xfId="27734" xr:uid="{D04D7EB4-1FB6-4221-B0E4-2AF2D50B77B3}"/>
    <cellStyle name="40% - Accent4 2 3 7" xfId="4581" xr:uid="{00000000-0005-0000-0000-000098110000}"/>
    <cellStyle name="40% - Accent4 2 3 7 2" xfId="21451" xr:uid="{00000000-0005-0000-0000-000099110000}"/>
    <cellStyle name="40% - Accent4 2 3 7 2 2" xfId="38319" xr:uid="{FF7D175B-6989-4495-BE32-4D7C56889845}"/>
    <cellStyle name="40% - Accent4 2 3 7 3" xfId="13016" xr:uid="{00000000-0005-0000-0000-00009A110000}"/>
    <cellStyle name="40% - Accent4 2 3 7 4" xfId="29885" xr:uid="{2DA5EA38-0F8A-478C-A90D-A0C4596B8CB7}"/>
    <cellStyle name="40% - Accent4 2 3 8" xfId="17233" xr:uid="{00000000-0005-0000-0000-00009B110000}"/>
    <cellStyle name="40% - Accent4 2 3 8 2" xfId="34102" xr:uid="{83AF2397-C0CF-4795-B81F-8075884E77C7}"/>
    <cellStyle name="40% - Accent4 2 3 9" xfId="8798" xr:uid="{00000000-0005-0000-0000-00009C110000}"/>
    <cellStyle name="40% - Accent4 2 4" xfId="643" xr:uid="{00000000-0005-0000-0000-00009D110000}"/>
    <cellStyle name="40% - Accent4 2 4 2" xfId="2914" xr:uid="{00000000-0005-0000-0000-00009E110000}"/>
    <cellStyle name="40% - Accent4 2 4 2 2" xfId="7137" xr:uid="{00000000-0005-0000-0000-00009F110000}"/>
    <cellStyle name="40% - Accent4 2 4 2 2 2" xfId="24007" xr:uid="{00000000-0005-0000-0000-0000A0110000}"/>
    <cellStyle name="40% - Accent4 2 4 2 2 2 2" xfId="40875" xr:uid="{E276301F-3693-4AB1-B663-7EB34870D42F}"/>
    <cellStyle name="40% - Accent4 2 4 2 2 3" xfId="15572" xr:uid="{00000000-0005-0000-0000-0000A1110000}"/>
    <cellStyle name="40% - Accent4 2 4 2 2 4" xfId="32441" xr:uid="{A2978405-9436-44E5-A6F5-BC0697E4223A}"/>
    <cellStyle name="40% - Accent4 2 4 2 3" xfId="19789" xr:uid="{00000000-0005-0000-0000-0000A2110000}"/>
    <cellStyle name="40% - Accent4 2 4 2 3 2" xfId="36658" xr:uid="{ED4CD803-1746-4F8F-9A34-9759F50F0F1A}"/>
    <cellStyle name="40% - Accent4 2 4 2 4" xfId="11354" xr:uid="{00000000-0005-0000-0000-0000A3110000}"/>
    <cellStyle name="40% - Accent4 2 4 2 5" xfId="28224" xr:uid="{7E2FF175-FD37-4373-AF06-665C9E884AFE}"/>
    <cellStyle name="40% - Accent4 2 4 3" xfId="4992" xr:uid="{00000000-0005-0000-0000-0000A4110000}"/>
    <cellStyle name="40% - Accent4 2 4 3 2" xfId="21862" xr:uid="{00000000-0005-0000-0000-0000A5110000}"/>
    <cellStyle name="40% - Accent4 2 4 3 2 2" xfId="38730" xr:uid="{3EBE97CD-1BB3-4949-9F20-48CA7EAF0AEA}"/>
    <cellStyle name="40% - Accent4 2 4 3 3" xfId="13427" xr:uid="{00000000-0005-0000-0000-0000A6110000}"/>
    <cellStyle name="40% - Accent4 2 4 3 4" xfId="30296" xr:uid="{F2306B5C-67B8-41F4-AC95-361F28742C4B}"/>
    <cellStyle name="40% - Accent4 2 4 4" xfId="17644" xr:uid="{00000000-0005-0000-0000-0000A7110000}"/>
    <cellStyle name="40% - Accent4 2 4 4 2" xfId="34513" xr:uid="{64DCD7BA-CACE-4ED1-9D00-4E64BC1F154A}"/>
    <cellStyle name="40% - Accent4 2 4 5" xfId="9209" xr:uid="{00000000-0005-0000-0000-0000A8110000}"/>
    <cellStyle name="40% - Accent4 2 4 6" xfId="26079" xr:uid="{03A115FB-DC98-4BB0-AF57-C6ECED8AAA5D}"/>
    <cellStyle name="40% - Accent4 2 5" xfId="1096" xr:uid="{00000000-0005-0000-0000-0000A9110000}"/>
    <cellStyle name="40% - Accent4 2 5 2" xfId="3327" xr:uid="{00000000-0005-0000-0000-0000AA110000}"/>
    <cellStyle name="40% - Accent4 2 5 2 2" xfId="7550" xr:uid="{00000000-0005-0000-0000-0000AB110000}"/>
    <cellStyle name="40% - Accent4 2 5 2 2 2" xfId="24420" xr:uid="{00000000-0005-0000-0000-0000AC110000}"/>
    <cellStyle name="40% - Accent4 2 5 2 2 2 2" xfId="41288" xr:uid="{0FEFD703-10EA-4987-AF99-8264B6EC340D}"/>
    <cellStyle name="40% - Accent4 2 5 2 2 3" xfId="15985" xr:uid="{00000000-0005-0000-0000-0000AD110000}"/>
    <cellStyle name="40% - Accent4 2 5 2 2 4" xfId="32854" xr:uid="{56528EDC-B6C8-41B6-A7E0-C36DB1C1E355}"/>
    <cellStyle name="40% - Accent4 2 5 2 3" xfId="20202" xr:uid="{00000000-0005-0000-0000-0000AE110000}"/>
    <cellStyle name="40% - Accent4 2 5 2 3 2" xfId="37071" xr:uid="{CA4D142F-7854-4E1F-B0B7-81F7CFBCB507}"/>
    <cellStyle name="40% - Accent4 2 5 2 4" xfId="11767" xr:uid="{00000000-0005-0000-0000-0000AF110000}"/>
    <cellStyle name="40% - Accent4 2 5 2 5" xfId="28637" xr:uid="{E6D3D065-444C-4123-87AE-676FCBC5002F}"/>
    <cellStyle name="40% - Accent4 2 5 3" xfId="5405" xr:uid="{00000000-0005-0000-0000-0000B0110000}"/>
    <cellStyle name="40% - Accent4 2 5 3 2" xfId="22275" xr:uid="{00000000-0005-0000-0000-0000B1110000}"/>
    <cellStyle name="40% - Accent4 2 5 3 2 2" xfId="39143" xr:uid="{1DC1775F-63EC-44E2-B325-236E2BB57BF2}"/>
    <cellStyle name="40% - Accent4 2 5 3 3" xfId="13840" xr:uid="{00000000-0005-0000-0000-0000B2110000}"/>
    <cellStyle name="40% - Accent4 2 5 3 4" xfId="30709" xr:uid="{60162A32-FCE8-4D3D-9204-72891DC48C07}"/>
    <cellStyle name="40% - Accent4 2 5 4" xfId="18057" xr:uid="{00000000-0005-0000-0000-0000B3110000}"/>
    <cellStyle name="40% - Accent4 2 5 4 2" xfId="34926" xr:uid="{9FC20A35-E312-444A-B91F-7F1F17FE9BF9}"/>
    <cellStyle name="40% - Accent4 2 5 5" xfId="9622" xr:uid="{00000000-0005-0000-0000-0000B4110000}"/>
    <cellStyle name="40% - Accent4 2 5 6" xfId="26492" xr:uid="{2A6C5938-F12D-49B6-BF9C-2F68759EDDEF}"/>
    <cellStyle name="40% - Accent4 2 6" xfId="1510" xr:uid="{00000000-0005-0000-0000-0000B5110000}"/>
    <cellStyle name="40% - Accent4 2 6 2" xfId="3740" xr:uid="{00000000-0005-0000-0000-0000B6110000}"/>
    <cellStyle name="40% - Accent4 2 6 2 2" xfId="7963" xr:uid="{00000000-0005-0000-0000-0000B7110000}"/>
    <cellStyle name="40% - Accent4 2 6 2 2 2" xfId="24833" xr:uid="{00000000-0005-0000-0000-0000B8110000}"/>
    <cellStyle name="40% - Accent4 2 6 2 2 2 2" xfId="41701" xr:uid="{26891EBB-35AF-4685-8F97-3E07E4C13D18}"/>
    <cellStyle name="40% - Accent4 2 6 2 2 3" xfId="16398" xr:uid="{00000000-0005-0000-0000-0000B9110000}"/>
    <cellStyle name="40% - Accent4 2 6 2 2 4" xfId="33267" xr:uid="{FC46C8ED-836B-46C2-849E-368FBE292295}"/>
    <cellStyle name="40% - Accent4 2 6 2 3" xfId="20615" xr:uid="{00000000-0005-0000-0000-0000BA110000}"/>
    <cellStyle name="40% - Accent4 2 6 2 3 2" xfId="37484" xr:uid="{97328D72-702B-414B-8A08-0838374AFBE5}"/>
    <cellStyle name="40% - Accent4 2 6 2 4" xfId="12180" xr:uid="{00000000-0005-0000-0000-0000BB110000}"/>
    <cellStyle name="40% - Accent4 2 6 2 5" xfId="29050" xr:uid="{26003017-0331-4E4E-B1BF-4489E16A8A9D}"/>
    <cellStyle name="40% - Accent4 2 6 3" xfId="5818" xr:uid="{00000000-0005-0000-0000-0000BC110000}"/>
    <cellStyle name="40% - Accent4 2 6 3 2" xfId="22688" xr:uid="{00000000-0005-0000-0000-0000BD110000}"/>
    <cellStyle name="40% - Accent4 2 6 3 2 2" xfId="39556" xr:uid="{AA611C6C-6A29-4935-87B2-83C868B34728}"/>
    <cellStyle name="40% - Accent4 2 6 3 3" xfId="14253" xr:uid="{00000000-0005-0000-0000-0000BE110000}"/>
    <cellStyle name="40% - Accent4 2 6 3 4" xfId="31122" xr:uid="{FC68D7E3-6D9E-4229-9040-F74C590BBB69}"/>
    <cellStyle name="40% - Accent4 2 6 4" xfId="18470" xr:uid="{00000000-0005-0000-0000-0000BF110000}"/>
    <cellStyle name="40% - Accent4 2 6 4 2" xfId="35339" xr:uid="{A39A3563-60AC-4CA8-94B5-E14169F094E5}"/>
    <cellStyle name="40% - Accent4 2 6 5" xfId="10035" xr:uid="{00000000-0005-0000-0000-0000C0110000}"/>
    <cellStyle name="40% - Accent4 2 6 6" xfId="26905" xr:uid="{FF42E6FB-5DBB-4FEB-B316-2893BB09C467}"/>
    <cellStyle name="40% - Accent4 2 7" xfId="1924" xr:uid="{00000000-0005-0000-0000-0000C1110000}"/>
    <cellStyle name="40% - Accent4 2 7 2" xfId="4153" xr:uid="{00000000-0005-0000-0000-0000C2110000}"/>
    <cellStyle name="40% - Accent4 2 7 2 2" xfId="8376" xr:uid="{00000000-0005-0000-0000-0000C3110000}"/>
    <cellStyle name="40% - Accent4 2 7 2 2 2" xfId="25246" xr:uid="{00000000-0005-0000-0000-0000C4110000}"/>
    <cellStyle name="40% - Accent4 2 7 2 2 2 2" xfId="42114" xr:uid="{9259FDAE-7454-49D6-9B86-2659483DD9E4}"/>
    <cellStyle name="40% - Accent4 2 7 2 2 3" xfId="16811" xr:uid="{00000000-0005-0000-0000-0000C5110000}"/>
    <cellStyle name="40% - Accent4 2 7 2 2 4" xfId="33680" xr:uid="{AA9AD46C-11AA-4534-A133-A936C2EB2DDB}"/>
    <cellStyle name="40% - Accent4 2 7 2 3" xfId="21028" xr:uid="{00000000-0005-0000-0000-0000C6110000}"/>
    <cellStyle name="40% - Accent4 2 7 2 3 2" xfId="37897" xr:uid="{05881A47-1DB3-4109-82E8-497C8534F694}"/>
    <cellStyle name="40% - Accent4 2 7 2 4" xfId="12593" xr:uid="{00000000-0005-0000-0000-0000C7110000}"/>
    <cellStyle name="40% - Accent4 2 7 2 5" xfId="29463" xr:uid="{D62A4B18-2F17-49D2-814A-48F776E5FC3C}"/>
    <cellStyle name="40% - Accent4 2 7 3" xfId="6231" xr:uid="{00000000-0005-0000-0000-0000C8110000}"/>
    <cellStyle name="40% - Accent4 2 7 3 2" xfId="23101" xr:uid="{00000000-0005-0000-0000-0000C9110000}"/>
    <cellStyle name="40% - Accent4 2 7 3 2 2" xfId="39969" xr:uid="{0D179A70-386F-4A64-8213-0F37C3B2D7A2}"/>
    <cellStyle name="40% - Accent4 2 7 3 3" xfId="14666" xr:uid="{00000000-0005-0000-0000-0000CA110000}"/>
    <cellStyle name="40% - Accent4 2 7 3 4" xfId="31535" xr:uid="{06B046D1-612C-47FB-B152-16818BE81023}"/>
    <cellStyle name="40% - Accent4 2 7 4" xfId="18883" xr:uid="{00000000-0005-0000-0000-0000CB110000}"/>
    <cellStyle name="40% - Accent4 2 7 4 2" xfId="35752" xr:uid="{625F92B5-1B01-46F6-BAD5-7BC993523B93}"/>
    <cellStyle name="40% - Accent4 2 7 5" xfId="10448" xr:uid="{00000000-0005-0000-0000-0000CC110000}"/>
    <cellStyle name="40% - Accent4 2 7 6" xfId="27318" xr:uid="{CA892C87-376A-4C89-B900-8E407DAB0D70}"/>
    <cellStyle name="40% - Accent4 2 8" xfId="2337" xr:uid="{00000000-0005-0000-0000-0000CD110000}"/>
    <cellStyle name="40% - Accent4 2 8 2" xfId="6644" xr:uid="{00000000-0005-0000-0000-0000CE110000}"/>
    <cellStyle name="40% - Accent4 2 8 2 2" xfId="23514" xr:uid="{00000000-0005-0000-0000-0000CF110000}"/>
    <cellStyle name="40% - Accent4 2 8 2 2 2" xfId="40382" xr:uid="{1C0ED920-1A40-425A-84F7-95404FE95973}"/>
    <cellStyle name="40% - Accent4 2 8 2 3" xfId="15079" xr:uid="{00000000-0005-0000-0000-0000D0110000}"/>
    <cellStyle name="40% - Accent4 2 8 2 4" xfId="31948" xr:uid="{65CC0972-A3FB-4D7D-BB70-A0F21832212F}"/>
    <cellStyle name="40% - Accent4 2 8 3" xfId="19296" xr:uid="{00000000-0005-0000-0000-0000D1110000}"/>
    <cellStyle name="40% - Accent4 2 8 3 2" xfId="36165" xr:uid="{D7AE7A0C-E264-4809-90D9-ADE9C5E5C26F}"/>
    <cellStyle name="40% - Accent4 2 8 4" xfId="10861" xr:uid="{00000000-0005-0000-0000-0000D2110000}"/>
    <cellStyle name="40% - Accent4 2 8 5" xfId="27731" xr:uid="{A16C40C6-A03D-46F6-9B50-BBFD3F5BAFE6}"/>
    <cellStyle name="40% - Accent4 2 9" xfId="4578" xr:uid="{00000000-0005-0000-0000-0000D3110000}"/>
    <cellStyle name="40% - Accent4 2 9 2" xfId="21448" xr:uid="{00000000-0005-0000-0000-0000D4110000}"/>
    <cellStyle name="40% - Accent4 2 9 2 2" xfId="38316" xr:uid="{6A664974-EA96-48C1-B6EC-F6A942E83FF3}"/>
    <cellStyle name="40% - Accent4 2 9 3" xfId="13013" xr:uid="{00000000-0005-0000-0000-0000D5110000}"/>
    <cellStyle name="40% - Accent4 2 9 4" xfId="29882" xr:uid="{0DDF147F-20B5-4051-86D2-6C379BEFFD5E}"/>
    <cellStyle name="40% - Accent4 3" xfId="78" xr:uid="{00000000-0005-0000-0000-0000D6110000}"/>
    <cellStyle name="40% - Accent4 3 10" xfId="8799" xr:uid="{00000000-0005-0000-0000-0000D7110000}"/>
    <cellStyle name="40% - Accent4 3 11" xfId="25669" xr:uid="{03252956-41CE-4C7A-9380-192617AF2822}"/>
    <cellStyle name="40% - Accent4 3 2" xfId="79" xr:uid="{00000000-0005-0000-0000-0000D8110000}"/>
    <cellStyle name="40% - Accent4 3 2 10" xfId="25670" xr:uid="{C1940B53-13BB-4A51-8A46-274330463653}"/>
    <cellStyle name="40% - Accent4 3 2 2" xfId="648" xr:uid="{00000000-0005-0000-0000-0000D9110000}"/>
    <cellStyle name="40% - Accent4 3 2 2 2" xfId="2919" xr:uid="{00000000-0005-0000-0000-0000DA110000}"/>
    <cellStyle name="40% - Accent4 3 2 2 2 2" xfId="7142" xr:uid="{00000000-0005-0000-0000-0000DB110000}"/>
    <cellStyle name="40% - Accent4 3 2 2 2 2 2" xfId="24012" xr:uid="{00000000-0005-0000-0000-0000DC110000}"/>
    <cellStyle name="40% - Accent4 3 2 2 2 2 2 2" xfId="40880" xr:uid="{3F9421DC-B771-4888-9B39-80A0D5D15E14}"/>
    <cellStyle name="40% - Accent4 3 2 2 2 2 3" xfId="15577" xr:uid="{00000000-0005-0000-0000-0000DD110000}"/>
    <cellStyle name="40% - Accent4 3 2 2 2 2 4" xfId="32446" xr:uid="{495E20BD-EAEA-4F35-AC33-73FBDC12CEF6}"/>
    <cellStyle name="40% - Accent4 3 2 2 2 3" xfId="19794" xr:uid="{00000000-0005-0000-0000-0000DE110000}"/>
    <cellStyle name="40% - Accent4 3 2 2 2 3 2" xfId="36663" xr:uid="{1495511E-25E6-4576-879E-0A582CF27656}"/>
    <cellStyle name="40% - Accent4 3 2 2 2 4" xfId="11359" xr:uid="{00000000-0005-0000-0000-0000DF110000}"/>
    <cellStyle name="40% - Accent4 3 2 2 2 5" xfId="28229" xr:uid="{908478E8-89DC-464B-92AC-5A68FEB5F9E6}"/>
    <cellStyle name="40% - Accent4 3 2 2 3" xfId="4997" xr:uid="{00000000-0005-0000-0000-0000E0110000}"/>
    <cellStyle name="40% - Accent4 3 2 2 3 2" xfId="21867" xr:uid="{00000000-0005-0000-0000-0000E1110000}"/>
    <cellStyle name="40% - Accent4 3 2 2 3 2 2" xfId="38735" xr:uid="{05517376-CAC2-4803-B4F8-B803038B185B}"/>
    <cellStyle name="40% - Accent4 3 2 2 3 3" xfId="13432" xr:uid="{00000000-0005-0000-0000-0000E2110000}"/>
    <cellStyle name="40% - Accent4 3 2 2 3 4" xfId="30301" xr:uid="{8C00634F-43A4-45FD-9D12-D8934498D418}"/>
    <cellStyle name="40% - Accent4 3 2 2 4" xfId="17649" xr:uid="{00000000-0005-0000-0000-0000E3110000}"/>
    <cellStyle name="40% - Accent4 3 2 2 4 2" xfId="34518" xr:uid="{DD0D43EB-907E-4C52-ABFC-18665AA5758C}"/>
    <cellStyle name="40% - Accent4 3 2 2 5" xfId="9214" xr:uid="{00000000-0005-0000-0000-0000E4110000}"/>
    <cellStyle name="40% - Accent4 3 2 2 6" xfId="26084" xr:uid="{2F382D8F-F5D9-4D8D-98BC-29DC59428526}"/>
    <cellStyle name="40% - Accent4 3 2 3" xfId="1101" xr:uid="{00000000-0005-0000-0000-0000E5110000}"/>
    <cellStyle name="40% - Accent4 3 2 3 2" xfId="3332" xr:uid="{00000000-0005-0000-0000-0000E6110000}"/>
    <cellStyle name="40% - Accent4 3 2 3 2 2" xfId="7555" xr:uid="{00000000-0005-0000-0000-0000E7110000}"/>
    <cellStyle name="40% - Accent4 3 2 3 2 2 2" xfId="24425" xr:uid="{00000000-0005-0000-0000-0000E8110000}"/>
    <cellStyle name="40% - Accent4 3 2 3 2 2 2 2" xfId="41293" xr:uid="{5F5841DC-DCF3-43D6-B5BD-4C7BDABFDAF7}"/>
    <cellStyle name="40% - Accent4 3 2 3 2 2 3" xfId="15990" xr:uid="{00000000-0005-0000-0000-0000E9110000}"/>
    <cellStyle name="40% - Accent4 3 2 3 2 2 4" xfId="32859" xr:uid="{7C2584DF-4448-43FE-A0FD-8172189A7491}"/>
    <cellStyle name="40% - Accent4 3 2 3 2 3" xfId="20207" xr:uid="{00000000-0005-0000-0000-0000EA110000}"/>
    <cellStyle name="40% - Accent4 3 2 3 2 3 2" xfId="37076" xr:uid="{7054517C-4D99-4545-B638-C63C0D5F5ECB}"/>
    <cellStyle name="40% - Accent4 3 2 3 2 4" xfId="11772" xr:uid="{00000000-0005-0000-0000-0000EB110000}"/>
    <cellStyle name="40% - Accent4 3 2 3 2 5" xfId="28642" xr:uid="{8D4C558F-3FB8-44B6-AB27-46C965D697B7}"/>
    <cellStyle name="40% - Accent4 3 2 3 3" xfId="5410" xr:uid="{00000000-0005-0000-0000-0000EC110000}"/>
    <cellStyle name="40% - Accent4 3 2 3 3 2" xfId="22280" xr:uid="{00000000-0005-0000-0000-0000ED110000}"/>
    <cellStyle name="40% - Accent4 3 2 3 3 2 2" xfId="39148" xr:uid="{0DB2220A-3075-4C02-9C61-B5D6E346233A}"/>
    <cellStyle name="40% - Accent4 3 2 3 3 3" xfId="13845" xr:uid="{00000000-0005-0000-0000-0000EE110000}"/>
    <cellStyle name="40% - Accent4 3 2 3 3 4" xfId="30714" xr:uid="{F3DDEF9A-3290-4BF4-A0C9-56C9BFCB0AAA}"/>
    <cellStyle name="40% - Accent4 3 2 3 4" xfId="18062" xr:uid="{00000000-0005-0000-0000-0000EF110000}"/>
    <cellStyle name="40% - Accent4 3 2 3 4 2" xfId="34931" xr:uid="{9BDF0363-D4E8-43D7-BC09-4B8D5ABA0BEA}"/>
    <cellStyle name="40% - Accent4 3 2 3 5" xfId="9627" xr:uid="{00000000-0005-0000-0000-0000F0110000}"/>
    <cellStyle name="40% - Accent4 3 2 3 6" xfId="26497" xr:uid="{101F6397-26E9-4753-AD31-265258EDE671}"/>
    <cellStyle name="40% - Accent4 3 2 4" xfId="1515" xr:uid="{00000000-0005-0000-0000-0000F1110000}"/>
    <cellStyle name="40% - Accent4 3 2 4 2" xfId="3745" xr:uid="{00000000-0005-0000-0000-0000F2110000}"/>
    <cellStyle name="40% - Accent4 3 2 4 2 2" xfId="7968" xr:uid="{00000000-0005-0000-0000-0000F3110000}"/>
    <cellStyle name="40% - Accent4 3 2 4 2 2 2" xfId="24838" xr:uid="{00000000-0005-0000-0000-0000F4110000}"/>
    <cellStyle name="40% - Accent4 3 2 4 2 2 2 2" xfId="41706" xr:uid="{B2C11338-CC0D-434E-8D06-023A3B9480AE}"/>
    <cellStyle name="40% - Accent4 3 2 4 2 2 3" xfId="16403" xr:uid="{00000000-0005-0000-0000-0000F5110000}"/>
    <cellStyle name="40% - Accent4 3 2 4 2 2 4" xfId="33272" xr:uid="{153DC5AA-93A4-4865-951A-319ECBD25FD0}"/>
    <cellStyle name="40% - Accent4 3 2 4 2 3" xfId="20620" xr:uid="{00000000-0005-0000-0000-0000F6110000}"/>
    <cellStyle name="40% - Accent4 3 2 4 2 3 2" xfId="37489" xr:uid="{A2A8E480-312A-4A69-BA17-CD0E556B85A5}"/>
    <cellStyle name="40% - Accent4 3 2 4 2 4" xfId="12185" xr:uid="{00000000-0005-0000-0000-0000F7110000}"/>
    <cellStyle name="40% - Accent4 3 2 4 2 5" xfId="29055" xr:uid="{9419A6F5-6799-4935-BAFD-62E94FAF4A0E}"/>
    <cellStyle name="40% - Accent4 3 2 4 3" xfId="5823" xr:uid="{00000000-0005-0000-0000-0000F8110000}"/>
    <cellStyle name="40% - Accent4 3 2 4 3 2" xfId="22693" xr:uid="{00000000-0005-0000-0000-0000F9110000}"/>
    <cellStyle name="40% - Accent4 3 2 4 3 2 2" xfId="39561" xr:uid="{2BBCE747-2F84-49F6-A485-D16F20107DD0}"/>
    <cellStyle name="40% - Accent4 3 2 4 3 3" xfId="14258" xr:uid="{00000000-0005-0000-0000-0000FA110000}"/>
    <cellStyle name="40% - Accent4 3 2 4 3 4" xfId="31127" xr:uid="{73F57708-04EF-4E6B-8B8F-30DA7301042C}"/>
    <cellStyle name="40% - Accent4 3 2 4 4" xfId="18475" xr:uid="{00000000-0005-0000-0000-0000FB110000}"/>
    <cellStyle name="40% - Accent4 3 2 4 4 2" xfId="35344" xr:uid="{15220D76-B16A-4724-95C7-34502BF1C87B}"/>
    <cellStyle name="40% - Accent4 3 2 4 5" xfId="10040" xr:uid="{00000000-0005-0000-0000-0000FC110000}"/>
    <cellStyle name="40% - Accent4 3 2 4 6" xfId="26910" xr:uid="{83213C0D-67CD-4514-AEA5-439955651345}"/>
    <cellStyle name="40% - Accent4 3 2 5" xfId="1929" xr:uid="{00000000-0005-0000-0000-0000FD110000}"/>
    <cellStyle name="40% - Accent4 3 2 5 2" xfId="4158" xr:uid="{00000000-0005-0000-0000-0000FE110000}"/>
    <cellStyle name="40% - Accent4 3 2 5 2 2" xfId="8381" xr:uid="{00000000-0005-0000-0000-0000FF110000}"/>
    <cellStyle name="40% - Accent4 3 2 5 2 2 2" xfId="25251" xr:uid="{00000000-0005-0000-0000-000000120000}"/>
    <cellStyle name="40% - Accent4 3 2 5 2 2 2 2" xfId="42119" xr:uid="{1B5ECE0A-DB0A-4099-B2F1-35995167311A}"/>
    <cellStyle name="40% - Accent4 3 2 5 2 2 3" xfId="16816" xr:uid="{00000000-0005-0000-0000-000001120000}"/>
    <cellStyle name="40% - Accent4 3 2 5 2 2 4" xfId="33685" xr:uid="{EDF83342-6C03-46EA-82FB-6B8429E6CC1D}"/>
    <cellStyle name="40% - Accent4 3 2 5 2 3" xfId="21033" xr:uid="{00000000-0005-0000-0000-000002120000}"/>
    <cellStyle name="40% - Accent4 3 2 5 2 3 2" xfId="37902" xr:uid="{2D579B64-50A0-493E-88A8-D32466007E3A}"/>
    <cellStyle name="40% - Accent4 3 2 5 2 4" xfId="12598" xr:uid="{00000000-0005-0000-0000-000003120000}"/>
    <cellStyle name="40% - Accent4 3 2 5 2 5" xfId="29468" xr:uid="{CEDE571B-18A8-46C9-BA55-ED5E3B71B22C}"/>
    <cellStyle name="40% - Accent4 3 2 5 3" xfId="6236" xr:uid="{00000000-0005-0000-0000-000004120000}"/>
    <cellStyle name="40% - Accent4 3 2 5 3 2" xfId="23106" xr:uid="{00000000-0005-0000-0000-000005120000}"/>
    <cellStyle name="40% - Accent4 3 2 5 3 2 2" xfId="39974" xr:uid="{ED5AA22F-1085-41CE-897D-D4A2611C6566}"/>
    <cellStyle name="40% - Accent4 3 2 5 3 3" xfId="14671" xr:uid="{00000000-0005-0000-0000-000006120000}"/>
    <cellStyle name="40% - Accent4 3 2 5 3 4" xfId="31540" xr:uid="{90857016-E2E1-4620-BE88-1D32C77DB4B3}"/>
    <cellStyle name="40% - Accent4 3 2 5 4" xfId="18888" xr:uid="{00000000-0005-0000-0000-000007120000}"/>
    <cellStyle name="40% - Accent4 3 2 5 4 2" xfId="35757" xr:uid="{C5EBA68A-9A7D-4559-BB2F-E781908C3E4C}"/>
    <cellStyle name="40% - Accent4 3 2 5 5" xfId="10453" xr:uid="{00000000-0005-0000-0000-000008120000}"/>
    <cellStyle name="40% - Accent4 3 2 5 6" xfId="27323" xr:uid="{25690F1B-B6E4-42BC-8359-2D21BF1405F6}"/>
    <cellStyle name="40% - Accent4 3 2 6" xfId="2342" xr:uid="{00000000-0005-0000-0000-000009120000}"/>
    <cellStyle name="40% - Accent4 3 2 6 2" xfId="6649" xr:uid="{00000000-0005-0000-0000-00000A120000}"/>
    <cellStyle name="40% - Accent4 3 2 6 2 2" xfId="23519" xr:uid="{00000000-0005-0000-0000-00000B120000}"/>
    <cellStyle name="40% - Accent4 3 2 6 2 2 2" xfId="40387" xr:uid="{9510D70C-6026-4AE5-901E-953F1A37542C}"/>
    <cellStyle name="40% - Accent4 3 2 6 2 3" xfId="15084" xr:uid="{00000000-0005-0000-0000-00000C120000}"/>
    <cellStyle name="40% - Accent4 3 2 6 2 4" xfId="31953" xr:uid="{745E7044-6AD8-45EF-82B4-712653A81D65}"/>
    <cellStyle name="40% - Accent4 3 2 6 3" xfId="19301" xr:uid="{00000000-0005-0000-0000-00000D120000}"/>
    <cellStyle name="40% - Accent4 3 2 6 3 2" xfId="36170" xr:uid="{1CCC6894-3272-469F-8A7A-E18365470B01}"/>
    <cellStyle name="40% - Accent4 3 2 6 4" xfId="10866" xr:uid="{00000000-0005-0000-0000-00000E120000}"/>
    <cellStyle name="40% - Accent4 3 2 6 5" xfId="27736" xr:uid="{553F9CDB-C71E-4E05-BA82-455DCCE9DA7D}"/>
    <cellStyle name="40% - Accent4 3 2 7" xfId="4583" xr:uid="{00000000-0005-0000-0000-00000F120000}"/>
    <cellStyle name="40% - Accent4 3 2 7 2" xfId="21453" xr:uid="{00000000-0005-0000-0000-000010120000}"/>
    <cellStyle name="40% - Accent4 3 2 7 2 2" xfId="38321" xr:uid="{C8BF4D87-A20F-4354-A4D6-D301D00DEF80}"/>
    <cellStyle name="40% - Accent4 3 2 7 3" xfId="13018" xr:uid="{00000000-0005-0000-0000-000011120000}"/>
    <cellStyle name="40% - Accent4 3 2 7 4" xfId="29887" xr:uid="{3FDEFF99-81E6-42A7-B8A6-83E5B196FC86}"/>
    <cellStyle name="40% - Accent4 3 2 8" xfId="17235" xr:uid="{00000000-0005-0000-0000-000012120000}"/>
    <cellStyle name="40% - Accent4 3 2 8 2" xfId="34104" xr:uid="{A54D61D6-3624-4E41-BD75-E100F567B038}"/>
    <cellStyle name="40% - Accent4 3 2 9" xfId="8800" xr:uid="{00000000-0005-0000-0000-000013120000}"/>
    <cellStyle name="40% - Accent4 3 3" xfId="647" xr:uid="{00000000-0005-0000-0000-000014120000}"/>
    <cellStyle name="40% - Accent4 3 3 2" xfId="2918" xr:uid="{00000000-0005-0000-0000-000015120000}"/>
    <cellStyle name="40% - Accent4 3 3 2 2" xfId="7141" xr:uid="{00000000-0005-0000-0000-000016120000}"/>
    <cellStyle name="40% - Accent4 3 3 2 2 2" xfId="24011" xr:uid="{00000000-0005-0000-0000-000017120000}"/>
    <cellStyle name="40% - Accent4 3 3 2 2 2 2" xfId="40879" xr:uid="{15AD081B-30CA-4E6A-941B-134225BD55A0}"/>
    <cellStyle name="40% - Accent4 3 3 2 2 3" xfId="15576" xr:uid="{00000000-0005-0000-0000-000018120000}"/>
    <cellStyle name="40% - Accent4 3 3 2 2 4" xfId="32445" xr:uid="{47AAF724-EC7A-4FDF-82F3-3993CC37A56A}"/>
    <cellStyle name="40% - Accent4 3 3 2 3" xfId="19793" xr:uid="{00000000-0005-0000-0000-000019120000}"/>
    <cellStyle name="40% - Accent4 3 3 2 3 2" xfId="36662" xr:uid="{16F73070-B07B-4E4E-8540-E059BB81C6C4}"/>
    <cellStyle name="40% - Accent4 3 3 2 4" xfId="11358" xr:uid="{00000000-0005-0000-0000-00001A120000}"/>
    <cellStyle name="40% - Accent4 3 3 2 5" xfId="28228" xr:uid="{D1E4F689-82AE-4F90-AA5B-A715A74348EE}"/>
    <cellStyle name="40% - Accent4 3 3 3" xfId="4996" xr:uid="{00000000-0005-0000-0000-00001B120000}"/>
    <cellStyle name="40% - Accent4 3 3 3 2" xfId="21866" xr:uid="{00000000-0005-0000-0000-00001C120000}"/>
    <cellStyle name="40% - Accent4 3 3 3 2 2" xfId="38734" xr:uid="{A3C311E1-C071-4BC9-B06F-586D0001667B}"/>
    <cellStyle name="40% - Accent4 3 3 3 3" xfId="13431" xr:uid="{00000000-0005-0000-0000-00001D120000}"/>
    <cellStyle name="40% - Accent4 3 3 3 4" xfId="30300" xr:uid="{6B991D86-AE5A-439E-98F8-F988830E2524}"/>
    <cellStyle name="40% - Accent4 3 3 4" xfId="17648" xr:uid="{00000000-0005-0000-0000-00001E120000}"/>
    <cellStyle name="40% - Accent4 3 3 4 2" xfId="34517" xr:uid="{0118FB18-866E-4470-81D4-15FB83273CDC}"/>
    <cellStyle name="40% - Accent4 3 3 5" xfId="9213" xr:uid="{00000000-0005-0000-0000-00001F120000}"/>
    <cellStyle name="40% - Accent4 3 3 6" xfId="26083" xr:uid="{A459B1F7-9350-4D66-934C-76EBA248A62C}"/>
    <cellStyle name="40% - Accent4 3 4" xfId="1100" xr:uid="{00000000-0005-0000-0000-000020120000}"/>
    <cellStyle name="40% - Accent4 3 4 2" xfId="3331" xr:uid="{00000000-0005-0000-0000-000021120000}"/>
    <cellStyle name="40% - Accent4 3 4 2 2" xfId="7554" xr:uid="{00000000-0005-0000-0000-000022120000}"/>
    <cellStyle name="40% - Accent4 3 4 2 2 2" xfId="24424" xr:uid="{00000000-0005-0000-0000-000023120000}"/>
    <cellStyle name="40% - Accent4 3 4 2 2 2 2" xfId="41292" xr:uid="{DE2B8687-16C7-4E05-9DB7-2BD349F247D6}"/>
    <cellStyle name="40% - Accent4 3 4 2 2 3" xfId="15989" xr:uid="{00000000-0005-0000-0000-000024120000}"/>
    <cellStyle name="40% - Accent4 3 4 2 2 4" xfId="32858" xr:uid="{5742EAE4-577D-4155-B073-CD2756A51C7C}"/>
    <cellStyle name="40% - Accent4 3 4 2 3" xfId="20206" xr:uid="{00000000-0005-0000-0000-000025120000}"/>
    <cellStyle name="40% - Accent4 3 4 2 3 2" xfId="37075" xr:uid="{A4D60666-4BAC-4279-B75E-7E789BFEB891}"/>
    <cellStyle name="40% - Accent4 3 4 2 4" xfId="11771" xr:uid="{00000000-0005-0000-0000-000026120000}"/>
    <cellStyle name="40% - Accent4 3 4 2 5" xfId="28641" xr:uid="{6EC1152A-7F26-42B7-9EFD-F13E562D87DB}"/>
    <cellStyle name="40% - Accent4 3 4 3" xfId="5409" xr:uid="{00000000-0005-0000-0000-000027120000}"/>
    <cellStyle name="40% - Accent4 3 4 3 2" xfId="22279" xr:uid="{00000000-0005-0000-0000-000028120000}"/>
    <cellStyle name="40% - Accent4 3 4 3 2 2" xfId="39147" xr:uid="{212D1FC3-EA21-4A32-BE47-DC430EB60D0D}"/>
    <cellStyle name="40% - Accent4 3 4 3 3" xfId="13844" xr:uid="{00000000-0005-0000-0000-000029120000}"/>
    <cellStyle name="40% - Accent4 3 4 3 4" xfId="30713" xr:uid="{5B0F93A2-DE97-4C79-B2B4-F385BF7C6AE2}"/>
    <cellStyle name="40% - Accent4 3 4 4" xfId="18061" xr:uid="{00000000-0005-0000-0000-00002A120000}"/>
    <cellStyle name="40% - Accent4 3 4 4 2" xfId="34930" xr:uid="{87392605-55E3-45AE-9001-035B81A07C8D}"/>
    <cellStyle name="40% - Accent4 3 4 5" xfId="9626" xr:uid="{00000000-0005-0000-0000-00002B120000}"/>
    <cellStyle name="40% - Accent4 3 4 6" xfId="26496" xr:uid="{09B360E5-E72D-4D50-8299-BE8E46ECA172}"/>
    <cellStyle name="40% - Accent4 3 5" xfId="1514" xr:uid="{00000000-0005-0000-0000-00002C120000}"/>
    <cellStyle name="40% - Accent4 3 5 2" xfId="3744" xr:uid="{00000000-0005-0000-0000-00002D120000}"/>
    <cellStyle name="40% - Accent4 3 5 2 2" xfId="7967" xr:uid="{00000000-0005-0000-0000-00002E120000}"/>
    <cellStyle name="40% - Accent4 3 5 2 2 2" xfId="24837" xr:uid="{00000000-0005-0000-0000-00002F120000}"/>
    <cellStyle name="40% - Accent4 3 5 2 2 2 2" xfId="41705" xr:uid="{9D472E0A-FAE5-482C-AA80-1E74CEB8E266}"/>
    <cellStyle name="40% - Accent4 3 5 2 2 3" xfId="16402" xr:uid="{00000000-0005-0000-0000-000030120000}"/>
    <cellStyle name="40% - Accent4 3 5 2 2 4" xfId="33271" xr:uid="{EC8AB9FC-47F3-42EF-A595-698E592F00F8}"/>
    <cellStyle name="40% - Accent4 3 5 2 3" xfId="20619" xr:uid="{00000000-0005-0000-0000-000031120000}"/>
    <cellStyle name="40% - Accent4 3 5 2 3 2" xfId="37488" xr:uid="{3AFC9CA0-A7BB-47D3-8012-09085FD420B9}"/>
    <cellStyle name="40% - Accent4 3 5 2 4" xfId="12184" xr:uid="{00000000-0005-0000-0000-000032120000}"/>
    <cellStyle name="40% - Accent4 3 5 2 5" xfId="29054" xr:uid="{111384C9-92A6-4040-BD20-DBD7817841CC}"/>
    <cellStyle name="40% - Accent4 3 5 3" xfId="5822" xr:uid="{00000000-0005-0000-0000-000033120000}"/>
    <cellStyle name="40% - Accent4 3 5 3 2" xfId="22692" xr:uid="{00000000-0005-0000-0000-000034120000}"/>
    <cellStyle name="40% - Accent4 3 5 3 2 2" xfId="39560" xr:uid="{B96BFC43-6D5D-48B9-A523-79B7DB4191D4}"/>
    <cellStyle name="40% - Accent4 3 5 3 3" xfId="14257" xr:uid="{00000000-0005-0000-0000-000035120000}"/>
    <cellStyle name="40% - Accent4 3 5 3 4" xfId="31126" xr:uid="{94D89993-B779-49C0-9E94-C1A8C8971886}"/>
    <cellStyle name="40% - Accent4 3 5 4" xfId="18474" xr:uid="{00000000-0005-0000-0000-000036120000}"/>
    <cellStyle name="40% - Accent4 3 5 4 2" xfId="35343" xr:uid="{7797CDB8-AD16-4805-8711-7AFA65D88DB1}"/>
    <cellStyle name="40% - Accent4 3 5 5" xfId="10039" xr:uid="{00000000-0005-0000-0000-000037120000}"/>
    <cellStyle name="40% - Accent4 3 5 6" xfId="26909" xr:uid="{8DFB7F6E-67B4-46B7-99C8-F3E07130CCA0}"/>
    <cellStyle name="40% - Accent4 3 6" xfId="1928" xr:uid="{00000000-0005-0000-0000-000038120000}"/>
    <cellStyle name="40% - Accent4 3 6 2" xfId="4157" xr:uid="{00000000-0005-0000-0000-000039120000}"/>
    <cellStyle name="40% - Accent4 3 6 2 2" xfId="8380" xr:uid="{00000000-0005-0000-0000-00003A120000}"/>
    <cellStyle name="40% - Accent4 3 6 2 2 2" xfId="25250" xr:uid="{00000000-0005-0000-0000-00003B120000}"/>
    <cellStyle name="40% - Accent4 3 6 2 2 2 2" xfId="42118" xr:uid="{9B0F3CD5-FB4C-4D5B-88A9-460B3A7DB593}"/>
    <cellStyle name="40% - Accent4 3 6 2 2 3" xfId="16815" xr:uid="{00000000-0005-0000-0000-00003C120000}"/>
    <cellStyle name="40% - Accent4 3 6 2 2 4" xfId="33684" xr:uid="{61CAF84E-74A1-46E8-989F-A56C71C627F4}"/>
    <cellStyle name="40% - Accent4 3 6 2 3" xfId="21032" xr:uid="{00000000-0005-0000-0000-00003D120000}"/>
    <cellStyle name="40% - Accent4 3 6 2 3 2" xfId="37901" xr:uid="{4A5D7705-994A-48DB-9317-1EFE98C88119}"/>
    <cellStyle name="40% - Accent4 3 6 2 4" xfId="12597" xr:uid="{00000000-0005-0000-0000-00003E120000}"/>
    <cellStyle name="40% - Accent4 3 6 2 5" xfId="29467" xr:uid="{1402B3E5-79DD-4FD8-B1D1-2DB70E31C3D7}"/>
    <cellStyle name="40% - Accent4 3 6 3" xfId="6235" xr:uid="{00000000-0005-0000-0000-00003F120000}"/>
    <cellStyle name="40% - Accent4 3 6 3 2" xfId="23105" xr:uid="{00000000-0005-0000-0000-000040120000}"/>
    <cellStyle name="40% - Accent4 3 6 3 2 2" xfId="39973" xr:uid="{DA3E8CF7-ECD4-48A3-B2F0-5B91C411FEA5}"/>
    <cellStyle name="40% - Accent4 3 6 3 3" xfId="14670" xr:uid="{00000000-0005-0000-0000-000041120000}"/>
    <cellStyle name="40% - Accent4 3 6 3 4" xfId="31539" xr:uid="{F331B260-CE24-4610-8E93-946167C09443}"/>
    <cellStyle name="40% - Accent4 3 6 4" xfId="18887" xr:uid="{00000000-0005-0000-0000-000042120000}"/>
    <cellStyle name="40% - Accent4 3 6 4 2" xfId="35756" xr:uid="{412E785A-DC3F-4F2F-9B24-E0CF30DBBF72}"/>
    <cellStyle name="40% - Accent4 3 6 5" xfId="10452" xr:uid="{00000000-0005-0000-0000-000043120000}"/>
    <cellStyle name="40% - Accent4 3 6 6" xfId="27322" xr:uid="{2C49BD7B-DFB3-4F62-A94A-B2D6C3987E03}"/>
    <cellStyle name="40% - Accent4 3 7" xfId="2341" xr:uid="{00000000-0005-0000-0000-000044120000}"/>
    <cellStyle name="40% - Accent4 3 7 2" xfId="6648" xr:uid="{00000000-0005-0000-0000-000045120000}"/>
    <cellStyle name="40% - Accent4 3 7 2 2" xfId="23518" xr:uid="{00000000-0005-0000-0000-000046120000}"/>
    <cellStyle name="40% - Accent4 3 7 2 2 2" xfId="40386" xr:uid="{0836F0F5-F9D2-484E-ACE8-3EA0ABD5E31F}"/>
    <cellStyle name="40% - Accent4 3 7 2 3" xfId="15083" xr:uid="{00000000-0005-0000-0000-000047120000}"/>
    <cellStyle name="40% - Accent4 3 7 2 4" xfId="31952" xr:uid="{A862287F-1501-482B-9FB0-EAECA5699E96}"/>
    <cellStyle name="40% - Accent4 3 7 3" xfId="19300" xr:uid="{00000000-0005-0000-0000-000048120000}"/>
    <cellStyle name="40% - Accent4 3 7 3 2" xfId="36169" xr:uid="{5E1E1653-931C-44DB-A1D7-581C964FBF4D}"/>
    <cellStyle name="40% - Accent4 3 7 4" xfId="10865" xr:uid="{00000000-0005-0000-0000-000049120000}"/>
    <cellStyle name="40% - Accent4 3 7 5" xfId="27735" xr:uid="{74A8676B-9AA6-49BE-8BF2-6A48B4A189AA}"/>
    <cellStyle name="40% - Accent4 3 8" xfId="4582" xr:uid="{00000000-0005-0000-0000-00004A120000}"/>
    <cellStyle name="40% - Accent4 3 8 2" xfId="21452" xr:uid="{00000000-0005-0000-0000-00004B120000}"/>
    <cellStyle name="40% - Accent4 3 8 2 2" xfId="38320" xr:uid="{0C86E990-5B94-4430-B48F-E7FC54C391DE}"/>
    <cellStyle name="40% - Accent4 3 8 3" xfId="13017" xr:uid="{00000000-0005-0000-0000-00004C120000}"/>
    <cellStyle name="40% - Accent4 3 8 4" xfId="29886" xr:uid="{FEA8529B-418F-4134-ACE1-35AAFFFC6F58}"/>
    <cellStyle name="40% - Accent4 3 9" xfId="17234" xr:uid="{00000000-0005-0000-0000-00004D120000}"/>
    <cellStyle name="40% - Accent4 3 9 2" xfId="34103" xr:uid="{38B31B3F-1B60-4694-BFA9-0D3AD61185C4}"/>
    <cellStyle name="40% - Accent4 4" xfId="80" xr:uid="{00000000-0005-0000-0000-00004E120000}"/>
    <cellStyle name="40% - Accent4 4 10" xfId="25671" xr:uid="{D5CB050B-6F0C-41C0-AC77-7ACEBA96329E}"/>
    <cellStyle name="40% - Accent4 4 2" xfId="649" xr:uid="{00000000-0005-0000-0000-00004F120000}"/>
    <cellStyle name="40% - Accent4 4 2 2" xfId="2920" xr:uid="{00000000-0005-0000-0000-000050120000}"/>
    <cellStyle name="40% - Accent4 4 2 2 2" xfId="7143" xr:uid="{00000000-0005-0000-0000-000051120000}"/>
    <cellStyle name="40% - Accent4 4 2 2 2 2" xfId="24013" xr:uid="{00000000-0005-0000-0000-000052120000}"/>
    <cellStyle name="40% - Accent4 4 2 2 2 2 2" xfId="40881" xr:uid="{4ABC7FD5-802F-4BC7-AD9A-E5C12555AE6A}"/>
    <cellStyle name="40% - Accent4 4 2 2 2 3" xfId="15578" xr:uid="{00000000-0005-0000-0000-000053120000}"/>
    <cellStyle name="40% - Accent4 4 2 2 2 4" xfId="32447" xr:uid="{F7B1256B-3AE9-4093-B3F5-04E60DEE440A}"/>
    <cellStyle name="40% - Accent4 4 2 2 3" xfId="19795" xr:uid="{00000000-0005-0000-0000-000054120000}"/>
    <cellStyle name="40% - Accent4 4 2 2 3 2" xfId="36664" xr:uid="{F62FEDF5-3295-4903-BEB3-3C18B377E3FC}"/>
    <cellStyle name="40% - Accent4 4 2 2 4" xfId="11360" xr:uid="{00000000-0005-0000-0000-000055120000}"/>
    <cellStyle name="40% - Accent4 4 2 2 5" xfId="28230" xr:uid="{5E69387F-5D2A-4A8D-BEF2-F0A831943882}"/>
    <cellStyle name="40% - Accent4 4 2 3" xfId="4998" xr:uid="{00000000-0005-0000-0000-000056120000}"/>
    <cellStyle name="40% - Accent4 4 2 3 2" xfId="21868" xr:uid="{00000000-0005-0000-0000-000057120000}"/>
    <cellStyle name="40% - Accent4 4 2 3 2 2" xfId="38736" xr:uid="{04AF99A6-19C1-431D-BDC0-919E9799BA8D}"/>
    <cellStyle name="40% - Accent4 4 2 3 3" xfId="13433" xr:uid="{00000000-0005-0000-0000-000058120000}"/>
    <cellStyle name="40% - Accent4 4 2 3 4" xfId="30302" xr:uid="{DC3A517C-A190-49ED-85F7-8CA4F059188C}"/>
    <cellStyle name="40% - Accent4 4 2 4" xfId="17650" xr:uid="{00000000-0005-0000-0000-000059120000}"/>
    <cellStyle name="40% - Accent4 4 2 4 2" xfId="34519" xr:uid="{F70348E7-C413-471E-9CCA-9A9886565F3D}"/>
    <cellStyle name="40% - Accent4 4 2 5" xfId="9215" xr:uid="{00000000-0005-0000-0000-00005A120000}"/>
    <cellStyle name="40% - Accent4 4 2 6" xfId="26085" xr:uid="{BEBF1073-021A-43D8-86F0-2741BC02A86E}"/>
    <cellStyle name="40% - Accent4 4 3" xfId="1102" xr:uid="{00000000-0005-0000-0000-00005B120000}"/>
    <cellStyle name="40% - Accent4 4 3 2" xfId="3333" xr:uid="{00000000-0005-0000-0000-00005C120000}"/>
    <cellStyle name="40% - Accent4 4 3 2 2" xfId="7556" xr:uid="{00000000-0005-0000-0000-00005D120000}"/>
    <cellStyle name="40% - Accent4 4 3 2 2 2" xfId="24426" xr:uid="{00000000-0005-0000-0000-00005E120000}"/>
    <cellStyle name="40% - Accent4 4 3 2 2 2 2" xfId="41294" xr:uid="{3B31DC74-C6B2-4FCE-B5D4-2C03C9EB234E}"/>
    <cellStyle name="40% - Accent4 4 3 2 2 3" xfId="15991" xr:uid="{00000000-0005-0000-0000-00005F120000}"/>
    <cellStyle name="40% - Accent4 4 3 2 2 4" xfId="32860" xr:uid="{8FCFB399-FDA0-4028-AF6B-5C94EC1897F5}"/>
    <cellStyle name="40% - Accent4 4 3 2 3" xfId="20208" xr:uid="{00000000-0005-0000-0000-000060120000}"/>
    <cellStyle name="40% - Accent4 4 3 2 3 2" xfId="37077" xr:uid="{86153EFE-987B-4F6C-B6E2-EE57AB3BFEB5}"/>
    <cellStyle name="40% - Accent4 4 3 2 4" xfId="11773" xr:uid="{00000000-0005-0000-0000-000061120000}"/>
    <cellStyle name="40% - Accent4 4 3 2 5" xfId="28643" xr:uid="{8EC652FE-0B8C-48B6-A95E-04A29C486BAD}"/>
    <cellStyle name="40% - Accent4 4 3 3" xfId="5411" xr:uid="{00000000-0005-0000-0000-000062120000}"/>
    <cellStyle name="40% - Accent4 4 3 3 2" xfId="22281" xr:uid="{00000000-0005-0000-0000-000063120000}"/>
    <cellStyle name="40% - Accent4 4 3 3 2 2" xfId="39149" xr:uid="{0164D27B-C977-4BB9-8BBA-DEAE0097F47F}"/>
    <cellStyle name="40% - Accent4 4 3 3 3" xfId="13846" xr:uid="{00000000-0005-0000-0000-000064120000}"/>
    <cellStyle name="40% - Accent4 4 3 3 4" xfId="30715" xr:uid="{E58D7B77-5305-4BE3-9693-B6B9D8EF576E}"/>
    <cellStyle name="40% - Accent4 4 3 4" xfId="18063" xr:uid="{00000000-0005-0000-0000-000065120000}"/>
    <cellStyle name="40% - Accent4 4 3 4 2" xfId="34932" xr:uid="{C95AAF5F-816C-4DE8-97E5-8597E9352D4C}"/>
    <cellStyle name="40% - Accent4 4 3 5" xfId="9628" xr:uid="{00000000-0005-0000-0000-000066120000}"/>
    <cellStyle name="40% - Accent4 4 3 6" xfId="26498" xr:uid="{1CCCA325-5F06-4231-A1FA-A4496740BB60}"/>
    <cellStyle name="40% - Accent4 4 4" xfId="1516" xr:uid="{00000000-0005-0000-0000-000067120000}"/>
    <cellStyle name="40% - Accent4 4 4 2" xfId="3746" xr:uid="{00000000-0005-0000-0000-000068120000}"/>
    <cellStyle name="40% - Accent4 4 4 2 2" xfId="7969" xr:uid="{00000000-0005-0000-0000-000069120000}"/>
    <cellStyle name="40% - Accent4 4 4 2 2 2" xfId="24839" xr:uid="{00000000-0005-0000-0000-00006A120000}"/>
    <cellStyle name="40% - Accent4 4 4 2 2 2 2" xfId="41707" xr:uid="{6D7FD017-C956-48A5-BEDD-6D431EDA1DC4}"/>
    <cellStyle name="40% - Accent4 4 4 2 2 3" xfId="16404" xr:uid="{00000000-0005-0000-0000-00006B120000}"/>
    <cellStyle name="40% - Accent4 4 4 2 2 4" xfId="33273" xr:uid="{62E5A915-30DD-4F15-A008-C495C3A872B6}"/>
    <cellStyle name="40% - Accent4 4 4 2 3" xfId="20621" xr:uid="{00000000-0005-0000-0000-00006C120000}"/>
    <cellStyle name="40% - Accent4 4 4 2 3 2" xfId="37490" xr:uid="{D0C430D5-A79A-4103-883F-718010744AD5}"/>
    <cellStyle name="40% - Accent4 4 4 2 4" xfId="12186" xr:uid="{00000000-0005-0000-0000-00006D120000}"/>
    <cellStyle name="40% - Accent4 4 4 2 5" xfId="29056" xr:uid="{7FEA2F58-11A1-4F07-BDAC-2F89ECFF9E62}"/>
    <cellStyle name="40% - Accent4 4 4 3" xfId="5824" xr:uid="{00000000-0005-0000-0000-00006E120000}"/>
    <cellStyle name="40% - Accent4 4 4 3 2" xfId="22694" xr:uid="{00000000-0005-0000-0000-00006F120000}"/>
    <cellStyle name="40% - Accent4 4 4 3 2 2" xfId="39562" xr:uid="{A29EEE9A-8F35-472A-AC60-8A85077908FA}"/>
    <cellStyle name="40% - Accent4 4 4 3 3" xfId="14259" xr:uid="{00000000-0005-0000-0000-000070120000}"/>
    <cellStyle name="40% - Accent4 4 4 3 4" xfId="31128" xr:uid="{8A224DB0-3445-4CB1-B80D-B532985667E7}"/>
    <cellStyle name="40% - Accent4 4 4 4" xfId="18476" xr:uid="{00000000-0005-0000-0000-000071120000}"/>
    <cellStyle name="40% - Accent4 4 4 4 2" xfId="35345" xr:uid="{7FB709A1-1A55-4188-ACD6-CCF37C064679}"/>
    <cellStyle name="40% - Accent4 4 4 5" xfId="10041" xr:uid="{00000000-0005-0000-0000-000072120000}"/>
    <cellStyle name="40% - Accent4 4 4 6" xfId="26911" xr:uid="{762EE45F-A96A-48DC-B3CB-FF97AB407249}"/>
    <cellStyle name="40% - Accent4 4 5" xfId="1930" xr:uid="{00000000-0005-0000-0000-000073120000}"/>
    <cellStyle name="40% - Accent4 4 5 2" xfId="4159" xr:uid="{00000000-0005-0000-0000-000074120000}"/>
    <cellStyle name="40% - Accent4 4 5 2 2" xfId="8382" xr:uid="{00000000-0005-0000-0000-000075120000}"/>
    <cellStyle name="40% - Accent4 4 5 2 2 2" xfId="25252" xr:uid="{00000000-0005-0000-0000-000076120000}"/>
    <cellStyle name="40% - Accent4 4 5 2 2 2 2" xfId="42120" xr:uid="{311B677F-2CCC-4596-9BD1-CFA55666FE3A}"/>
    <cellStyle name="40% - Accent4 4 5 2 2 3" xfId="16817" xr:uid="{00000000-0005-0000-0000-000077120000}"/>
    <cellStyle name="40% - Accent4 4 5 2 2 4" xfId="33686" xr:uid="{9AE706FA-595F-4913-BE49-DCB8601ADB9E}"/>
    <cellStyle name="40% - Accent4 4 5 2 3" xfId="21034" xr:uid="{00000000-0005-0000-0000-000078120000}"/>
    <cellStyle name="40% - Accent4 4 5 2 3 2" xfId="37903" xr:uid="{DFAAA745-A147-4296-AB52-9CF77B119F9D}"/>
    <cellStyle name="40% - Accent4 4 5 2 4" xfId="12599" xr:uid="{00000000-0005-0000-0000-000079120000}"/>
    <cellStyle name="40% - Accent4 4 5 2 5" xfId="29469" xr:uid="{B554F44A-0BE6-4C0A-B061-63D4F8F7DDC4}"/>
    <cellStyle name="40% - Accent4 4 5 3" xfId="6237" xr:uid="{00000000-0005-0000-0000-00007A120000}"/>
    <cellStyle name="40% - Accent4 4 5 3 2" xfId="23107" xr:uid="{00000000-0005-0000-0000-00007B120000}"/>
    <cellStyle name="40% - Accent4 4 5 3 2 2" xfId="39975" xr:uid="{0F760383-5FA7-4E33-8D06-5A0DFF8C938C}"/>
    <cellStyle name="40% - Accent4 4 5 3 3" xfId="14672" xr:uid="{00000000-0005-0000-0000-00007C120000}"/>
    <cellStyle name="40% - Accent4 4 5 3 4" xfId="31541" xr:uid="{1B943CF3-B6B2-423E-BB55-B2899388FEE2}"/>
    <cellStyle name="40% - Accent4 4 5 4" xfId="18889" xr:uid="{00000000-0005-0000-0000-00007D120000}"/>
    <cellStyle name="40% - Accent4 4 5 4 2" xfId="35758" xr:uid="{908C8556-9CF1-4F61-AE56-66F91B12FE68}"/>
    <cellStyle name="40% - Accent4 4 5 5" xfId="10454" xr:uid="{00000000-0005-0000-0000-00007E120000}"/>
    <cellStyle name="40% - Accent4 4 5 6" xfId="27324" xr:uid="{58CC618B-7C7D-463B-8F17-2483656B1A95}"/>
    <cellStyle name="40% - Accent4 4 6" xfId="2343" xr:uid="{00000000-0005-0000-0000-00007F120000}"/>
    <cellStyle name="40% - Accent4 4 6 2" xfId="6650" xr:uid="{00000000-0005-0000-0000-000080120000}"/>
    <cellStyle name="40% - Accent4 4 6 2 2" xfId="23520" xr:uid="{00000000-0005-0000-0000-000081120000}"/>
    <cellStyle name="40% - Accent4 4 6 2 2 2" xfId="40388" xr:uid="{C191239B-6D78-45BB-A753-016966CA922D}"/>
    <cellStyle name="40% - Accent4 4 6 2 3" xfId="15085" xr:uid="{00000000-0005-0000-0000-000082120000}"/>
    <cellStyle name="40% - Accent4 4 6 2 4" xfId="31954" xr:uid="{452DDFF5-4066-4923-8EC4-58E1DA16A76F}"/>
    <cellStyle name="40% - Accent4 4 6 3" xfId="19302" xr:uid="{00000000-0005-0000-0000-000083120000}"/>
    <cellStyle name="40% - Accent4 4 6 3 2" xfId="36171" xr:uid="{F4D32111-9597-46F3-A989-DFD7C7EFA0B5}"/>
    <cellStyle name="40% - Accent4 4 6 4" xfId="10867" xr:uid="{00000000-0005-0000-0000-000084120000}"/>
    <cellStyle name="40% - Accent4 4 6 5" xfId="27737" xr:uid="{90731F66-C330-40E5-A0C4-9D83C2692508}"/>
    <cellStyle name="40% - Accent4 4 7" xfId="4584" xr:uid="{00000000-0005-0000-0000-000085120000}"/>
    <cellStyle name="40% - Accent4 4 7 2" xfId="21454" xr:uid="{00000000-0005-0000-0000-000086120000}"/>
    <cellStyle name="40% - Accent4 4 7 2 2" xfId="38322" xr:uid="{C0EE1A7F-B736-4D20-9ADC-9873B32CC042}"/>
    <cellStyle name="40% - Accent4 4 7 3" xfId="13019" xr:uid="{00000000-0005-0000-0000-000087120000}"/>
    <cellStyle name="40% - Accent4 4 7 4" xfId="29888" xr:uid="{89F905DB-25B3-4258-8364-2D6050E2B00B}"/>
    <cellStyle name="40% - Accent4 4 8" xfId="17236" xr:uid="{00000000-0005-0000-0000-000088120000}"/>
    <cellStyle name="40% - Accent4 4 8 2" xfId="34105" xr:uid="{C9FA5AAD-66F0-40E7-A73E-B70D9BD37C05}"/>
    <cellStyle name="40% - Accent4 4 9" xfId="8801" xr:uid="{00000000-0005-0000-0000-000089120000}"/>
    <cellStyle name="40% - Accent4 5" xfId="642" xr:uid="{00000000-0005-0000-0000-00008A120000}"/>
    <cellStyle name="40% - Accent4 5 2" xfId="2913" xr:uid="{00000000-0005-0000-0000-00008B120000}"/>
    <cellStyle name="40% - Accent4 5 2 2" xfId="7136" xr:uid="{00000000-0005-0000-0000-00008C120000}"/>
    <cellStyle name="40% - Accent4 5 2 2 2" xfId="24006" xr:uid="{00000000-0005-0000-0000-00008D120000}"/>
    <cellStyle name="40% - Accent4 5 2 2 2 2" xfId="40874" xr:uid="{C1BEF561-DA17-4027-9645-F1E1B0237152}"/>
    <cellStyle name="40% - Accent4 5 2 2 3" xfId="15571" xr:uid="{00000000-0005-0000-0000-00008E120000}"/>
    <cellStyle name="40% - Accent4 5 2 2 4" xfId="32440" xr:uid="{B73231EA-B929-4AFB-B59E-B2ADB2C00027}"/>
    <cellStyle name="40% - Accent4 5 2 3" xfId="19788" xr:uid="{00000000-0005-0000-0000-00008F120000}"/>
    <cellStyle name="40% - Accent4 5 2 3 2" xfId="36657" xr:uid="{F739A996-45BE-4828-B5A8-6AA0DFDFF1FE}"/>
    <cellStyle name="40% - Accent4 5 2 4" xfId="11353" xr:uid="{00000000-0005-0000-0000-000090120000}"/>
    <cellStyle name="40% - Accent4 5 2 5" xfId="28223" xr:uid="{C6CFB034-BB38-4264-9642-404DE45831D2}"/>
    <cellStyle name="40% - Accent4 5 3" xfId="4991" xr:uid="{00000000-0005-0000-0000-000091120000}"/>
    <cellStyle name="40% - Accent4 5 3 2" xfId="21861" xr:uid="{00000000-0005-0000-0000-000092120000}"/>
    <cellStyle name="40% - Accent4 5 3 2 2" xfId="38729" xr:uid="{2598D6EE-9343-419D-95E9-2A6CB10E3E8F}"/>
    <cellStyle name="40% - Accent4 5 3 3" xfId="13426" xr:uid="{00000000-0005-0000-0000-000093120000}"/>
    <cellStyle name="40% - Accent4 5 3 4" xfId="30295" xr:uid="{CB784032-27C7-4A7C-900C-1089BF7FDAAE}"/>
    <cellStyle name="40% - Accent4 5 4" xfId="17643" xr:uid="{00000000-0005-0000-0000-000094120000}"/>
    <cellStyle name="40% - Accent4 5 4 2" xfId="34512" xr:uid="{AC5B9935-6B2B-4084-AA18-A7CFAAC1702A}"/>
    <cellStyle name="40% - Accent4 5 5" xfId="9208" xr:uid="{00000000-0005-0000-0000-000095120000}"/>
    <cellStyle name="40% - Accent4 5 6" xfId="26078" xr:uid="{7F75513E-B079-4218-877E-0B291A44C652}"/>
    <cellStyle name="40% - Accent4 6" xfId="1095" xr:uid="{00000000-0005-0000-0000-000096120000}"/>
    <cellStyle name="40% - Accent4 6 2" xfId="3326" xr:uid="{00000000-0005-0000-0000-000097120000}"/>
    <cellStyle name="40% - Accent4 6 2 2" xfId="7549" xr:uid="{00000000-0005-0000-0000-000098120000}"/>
    <cellStyle name="40% - Accent4 6 2 2 2" xfId="24419" xr:uid="{00000000-0005-0000-0000-000099120000}"/>
    <cellStyle name="40% - Accent4 6 2 2 2 2" xfId="41287" xr:uid="{159651EA-D01C-491E-A4D2-EABFD6FF3B29}"/>
    <cellStyle name="40% - Accent4 6 2 2 3" xfId="15984" xr:uid="{00000000-0005-0000-0000-00009A120000}"/>
    <cellStyle name="40% - Accent4 6 2 2 4" xfId="32853" xr:uid="{DFCB3363-E933-4F8C-BE8F-EB1F7197E004}"/>
    <cellStyle name="40% - Accent4 6 2 3" xfId="20201" xr:uid="{00000000-0005-0000-0000-00009B120000}"/>
    <cellStyle name="40% - Accent4 6 2 3 2" xfId="37070" xr:uid="{68366B2A-77D7-46BA-B3A8-C2171CFA3A59}"/>
    <cellStyle name="40% - Accent4 6 2 4" xfId="11766" xr:uid="{00000000-0005-0000-0000-00009C120000}"/>
    <cellStyle name="40% - Accent4 6 2 5" xfId="28636" xr:uid="{3394BD3A-770B-411F-B53B-734CAF668E30}"/>
    <cellStyle name="40% - Accent4 6 3" xfId="5404" xr:uid="{00000000-0005-0000-0000-00009D120000}"/>
    <cellStyle name="40% - Accent4 6 3 2" xfId="22274" xr:uid="{00000000-0005-0000-0000-00009E120000}"/>
    <cellStyle name="40% - Accent4 6 3 2 2" xfId="39142" xr:uid="{0021E84E-2811-4EFE-A241-7BB0BB18B952}"/>
    <cellStyle name="40% - Accent4 6 3 3" xfId="13839" xr:uid="{00000000-0005-0000-0000-00009F120000}"/>
    <cellStyle name="40% - Accent4 6 3 4" xfId="30708" xr:uid="{B380A6FA-4D28-4137-A4A3-996645A39A24}"/>
    <cellStyle name="40% - Accent4 6 4" xfId="18056" xr:uid="{00000000-0005-0000-0000-0000A0120000}"/>
    <cellStyle name="40% - Accent4 6 4 2" xfId="34925" xr:uid="{5824B3AC-11F5-42AC-BA4F-88A7EDEBE4F6}"/>
    <cellStyle name="40% - Accent4 6 5" xfId="9621" xr:uid="{00000000-0005-0000-0000-0000A1120000}"/>
    <cellStyle name="40% - Accent4 6 6" xfId="26491" xr:uid="{4821D2A0-F722-497E-9CE1-6F2332A624F8}"/>
    <cellStyle name="40% - Accent4 7" xfId="1509" xr:uid="{00000000-0005-0000-0000-0000A2120000}"/>
    <cellStyle name="40% - Accent4 7 2" xfId="3739" xr:uid="{00000000-0005-0000-0000-0000A3120000}"/>
    <cellStyle name="40% - Accent4 7 2 2" xfId="7962" xr:uid="{00000000-0005-0000-0000-0000A4120000}"/>
    <cellStyle name="40% - Accent4 7 2 2 2" xfId="24832" xr:uid="{00000000-0005-0000-0000-0000A5120000}"/>
    <cellStyle name="40% - Accent4 7 2 2 2 2" xfId="41700" xr:uid="{99130BB6-E861-4BD7-9A1B-EDB9B0B6E16F}"/>
    <cellStyle name="40% - Accent4 7 2 2 3" xfId="16397" xr:uid="{00000000-0005-0000-0000-0000A6120000}"/>
    <cellStyle name="40% - Accent4 7 2 2 4" xfId="33266" xr:uid="{6C49B724-E03B-476C-9D82-4889CEC5FD40}"/>
    <cellStyle name="40% - Accent4 7 2 3" xfId="20614" xr:uid="{00000000-0005-0000-0000-0000A7120000}"/>
    <cellStyle name="40% - Accent4 7 2 3 2" xfId="37483" xr:uid="{4A501315-F01F-4534-BC0A-FFC1694CD4A9}"/>
    <cellStyle name="40% - Accent4 7 2 4" xfId="12179" xr:uid="{00000000-0005-0000-0000-0000A8120000}"/>
    <cellStyle name="40% - Accent4 7 2 5" xfId="29049" xr:uid="{FA027D8B-6FB1-4B87-888A-5BFA7F2AF001}"/>
    <cellStyle name="40% - Accent4 7 3" xfId="5817" xr:uid="{00000000-0005-0000-0000-0000A9120000}"/>
    <cellStyle name="40% - Accent4 7 3 2" xfId="22687" xr:uid="{00000000-0005-0000-0000-0000AA120000}"/>
    <cellStyle name="40% - Accent4 7 3 2 2" xfId="39555" xr:uid="{C18F69CF-8C12-40C3-A168-72E7FCCA2BEC}"/>
    <cellStyle name="40% - Accent4 7 3 3" xfId="14252" xr:uid="{00000000-0005-0000-0000-0000AB120000}"/>
    <cellStyle name="40% - Accent4 7 3 4" xfId="31121" xr:uid="{10D79AB5-9743-4956-B119-D4C35DF387A2}"/>
    <cellStyle name="40% - Accent4 7 4" xfId="18469" xr:uid="{00000000-0005-0000-0000-0000AC120000}"/>
    <cellStyle name="40% - Accent4 7 4 2" xfId="35338" xr:uid="{007C8BF5-1C7C-4AD3-86BB-F60840543F61}"/>
    <cellStyle name="40% - Accent4 7 5" xfId="10034" xr:uid="{00000000-0005-0000-0000-0000AD120000}"/>
    <cellStyle name="40% - Accent4 7 6" xfId="26904" xr:uid="{34BF9F39-7FAC-4347-88CA-32A33625EB2B}"/>
    <cellStyle name="40% - Accent4 8" xfId="1923" xr:uid="{00000000-0005-0000-0000-0000AE120000}"/>
    <cellStyle name="40% - Accent4 8 2" xfId="4152" xr:uid="{00000000-0005-0000-0000-0000AF120000}"/>
    <cellStyle name="40% - Accent4 8 2 2" xfId="8375" xr:uid="{00000000-0005-0000-0000-0000B0120000}"/>
    <cellStyle name="40% - Accent4 8 2 2 2" xfId="25245" xr:uid="{00000000-0005-0000-0000-0000B1120000}"/>
    <cellStyle name="40% - Accent4 8 2 2 2 2" xfId="42113" xr:uid="{99D98B55-DFD6-47F4-BF62-B16F01A3A142}"/>
    <cellStyle name="40% - Accent4 8 2 2 3" xfId="16810" xr:uid="{00000000-0005-0000-0000-0000B2120000}"/>
    <cellStyle name="40% - Accent4 8 2 2 4" xfId="33679" xr:uid="{A2CF4644-2950-4C69-B482-B8E3556BF829}"/>
    <cellStyle name="40% - Accent4 8 2 3" xfId="21027" xr:uid="{00000000-0005-0000-0000-0000B3120000}"/>
    <cellStyle name="40% - Accent4 8 2 3 2" xfId="37896" xr:uid="{AECC98FC-17A0-4A53-AADE-B66E11CA177D}"/>
    <cellStyle name="40% - Accent4 8 2 4" xfId="12592" xr:uid="{00000000-0005-0000-0000-0000B4120000}"/>
    <cellStyle name="40% - Accent4 8 2 5" xfId="29462" xr:uid="{6B1633C6-091A-4AC0-A2CA-CE72BD6E41C0}"/>
    <cellStyle name="40% - Accent4 8 3" xfId="6230" xr:uid="{00000000-0005-0000-0000-0000B5120000}"/>
    <cellStyle name="40% - Accent4 8 3 2" xfId="23100" xr:uid="{00000000-0005-0000-0000-0000B6120000}"/>
    <cellStyle name="40% - Accent4 8 3 2 2" xfId="39968" xr:uid="{F5CBE2BE-8004-4D6D-997A-EC35328FD4ED}"/>
    <cellStyle name="40% - Accent4 8 3 3" xfId="14665" xr:uid="{00000000-0005-0000-0000-0000B7120000}"/>
    <cellStyle name="40% - Accent4 8 3 4" xfId="31534" xr:uid="{87604876-FA8F-4B3C-B6DE-C2CF54A2F8B9}"/>
    <cellStyle name="40% - Accent4 8 4" xfId="18882" xr:uid="{00000000-0005-0000-0000-0000B8120000}"/>
    <cellStyle name="40% - Accent4 8 4 2" xfId="35751" xr:uid="{5A11DD0A-7706-4189-BAAB-0D00BD820E25}"/>
    <cellStyle name="40% - Accent4 8 5" xfId="10447" xr:uid="{00000000-0005-0000-0000-0000B9120000}"/>
    <cellStyle name="40% - Accent4 8 6" xfId="27317" xr:uid="{99D3904E-59B4-406B-963A-31703B6B68EE}"/>
    <cellStyle name="40% - Accent4 9" xfId="2336" xr:uid="{00000000-0005-0000-0000-0000BA120000}"/>
    <cellStyle name="40% - Accent4 9 2" xfId="6643" xr:uid="{00000000-0005-0000-0000-0000BB120000}"/>
    <cellStyle name="40% - Accent4 9 2 2" xfId="23513" xr:uid="{00000000-0005-0000-0000-0000BC120000}"/>
    <cellStyle name="40% - Accent4 9 2 2 2" xfId="40381" xr:uid="{E513CF45-AC69-4583-A3D1-772211E349D0}"/>
    <cellStyle name="40% - Accent4 9 2 3" xfId="15078" xr:uid="{00000000-0005-0000-0000-0000BD120000}"/>
    <cellStyle name="40% - Accent4 9 2 4" xfId="31947" xr:uid="{2C6F62DA-949F-4EAA-9171-9B70480B16C5}"/>
    <cellStyle name="40% - Accent4 9 3" xfId="19295" xr:uid="{00000000-0005-0000-0000-0000BE120000}"/>
    <cellStyle name="40% - Accent4 9 3 2" xfId="36164" xr:uid="{AB39A94B-67FC-44FC-9248-1F17EBC46FF8}"/>
    <cellStyle name="40% - Accent4 9 4" xfId="10860" xr:uid="{00000000-0005-0000-0000-0000BF120000}"/>
    <cellStyle name="40% - Accent4 9 5" xfId="27730" xr:uid="{A5A52991-2CB0-4BB6-9CCF-4B71547E62D3}"/>
    <cellStyle name="40% - Accent5" xfId="81" builtinId="47" customBuiltin="1"/>
    <cellStyle name="40% - Accent5 10" xfId="4585" xr:uid="{00000000-0005-0000-0000-0000C1120000}"/>
    <cellStyle name="40% - Accent5 10 2" xfId="21455" xr:uid="{00000000-0005-0000-0000-0000C2120000}"/>
    <cellStyle name="40% - Accent5 10 2 2" xfId="38323" xr:uid="{E2545582-93D9-4F56-A945-5B56D01749EC}"/>
    <cellStyle name="40% - Accent5 10 3" xfId="13020" xr:uid="{00000000-0005-0000-0000-0000C3120000}"/>
    <cellStyle name="40% - Accent5 10 4" xfId="29889" xr:uid="{B227B10E-CFAA-40C9-86F7-622A592D8E63}"/>
    <cellStyle name="40% - Accent5 11" xfId="17237" xr:uid="{00000000-0005-0000-0000-0000C4120000}"/>
    <cellStyle name="40% - Accent5 11 2" xfId="34106" xr:uid="{BFFDEE1D-E1E3-44C8-9C99-82FAD27A15E5}"/>
    <cellStyle name="40% - Accent5 12" xfId="8802" xr:uid="{00000000-0005-0000-0000-0000C5120000}"/>
    <cellStyle name="40% - Accent5 13" xfId="25672" xr:uid="{7FD8F817-2AA6-4D86-A6E3-CE2F02BCDBDB}"/>
    <cellStyle name="40% - Accent5 2" xfId="82" xr:uid="{00000000-0005-0000-0000-0000C6120000}"/>
    <cellStyle name="40% - Accent5 2 10" xfId="17238" xr:uid="{00000000-0005-0000-0000-0000C7120000}"/>
    <cellStyle name="40% - Accent5 2 10 2" xfId="34107" xr:uid="{E4AE9FDB-B32C-4371-A3C6-6D9734237767}"/>
    <cellStyle name="40% - Accent5 2 11" xfId="8803" xr:uid="{00000000-0005-0000-0000-0000C8120000}"/>
    <cellStyle name="40% - Accent5 2 12" xfId="25673" xr:uid="{E2D14713-2EB1-439F-9168-31DEDD2B53E8}"/>
    <cellStyle name="40% - Accent5 2 2" xfId="83" xr:uid="{00000000-0005-0000-0000-0000C9120000}"/>
    <cellStyle name="40% - Accent5 2 2 10" xfId="8804" xr:uid="{00000000-0005-0000-0000-0000CA120000}"/>
    <cellStyle name="40% - Accent5 2 2 11" xfId="25674" xr:uid="{DE3468C3-65DE-4A4F-8BB0-E2F0AA64716F}"/>
    <cellStyle name="40% - Accent5 2 2 2" xfId="84" xr:uid="{00000000-0005-0000-0000-0000CB120000}"/>
    <cellStyle name="40% - Accent5 2 2 2 10" xfId="25675" xr:uid="{C490D6BB-3BB7-4549-944D-F53FE9626F40}"/>
    <cellStyle name="40% - Accent5 2 2 2 2" xfId="653" xr:uid="{00000000-0005-0000-0000-0000CC120000}"/>
    <cellStyle name="40% - Accent5 2 2 2 2 2" xfId="2924" xr:uid="{00000000-0005-0000-0000-0000CD120000}"/>
    <cellStyle name="40% - Accent5 2 2 2 2 2 2" xfId="7147" xr:uid="{00000000-0005-0000-0000-0000CE120000}"/>
    <cellStyle name="40% - Accent5 2 2 2 2 2 2 2" xfId="24017" xr:uid="{00000000-0005-0000-0000-0000CF120000}"/>
    <cellStyle name="40% - Accent5 2 2 2 2 2 2 2 2" xfId="40885" xr:uid="{594F5282-D434-4FED-8DA2-D9D63497D04A}"/>
    <cellStyle name="40% - Accent5 2 2 2 2 2 2 3" xfId="15582" xr:uid="{00000000-0005-0000-0000-0000D0120000}"/>
    <cellStyle name="40% - Accent5 2 2 2 2 2 2 4" xfId="32451" xr:uid="{CAF4851A-BD9C-42ED-89BB-55AB7BA11627}"/>
    <cellStyle name="40% - Accent5 2 2 2 2 2 3" xfId="19799" xr:uid="{00000000-0005-0000-0000-0000D1120000}"/>
    <cellStyle name="40% - Accent5 2 2 2 2 2 3 2" xfId="36668" xr:uid="{DDE1623A-086F-437C-8882-54813C703EA4}"/>
    <cellStyle name="40% - Accent5 2 2 2 2 2 4" xfId="11364" xr:uid="{00000000-0005-0000-0000-0000D2120000}"/>
    <cellStyle name="40% - Accent5 2 2 2 2 2 5" xfId="28234" xr:uid="{F585CD0A-CFD0-4099-8CFD-4FCAE58FA797}"/>
    <cellStyle name="40% - Accent5 2 2 2 2 3" xfId="5002" xr:uid="{00000000-0005-0000-0000-0000D3120000}"/>
    <cellStyle name="40% - Accent5 2 2 2 2 3 2" xfId="21872" xr:uid="{00000000-0005-0000-0000-0000D4120000}"/>
    <cellStyle name="40% - Accent5 2 2 2 2 3 2 2" xfId="38740" xr:uid="{9521FA62-7C3C-4780-88BB-D06996446000}"/>
    <cellStyle name="40% - Accent5 2 2 2 2 3 3" xfId="13437" xr:uid="{00000000-0005-0000-0000-0000D5120000}"/>
    <cellStyle name="40% - Accent5 2 2 2 2 3 4" xfId="30306" xr:uid="{6CF6C870-C972-4CDB-8F0B-0F481908B77F}"/>
    <cellStyle name="40% - Accent5 2 2 2 2 4" xfId="17654" xr:uid="{00000000-0005-0000-0000-0000D6120000}"/>
    <cellStyle name="40% - Accent5 2 2 2 2 4 2" xfId="34523" xr:uid="{5085BDB0-ED11-421D-B86E-A2F4EC299F6B}"/>
    <cellStyle name="40% - Accent5 2 2 2 2 5" xfId="9219" xr:uid="{00000000-0005-0000-0000-0000D7120000}"/>
    <cellStyle name="40% - Accent5 2 2 2 2 6" xfId="26089" xr:uid="{37CE3D61-60D9-4948-BE51-BC09425696F6}"/>
    <cellStyle name="40% - Accent5 2 2 2 3" xfId="1106" xr:uid="{00000000-0005-0000-0000-0000D8120000}"/>
    <cellStyle name="40% - Accent5 2 2 2 3 2" xfId="3337" xr:uid="{00000000-0005-0000-0000-0000D9120000}"/>
    <cellStyle name="40% - Accent5 2 2 2 3 2 2" xfId="7560" xr:uid="{00000000-0005-0000-0000-0000DA120000}"/>
    <cellStyle name="40% - Accent5 2 2 2 3 2 2 2" xfId="24430" xr:uid="{00000000-0005-0000-0000-0000DB120000}"/>
    <cellStyle name="40% - Accent5 2 2 2 3 2 2 2 2" xfId="41298" xr:uid="{B7EDC184-EE87-48E5-8A20-CA24670768B1}"/>
    <cellStyle name="40% - Accent5 2 2 2 3 2 2 3" xfId="15995" xr:uid="{00000000-0005-0000-0000-0000DC120000}"/>
    <cellStyle name="40% - Accent5 2 2 2 3 2 2 4" xfId="32864" xr:uid="{35489EEB-82E4-46A8-9B36-1AD2E2D64639}"/>
    <cellStyle name="40% - Accent5 2 2 2 3 2 3" xfId="20212" xr:uid="{00000000-0005-0000-0000-0000DD120000}"/>
    <cellStyle name="40% - Accent5 2 2 2 3 2 3 2" xfId="37081" xr:uid="{2FDA99DD-7234-463D-B705-45BD8750C126}"/>
    <cellStyle name="40% - Accent5 2 2 2 3 2 4" xfId="11777" xr:uid="{00000000-0005-0000-0000-0000DE120000}"/>
    <cellStyle name="40% - Accent5 2 2 2 3 2 5" xfId="28647" xr:uid="{551ABDBB-C1FB-4A56-B448-D52DFF29778A}"/>
    <cellStyle name="40% - Accent5 2 2 2 3 3" xfId="5415" xr:uid="{00000000-0005-0000-0000-0000DF120000}"/>
    <cellStyle name="40% - Accent5 2 2 2 3 3 2" xfId="22285" xr:uid="{00000000-0005-0000-0000-0000E0120000}"/>
    <cellStyle name="40% - Accent5 2 2 2 3 3 2 2" xfId="39153" xr:uid="{FA9EE0F2-4E52-4C20-AFA4-6277231A2D26}"/>
    <cellStyle name="40% - Accent5 2 2 2 3 3 3" xfId="13850" xr:uid="{00000000-0005-0000-0000-0000E1120000}"/>
    <cellStyle name="40% - Accent5 2 2 2 3 3 4" xfId="30719" xr:uid="{03B146ED-31E1-4A26-94D8-3F5CA4B6459F}"/>
    <cellStyle name="40% - Accent5 2 2 2 3 4" xfId="18067" xr:uid="{00000000-0005-0000-0000-0000E2120000}"/>
    <cellStyle name="40% - Accent5 2 2 2 3 4 2" xfId="34936" xr:uid="{D2548C89-64CC-4505-B0CF-74BA70919AB4}"/>
    <cellStyle name="40% - Accent5 2 2 2 3 5" xfId="9632" xr:uid="{00000000-0005-0000-0000-0000E3120000}"/>
    <cellStyle name="40% - Accent5 2 2 2 3 6" xfId="26502" xr:uid="{5A40FC22-386B-4EE5-9730-2B3D18B0E601}"/>
    <cellStyle name="40% - Accent5 2 2 2 4" xfId="1520" xr:uid="{00000000-0005-0000-0000-0000E4120000}"/>
    <cellStyle name="40% - Accent5 2 2 2 4 2" xfId="3750" xr:uid="{00000000-0005-0000-0000-0000E5120000}"/>
    <cellStyle name="40% - Accent5 2 2 2 4 2 2" xfId="7973" xr:uid="{00000000-0005-0000-0000-0000E6120000}"/>
    <cellStyle name="40% - Accent5 2 2 2 4 2 2 2" xfId="24843" xr:uid="{00000000-0005-0000-0000-0000E7120000}"/>
    <cellStyle name="40% - Accent5 2 2 2 4 2 2 2 2" xfId="41711" xr:uid="{AE9C9D60-4D1E-49AC-A266-EC6A780729C8}"/>
    <cellStyle name="40% - Accent5 2 2 2 4 2 2 3" xfId="16408" xr:uid="{00000000-0005-0000-0000-0000E8120000}"/>
    <cellStyle name="40% - Accent5 2 2 2 4 2 2 4" xfId="33277" xr:uid="{F5E8DC17-0261-4FB2-9BCE-85897A9BB39B}"/>
    <cellStyle name="40% - Accent5 2 2 2 4 2 3" xfId="20625" xr:uid="{00000000-0005-0000-0000-0000E9120000}"/>
    <cellStyle name="40% - Accent5 2 2 2 4 2 3 2" xfId="37494" xr:uid="{7C51B4E2-740F-4A34-8134-7D868348F734}"/>
    <cellStyle name="40% - Accent5 2 2 2 4 2 4" xfId="12190" xr:uid="{00000000-0005-0000-0000-0000EA120000}"/>
    <cellStyle name="40% - Accent5 2 2 2 4 2 5" xfId="29060" xr:uid="{AA0A8791-9420-4579-8CE1-8FFB957C689B}"/>
    <cellStyle name="40% - Accent5 2 2 2 4 3" xfId="5828" xr:uid="{00000000-0005-0000-0000-0000EB120000}"/>
    <cellStyle name="40% - Accent5 2 2 2 4 3 2" xfId="22698" xr:uid="{00000000-0005-0000-0000-0000EC120000}"/>
    <cellStyle name="40% - Accent5 2 2 2 4 3 2 2" xfId="39566" xr:uid="{E605DC92-87D5-4B02-82E0-B90930CB529C}"/>
    <cellStyle name="40% - Accent5 2 2 2 4 3 3" xfId="14263" xr:uid="{00000000-0005-0000-0000-0000ED120000}"/>
    <cellStyle name="40% - Accent5 2 2 2 4 3 4" xfId="31132" xr:uid="{F5A7882F-7F62-4794-B305-E147D8C392A9}"/>
    <cellStyle name="40% - Accent5 2 2 2 4 4" xfId="18480" xr:uid="{00000000-0005-0000-0000-0000EE120000}"/>
    <cellStyle name="40% - Accent5 2 2 2 4 4 2" xfId="35349" xr:uid="{BD228D64-B08D-44B0-A5E9-FDA334190DE2}"/>
    <cellStyle name="40% - Accent5 2 2 2 4 5" xfId="10045" xr:uid="{00000000-0005-0000-0000-0000EF120000}"/>
    <cellStyle name="40% - Accent5 2 2 2 4 6" xfId="26915" xr:uid="{091405A2-C4CC-4E07-ACDF-29C6C19DECFA}"/>
    <cellStyle name="40% - Accent5 2 2 2 5" xfId="1934" xr:uid="{00000000-0005-0000-0000-0000F0120000}"/>
    <cellStyle name="40% - Accent5 2 2 2 5 2" xfId="4163" xr:uid="{00000000-0005-0000-0000-0000F1120000}"/>
    <cellStyle name="40% - Accent5 2 2 2 5 2 2" xfId="8386" xr:uid="{00000000-0005-0000-0000-0000F2120000}"/>
    <cellStyle name="40% - Accent5 2 2 2 5 2 2 2" xfId="25256" xr:uid="{00000000-0005-0000-0000-0000F3120000}"/>
    <cellStyle name="40% - Accent5 2 2 2 5 2 2 2 2" xfId="42124" xr:uid="{1799CD83-8853-49CC-92B6-9F28AFB8099C}"/>
    <cellStyle name="40% - Accent5 2 2 2 5 2 2 3" xfId="16821" xr:uid="{00000000-0005-0000-0000-0000F4120000}"/>
    <cellStyle name="40% - Accent5 2 2 2 5 2 2 4" xfId="33690" xr:uid="{90D59B04-6D97-4A4A-B50F-582899D6F82F}"/>
    <cellStyle name="40% - Accent5 2 2 2 5 2 3" xfId="21038" xr:uid="{00000000-0005-0000-0000-0000F5120000}"/>
    <cellStyle name="40% - Accent5 2 2 2 5 2 3 2" xfId="37907" xr:uid="{D1DB399D-5768-45E1-8A4F-41B5B022F477}"/>
    <cellStyle name="40% - Accent5 2 2 2 5 2 4" xfId="12603" xr:uid="{00000000-0005-0000-0000-0000F6120000}"/>
    <cellStyle name="40% - Accent5 2 2 2 5 2 5" xfId="29473" xr:uid="{3BF905C3-5E8C-449A-9463-DA7D04FD161E}"/>
    <cellStyle name="40% - Accent5 2 2 2 5 3" xfId="6241" xr:uid="{00000000-0005-0000-0000-0000F7120000}"/>
    <cellStyle name="40% - Accent5 2 2 2 5 3 2" xfId="23111" xr:uid="{00000000-0005-0000-0000-0000F8120000}"/>
    <cellStyle name="40% - Accent5 2 2 2 5 3 2 2" xfId="39979" xr:uid="{8B5832C6-FB4A-4BF4-8EF0-9FB53509416B}"/>
    <cellStyle name="40% - Accent5 2 2 2 5 3 3" xfId="14676" xr:uid="{00000000-0005-0000-0000-0000F9120000}"/>
    <cellStyle name="40% - Accent5 2 2 2 5 3 4" xfId="31545" xr:uid="{18DE5B2C-E378-447D-A54D-85FAEA956A9D}"/>
    <cellStyle name="40% - Accent5 2 2 2 5 4" xfId="18893" xr:uid="{00000000-0005-0000-0000-0000FA120000}"/>
    <cellStyle name="40% - Accent5 2 2 2 5 4 2" xfId="35762" xr:uid="{CDB51BB5-AF5E-40BA-94E0-B86DAD6D5000}"/>
    <cellStyle name="40% - Accent5 2 2 2 5 5" xfId="10458" xr:uid="{00000000-0005-0000-0000-0000FB120000}"/>
    <cellStyle name="40% - Accent5 2 2 2 5 6" xfId="27328" xr:uid="{E2B66361-64B8-43BB-AF2E-D7B5B4E34A16}"/>
    <cellStyle name="40% - Accent5 2 2 2 6" xfId="2347" xr:uid="{00000000-0005-0000-0000-0000FC120000}"/>
    <cellStyle name="40% - Accent5 2 2 2 6 2" xfId="6654" xr:uid="{00000000-0005-0000-0000-0000FD120000}"/>
    <cellStyle name="40% - Accent5 2 2 2 6 2 2" xfId="23524" xr:uid="{00000000-0005-0000-0000-0000FE120000}"/>
    <cellStyle name="40% - Accent5 2 2 2 6 2 2 2" xfId="40392" xr:uid="{E884AD18-38E7-472C-A639-DD2542135A14}"/>
    <cellStyle name="40% - Accent5 2 2 2 6 2 3" xfId="15089" xr:uid="{00000000-0005-0000-0000-0000FF120000}"/>
    <cellStyle name="40% - Accent5 2 2 2 6 2 4" xfId="31958" xr:uid="{58E81696-4499-4CD6-B49E-5F84593CE2D1}"/>
    <cellStyle name="40% - Accent5 2 2 2 6 3" xfId="19306" xr:uid="{00000000-0005-0000-0000-000000130000}"/>
    <cellStyle name="40% - Accent5 2 2 2 6 3 2" xfId="36175" xr:uid="{63511A5E-4442-4110-A71C-DA61764E16BA}"/>
    <cellStyle name="40% - Accent5 2 2 2 6 4" xfId="10871" xr:uid="{00000000-0005-0000-0000-000001130000}"/>
    <cellStyle name="40% - Accent5 2 2 2 6 5" xfId="27741" xr:uid="{86F82584-BF17-47AB-9FDF-5A469526DC48}"/>
    <cellStyle name="40% - Accent5 2 2 2 7" xfId="4588" xr:uid="{00000000-0005-0000-0000-000002130000}"/>
    <cellStyle name="40% - Accent5 2 2 2 7 2" xfId="21458" xr:uid="{00000000-0005-0000-0000-000003130000}"/>
    <cellStyle name="40% - Accent5 2 2 2 7 2 2" xfId="38326" xr:uid="{613B8521-6516-487E-BD10-24F6B44F9B14}"/>
    <cellStyle name="40% - Accent5 2 2 2 7 3" xfId="13023" xr:uid="{00000000-0005-0000-0000-000004130000}"/>
    <cellStyle name="40% - Accent5 2 2 2 7 4" xfId="29892" xr:uid="{3418417E-E179-451F-A730-DDA8EEB50898}"/>
    <cellStyle name="40% - Accent5 2 2 2 8" xfId="17240" xr:uid="{00000000-0005-0000-0000-000005130000}"/>
    <cellStyle name="40% - Accent5 2 2 2 8 2" xfId="34109" xr:uid="{731305AD-158B-495C-BD01-3553C331F829}"/>
    <cellStyle name="40% - Accent5 2 2 2 9" xfId="8805" xr:uid="{00000000-0005-0000-0000-000006130000}"/>
    <cellStyle name="40% - Accent5 2 2 3" xfId="652" xr:uid="{00000000-0005-0000-0000-000007130000}"/>
    <cellStyle name="40% - Accent5 2 2 3 2" xfId="2923" xr:uid="{00000000-0005-0000-0000-000008130000}"/>
    <cellStyle name="40% - Accent5 2 2 3 2 2" xfId="7146" xr:uid="{00000000-0005-0000-0000-000009130000}"/>
    <cellStyle name="40% - Accent5 2 2 3 2 2 2" xfId="24016" xr:uid="{00000000-0005-0000-0000-00000A130000}"/>
    <cellStyle name="40% - Accent5 2 2 3 2 2 2 2" xfId="40884" xr:uid="{C29AE5CF-B407-4E58-82C9-4F30D07B128D}"/>
    <cellStyle name="40% - Accent5 2 2 3 2 2 3" xfId="15581" xr:uid="{00000000-0005-0000-0000-00000B130000}"/>
    <cellStyle name="40% - Accent5 2 2 3 2 2 4" xfId="32450" xr:uid="{C0582CA1-D653-42FF-8AC2-5B7A74D995EB}"/>
    <cellStyle name="40% - Accent5 2 2 3 2 3" xfId="19798" xr:uid="{00000000-0005-0000-0000-00000C130000}"/>
    <cellStyle name="40% - Accent5 2 2 3 2 3 2" xfId="36667" xr:uid="{6A762538-92A0-4EC5-8073-CA91A88DB19D}"/>
    <cellStyle name="40% - Accent5 2 2 3 2 4" xfId="11363" xr:uid="{00000000-0005-0000-0000-00000D130000}"/>
    <cellStyle name="40% - Accent5 2 2 3 2 5" xfId="28233" xr:uid="{8A9B584F-55C9-4019-AE1A-A9519D300380}"/>
    <cellStyle name="40% - Accent5 2 2 3 3" xfId="5001" xr:uid="{00000000-0005-0000-0000-00000E130000}"/>
    <cellStyle name="40% - Accent5 2 2 3 3 2" xfId="21871" xr:uid="{00000000-0005-0000-0000-00000F130000}"/>
    <cellStyle name="40% - Accent5 2 2 3 3 2 2" xfId="38739" xr:uid="{6A7C535F-A1E4-4FC0-A463-61349B647392}"/>
    <cellStyle name="40% - Accent5 2 2 3 3 3" xfId="13436" xr:uid="{00000000-0005-0000-0000-000010130000}"/>
    <cellStyle name="40% - Accent5 2 2 3 3 4" xfId="30305" xr:uid="{34F773E3-5F0E-48B1-A94A-10DB8FB8196B}"/>
    <cellStyle name="40% - Accent5 2 2 3 4" xfId="17653" xr:uid="{00000000-0005-0000-0000-000011130000}"/>
    <cellStyle name="40% - Accent5 2 2 3 4 2" xfId="34522" xr:uid="{1E079CE3-697B-4B00-8DF8-817B8EB0170A}"/>
    <cellStyle name="40% - Accent5 2 2 3 5" xfId="9218" xr:uid="{00000000-0005-0000-0000-000012130000}"/>
    <cellStyle name="40% - Accent5 2 2 3 6" xfId="26088" xr:uid="{2071D288-70FB-4E66-85B2-75026FA7C1D1}"/>
    <cellStyle name="40% - Accent5 2 2 4" xfId="1105" xr:uid="{00000000-0005-0000-0000-000013130000}"/>
    <cellStyle name="40% - Accent5 2 2 4 2" xfId="3336" xr:uid="{00000000-0005-0000-0000-000014130000}"/>
    <cellStyle name="40% - Accent5 2 2 4 2 2" xfId="7559" xr:uid="{00000000-0005-0000-0000-000015130000}"/>
    <cellStyle name="40% - Accent5 2 2 4 2 2 2" xfId="24429" xr:uid="{00000000-0005-0000-0000-000016130000}"/>
    <cellStyle name="40% - Accent5 2 2 4 2 2 2 2" xfId="41297" xr:uid="{E148AA62-0949-47FF-BE20-C5762155B50A}"/>
    <cellStyle name="40% - Accent5 2 2 4 2 2 3" xfId="15994" xr:uid="{00000000-0005-0000-0000-000017130000}"/>
    <cellStyle name="40% - Accent5 2 2 4 2 2 4" xfId="32863" xr:uid="{1C95F96F-6B92-4493-ACF3-FAADEA0B6B7A}"/>
    <cellStyle name="40% - Accent5 2 2 4 2 3" xfId="20211" xr:uid="{00000000-0005-0000-0000-000018130000}"/>
    <cellStyle name="40% - Accent5 2 2 4 2 3 2" xfId="37080" xr:uid="{38810758-462E-43C4-94DE-CAE8E9AF3FCC}"/>
    <cellStyle name="40% - Accent5 2 2 4 2 4" xfId="11776" xr:uid="{00000000-0005-0000-0000-000019130000}"/>
    <cellStyle name="40% - Accent5 2 2 4 2 5" xfId="28646" xr:uid="{79516A64-8EE8-414D-9F5B-09CBF41283E9}"/>
    <cellStyle name="40% - Accent5 2 2 4 3" xfId="5414" xr:uid="{00000000-0005-0000-0000-00001A130000}"/>
    <cellStyle name="40% - Accent5 2 2 4 3 2" xfId="22284" xr:uid="{00000000-0005-0000-0000-00001B130000}"/>
    <cellStyle name="40% - Accent5 2 2 4 3 2 2" xfId="39152" xr:uid="{3AF7C726-425B-4E89-AE2F-A0FD69F0E2B5}"/>
    <cellStyle name="40% - Accent5 2 2 4 3 3" xfId="13849" xr:uid="{00000000-0005-0000-0000-00001C130000}"/>
    <cellStyle name="40% - Accent5 2 2 4 3 4" xfId="30718" xr:uid="{3A064AAA-410F-4316-A0AA-2EC824254946}"/>
    <cellStyle name="40% - Accent5 2 2 4 4" xfId="18066" xr:uid="{00000000-0005-0000-0000-00001D130000}"/>
    <cellStyle name="40% - Accent5 2 2 4 4 2" xfId="34935" xr:uid="{A67FF27C-D185-40B0-AD2F-6607FD2071E7}"/>
    <cellStyle name="40% - Accent5 2 2 4 5" xfId="9631" xr:uid="{00000000-0005-0000-0000-00001E130000}"/>
    <cellStyle name="40% - Accent5 2 2 4 6" xfId="26501" xr:uid="{1F2B566D-1F27-4FF4-9BCC-E5BF38B161E8}"/>
    <cellStyle name="40% - Accent5 2 2 5" xfId="1519" xr:uid="{00000000-0005-0000-0000-00001F130000}"/>
    <cellStyle name="40% - Accent5 2 2 5 2" xfId="3749" xr:uid="{00000000-0005-0000-0000-000020130000}"/>
    <cellStyle name="40% - Accent5 2 2 5 2 2" xfId="7972" xr:uid="{00000000-0005-0000-0000-000021130000}"/>
    <cellStyle name="40% - Accent5 2 2 5 2 2 2" xfId="24842" xr:uid="{00000000-0005-0000-0000-000022130000}"/>
    <cellStyle name="40% - Accent5 2 2 5 2 2 2 2" xfId="41710" xr:uid="{0EE67CE3-D318-4FB7-995E-C5896D325024}"/>
    <cellStyle name="40% - Accent5 2 2 5 2 2 3" xfId="16407" xr:uid="{00000000-0005-0000-0000-000023130000}"/>
    <cellStyle name="40% - Accent5 2 2 5 2 2 4" xfId="33276" xr:uid="{738AD378-3A7C-4F3A-947C-5E651073C2AE}"/>
    <cellStyle name="40% - Accent5 2 2 5 2 3" xfId="20624" xr:uid="{00000000-0005-0000-0000-000024130000}"/>
    <cellStyle name="40% - Accent5 2 2 5 2 3 2" xfId="37493" xr:uid="{1BB2C6EE-FC3F-4C72-9A7F-627BE33BDBF6}"/>
    <cellStyle name="40% - Accent5 2 2 5 2 4" xfId="12189" xr:uid="{00000000-0005-0000-0000-000025130000}"/>
    <cellStyle name="40% - Accent5 2 2 5 2 5" xfId="29059" xr:uid="{4B52C852-8BEF-4526-93A6-313A2CFF35A2}"/>
    <cellStyle name="40% - Accent5 2 2 5 3" xfId="5827" xr:uid="{00000000-0005-0000-0000-000026130000}"/>
    <cellStyle name="40% - Accent5 2 2 5 3 2" xfId="22697" xr:uid="{00000000-0005-0000-0000-000027130000}"/>
    <cellStyle name="40% - Accent5 2 2 5 3 2 2" xfId="39565" xr:uid="{E15DAC8E-63FB-4EA4-BC6A-8DD14F0ED421}"/>
    <cellStyle name="40% - Accent5 2 2 5 3 3" xfId="14262" xr:uid="{00000000-0005-0000-0000-000028130000}"/>
    <cellStyle name="40% - Accent5 2 2 5 3 4" xfId="31131" xr:uid="{6B90D7A5-EB9E-4646-AD19-D81006682F57}"/>
    <cellStyle name="40% - Accent5 2 2 5 4" xfId="18479" xr:uid="{00000000-0005-0000-0000-000029130000}"/>
    <cellStyle name="40% - Accent5 2 2 5 4 2" xfId="35348" xr:uid="{ACA44BAF-9DA3-4357-9006-78103290BA91}"/>
    <cellStyle name="40% - Accent5 2 2 5 5" xfId="10044" xr:uid="{00000000-0005-0000-0000-00002A130000}"/>
    <cellStyle name="40% - Accent5 2 2 5 6" xfId="26914" xr:uid="{0D16D264-26BC-4BFE-9DD9-E48611C187F7}"/>
    <cellStyle name="40% - Accent5 2 2 6" xfId="1933" xr:uid="{00000000-0005-0000-0000-00002B130000}"/>
    <cellStyle name="40% - Accent5 2 2 6 2" xfId="4162" xr:uid="{00000000-0005-0000-0000-00002C130000}"/>
    <cellStyle name="40% - Accent5 2 2 6 2 2" xfId="8385" xr:uid="{00000000-0005-0000-0000-00002D130000}"/>
    <cellStyle name="40% - Accent5 2 2 6 2 2 2" xfId="25255" xr:uid="{00000000-0005-0000-0000-00002E130000}"/>
    <cellStyle name="40% - Accent5 2 2 6 2 2 2 2" xfId="42123" xr:uid="{63A60BF0-AD1D-4AE3-B4E9-83E3743885D8}"/>
    <cellStyle name="40% - Accent5 2 2 6 2 2 3" xfId="16820" xr:uid="{00000000-0005-0000-0000-00002F130000}"/>
    <cellStyle name="40% - Accent5 2 2 6 2 2 4" xfId="33689" xr:uid="{B44CF6DB-790F-49B4-B70C-C5ED83031D8D}"/>
    <cellStyle name="40% - Accent5 2 2 6 2 3" xfId="21037" xr:uid="{00000000-0005-0000-0000-000030130000}"/>
    <cellStyle name="40% - Accent5 2 2 6 2 3 2" xfId="37906" xr:uid="{9D1FF315-780C-4A82-9F0C-C03178215247}"/>
    <cellStyle name="40% - Accent5 2 2 6 2 4" xfId="12602" xr:uid="{00000000-0005-0000-0000-000031130000}"/>
    <cellStyle name="40% - Accent5 2 2 6 2 5" xfId="29472" xr:uid="{D91E7BD3-F00E-4CC3-A31D-6F55018AC8CC}"/>
    <cellStyle name="40% - Accent5 2 2 6 3" xfId="6240" xr:uid="{00000000-0005-0000-0000-000032130000}"/>
    <cellStyle name="40% - Accent5 2 2 6 3 2" xfId="23110" xr:uid="{00000000-0005-0000-0000-000033130000}"/>
    <cellStyle name="40% - Accent5 2 2 6 3 2 2" xfId="39978" xr:uid="{4D12CE28-6DCD-4080-904A-444656BC21BA}"/>
    <cellStyle name="40% - Accent5 2 2 6 3 3" xfId="14675" xr:uid="{00000000-0005-0000-0000-000034130000}"/>
    <cellStyle name="40% - Accent5 2 2 6 3 4" xfId="31544" xr:uid="{4AB8AFFA-F54B-4754-B8CB-4E4B69C3EBCE}"/>
    <cellStyle name="40% - Accent5 2 2 6 4" xfId="18892" xr:uid="{00000000-0005-0000-0000-000035130000}"/>
    <cellStyle name="40% - Accent5 2 2 6 4 2" xfId="35761" xr:uid="{72962B8A-9A3F-4360-9482-3D279D5DF48B}"/>
    <cellStyle name="40% - Accent5 2 2 6 5" xfId="10457" xr:uid="{00000000-0005-0000-0000-000036130000}"/>
    <cellStyle name="40% - Accent5 2 2 6 6" xfId="27327" xr:uid="{33F3B6B5-6C52-4697-BFB3-2D6977C01284}"/>
    <cellStyle name="40% - Accent5 2 2 7" xfId="2346" xr:uid="{00000000-0005-0000-0000-000037130000}"/>
    <cellStyle name="40% - Accent5 2 2 7 2" xfId="6653" xr:uid="{00000000-0005-0000-0000-000038130000}"/>
    <cellStyle name="40% - Accent5 2 2 7 2 2" xfId="23523" xr:uid="{00000000-0005-0000-0000-000039130000}"/>
    <cellStyle name="40% - Accent5 2 2 7 2 2 2" xfId="40391" xr:uid="{B483D1CA-5021-4289-B021-970738373768}"/>
    <cellStyle name="40% - Accent5 2 2 7 2 3" xfId="15088" xr:uid="{00000000-0005-0000-0000-00003A130000}"/>
    <cellStyle name="40% - Accent5 2 2 7 2 4" xfId="31957" xr:uid="{E1D0E81D-B43A-4E0A-A4CB-DB7CFFA8A595}"/>
    <cellStyle name="40% - Accent5 2 2 7 3" xfId="19305" xr:uid="{00000000-0005-0000-0000-00003B130000}"/>
    <cellStyle name="40% - Accent5 2 2 7 3 2" xfId="36174" xr:uid="{FB8CD66B-BDA9-4EB3-BEAC-BCE8F87B2D0E}"/>
    <cellStyle name="40% - Accent5 2 2 7 4" xfId="10870" xr:uid="{00000000-0005-0000-0000-00003C130000}"/>
    <cellStyle name="40% - Accent5 2 2 7 5" xfId="27740" xr:uid="{0988C6EC-9948-4031-949B-AC97AED0A996}"/>
    <cellStyle name="40% - Accent5 2 2 8" xfId="4587" xr:uid="{00000000-0005-0000-0000-00003D130000}"/>
    <cellStyle name="40% - Accent5 2 2 8 2" xfId="21457" xr:uid="{00000000-0005-0000-0000-00003E130000}"/>
    <cellStyle name="40% - Accent5 2 2 8 2 2" xfId="38325" xr:uid="{AD957AE7-F9BA-44EE-99E7-26487501E895}"/>
    <cellStyle name="40% - Accent5 2 2 8 3" xfId="13022" xr:uid="{00000000-0005-0000-0000-00003F130000}"/>
    <cellStyle name="40% - Accent5 2 2 8 4" xfId="29891" xr:uid="{735864AF-48CC-4F3F-9BEA-E964D8E3DCC5}"/>
    <cellStyle name="40% - Accent5 2 2 9" xfId="17239" xr:uid="{00000000-0005-0000-0000-000040130000}"/>
    <cellStyle name="40% - Accent5 2 2 9 2" xfId="34108" xr:uid="{3135492E-8515-4DC0-9F10-976BB7A0F655}"/>
    <cellStyle name="40% - Accent5 2 3" xfId="85" xr:uid="{00000000-0005-0000-0000-000041130000}"/>
    <cellStyle name="40% - Accent5 2 3 10" xfId="25676" xr:uid="{466FB23E-19A7-43C6-B790-64C58CCC4D52}"/>
    <cellStyle name="40% - Accent5 2 3 2" xfId="654" xr:uid="{00000000-0005-0000-0000-000042130000}"/>
    <cellStyle name="40% - Accent5 2 3 2 2" xfId="2925" xr:uid="{00000000-0005-0000-0000-000043130000}"/>
    <cellStyle name="40% - Accent5 2 3 2 2 2" xfId="7148" xr:uid="{00000000-0005-0000-0000-000044130000}"/>
    <cellStyle name="40% - Accent5 2 3 2 2 2 2" xfId="24018" xr:uid="{00000000-0005-0000-0000-000045130000}"/>
    <cellStyle name="40% - Accent5 2 3 2 2 2 2 2" xfId="40886" xr:uid="{17A03A16-3AFE-4E40-A9FC-B1D2DD6FFD15}"/>
    <cellStyle name="40% - Accent5 2 3 2 2 2 3" xfId="15583" xr:uid="{00000000-0005-0000-0000-000046130000}"/>
    <cellStyle name="40% - Accent5 2 3 2 2 2 4" xfId="32452" xr:uid="{4D4EAACE-5EDB-4B28-8BFC-EA3264DFAC59}"/>
    <cellStyle name="40% - Accent5 2 3 2 2 3" xfId="19800" xr:uid="{00000000-0005-0000-0000-000047130000}"/>
    <cellStyle name="40% - Accent5 2 3 2 2 3 2" xfId="36669" xr:uid="{DFF35E26-4A74-4648-9AD6-80446F4446B6}"/>
    <cellStyle name="40% - Accent5 2 3 2 2 4" xfId="11365" xr:uid="{00000000-0005-0000-0000-000048130000}"/>
    <cellStyle name="40% - Accent5 2 3 2 2 5" xfId="28235" xr:uid="{AED7A433-61C3-4167-B62D-C8902E486D58}"/>
    <cellStyle name="40% - Accent5 2 3 2 3" xfId="5003" xr:uid="{00000000-0005-0000-0000-000049130000}"/>
    <cellStyle name="40% - Accent5 2 3 2 3 2" xfId="21873" xr:uid="{00000000-0005-0000-0000-00004A130000}"/>
    <cellStyle name="40% - Accent5 2 3 2 3 2 2" xfId="38741" xr:uid="{8BAD0DC1-FEA3-49C0-8C1F-9F7B65E21708}"/>
    <cellStyle name="40% - Accent5 2 3 2 3 3" xfId="13438" xr:uid="{00000000-0005-0000-0000-00004B130000}"/>
    <cellStyle name="40% - Accent5 2 3 2 3 4" xfId="30307" xr:uid="{C0B88B75-F63B-48FC-BAE9-F0AC636DE65D}"/>
    <cellStyle name="40% - Accent5 2 3 2 4" xfId="17655" xr:uid="{00000000-0005-0000-0000-00004C130000}"/>
    <cellStyle name="40% - Accent5 2 3 2 4 2" xfId="34524" xr:uid="{A06B465C-8F3D-4691-8BDA-F1C4AA5C0ACE}"/>
    <cellStyle name="40% - Accent5 2 3 2 5" xfId="9220" xr:uid="{00000000-0005-0000-0000-00004D130000}"/>
    <cellStyle name="40% - Accent5 2 3 2 6" xfId="26090" xr:uid="{792A4D62-012D-4CA7-8A38-D5E12E41AE03}"/>
    <cellStyle name="40% - Accent5 2 3 3" xfId="1107" xr:uid="{00000000-0005-0000-0000-00004E130000}"/>
    <cellStyle name="40% - Accent5 2 3 3 2" xfId="3338" xr:uid="{00000000-0005-0000-0000-00004F130000}"/>
    <cellStyle name="40% - Accent5 2 3 3 2 2" xfId="7561" xr:uid="{00000000-0005-0000-0000-000050130000}"/>
    <cellStyle name="40% - Accent5 2 3 3 2 2 2" xfId="24431" xr:uid="{00000000-0005-0000-0000-000051130000}"/>
    <cellStyle name="40% - Accent5 2 3 3 2 2 2 2" xfId="41299" xr:uid="{B5A65CB4-F09A-418C-9023-FAFFBDB6D2E5}"/>
    <cellStyle name="40% - Accent5 2 3 3 2 2 3" xfId="15996" xr:uid="{00000000-0005-0000-0000-000052130000}"/>
    <cellStyle name="40% - Accent5 2 3 3 2 2 4" xfId="32865" xr:uid="{4DD85302-E446-4ED0-8137-DA21327F61FB}"/>
    <cellStyle name="40% - Accent5 2 3 3 2 3" xfId="20213" xr:uid="{00000000-0005-0000-0000-000053130000}"/>
    <cellStyle name="40% - Accent5 2 3 3 2 3 2" xfId="37082" xr:uid="{18CC4544-91F8-4821-A7BD-562615FEDF91}"/>
    <cellStyle name="40% - Accent5 2 3 3 2 4" xfId="11778" xr:uid="{00000000-0005-0000-0000-000054130000}"/>
    <cellStyle name="40% - Accent5 2 3 3 2 5" xfId="28648" xr:uid="{A80E5F4D-AEEC-4F47-AFFA-FC8585C1E800}"/>
    <cellStyle name="40% - Accent5 2 3 3 3" xfId="5416" xr:uid="{00000000-0005-0000-0000-000055130000}"/>
    <cellStyle name="40% - Accent5 2 3 3 3 2" xfId="22286" xr:uid="{00000000-0005-0000-0000-000056130000}"/>
    <cellStyle name="40% - Accent5 2 3 3 3 2 2" xfId="39154" xr:uid="{28C958FE-8AE6-4352-B359-E326CDEFE5F8}"/>
    <cellStyle name="40% - Accent5 2 3 3 3 3" xfId="13851" xr:uid="{00000000-0005-0000-0000-000057130000}"/>
    <cellStyle name="40% - Accent5 2 3 3 3 4" xfId="30720" xr:uid="{4BA2F641-3A94-4E36-AF60-A4A6BEE97790}"/>
    <cellStyle name="40% - Accent5 2 3 3 4" xfId="18068" xr:uid="{00000000-0005-0000-0000-000058130000}"/>
    <cellStyle name="40% - Accent5 2 3 3 4 2" xfId="34937" xr:uid="{A6DBEE06-E435-4F7B-9649-F5D9640332E8}"/>
    <cellStyle name="40% - Accent5 2 3 3 5" xfId="9633" xr:uid="{00000000-0005-0000-0000-000059130000}"/>
    <cellStyle name="40% - Accent5 2 3 3 6" xfId="26503" xr:uid="{61AA0591-0E2C-481D-BB63-8AAF9A7C1D3F}"/>
    <cellStyle name="40% - Accent5 2 3 4" xfId="1521" xr:uid="{00000000-0005-0000-0000-00005A130000}"/>
    <cellStyle name="40% - Accent5 2 3 4 2" xfId="3751" xr:uid="{00000000-0005-0000-0000-00005B130000}"/>
    <cellStyle name="40% - Accent5 2 3 4 2 2" xfId="7974" xr:uid="{00000000-0005-0000-0000-00005C130000}"/>
    <cellStyle name="40% - Accent5 2 3 4 2 2 2" xfId="24844" xr:uid="{00000000-0005-0000-0000-00005D130000}"/>
    <cellStyle name="40% - Accent5 2 3 4 2 2 2 2" xfId="41712" xr:uid="{355C8A5A-66B4-4871-B179-337504423358}"/>
    <cellStyle name="40% - Accent5 2 3 4 2 2 3" xfId="16409" xr:uid="{00000000-0005-0000-0000-00005E130000}"/>
    <cellStyle name="40% - Accent5 2 3 4 2 2 4" xfId="33278" xr:uid="{C0D99A5E-BDCE-4653-89D4-CD05415C71EF}"/>
    <cellStyle name="40% - Accent5 2 3 4 2 3" xfId="20626" xr:uid="{00000000-0005-0000-0000-00005F130000}"/>
    <cellStyle name="40% - Accent5 2 3 4 2 3 2" xfId="37495" xr:uid="{6BF77744-857C-4C90-8980-FECA1151F093}"/>
    <cellStyle name="40% - Accent5 2 3 4 2 4" xfId="12191" xr:uid="{00000000-0005-0000-0000-000060130000}"/>
    <cellStyle name="40% - Accent5 2 3 4 2 5" xfId="29061" xr:uid="{18B13564-2E2A-43A0-8221-7E60AB5B6CA8}"/>
    <cellStyle name="40% - Accent5 2 3 4 3" xfId="5829" xr:uid="{00000000-0005-0000-0000-000061130000}"/>
    <cellStyle name="40% - Accent5 2 3 4 3 2" xfId="22699" xr:uid="{00000000-0005-0000-0000-000062130000}"/>
    <cellStyle name="40% - Accent5 2 3 4 3 2 2" xfId="39567" xr:uid="{FCDECB98-78F0-4D9B-9E36-D4FC23303678}"/>
    <cellStyle name="40% - Accent5 2 3 4 3 3" xfId="14264" xr:uid="{00000000-0005-0000-0000-000063130000}"/>
    <cellStyle name="40% - Accent5 2 3 4 3 4" xfId="31133" xr:uid="{1B365E42-816F-48E0-8958-C07152EC20A2}"/>
    <cellStyle name="40% - Accent5 2 3 4 4" xfId="18481" xr:uid="{00000000-0005-0000-0000-000064130000}"/>
    <cellStyle name="40% - Accent5 2 3 4 4 2" xfId="35350" xr:uid="{2E66879F-51FF-4DF2-B9CA-2FF15EA5FD34}"/>
    <cellStyle name="40% - Accent5 2 3 4 5" xfId="10046" xr:uid="{00000000-0005-0000-0000-000065130000}"/>
    <cellStyle name="40% - Accent5 2 3 4 6" xfId="26916" xr:uid="{689ADC63-D7D1-42EE-9C5F-A0ECEDB480D9}"/>
    <cellStyle name="40% - Accent5 2 3 5" xfId="1935" xr:uid="{00000000-0005-0000-0000-000066130000}"/>
    <cellStyle name="40% - Accent5 2 3 5 2" xfId="4164" xr:uid="{00000000-0005-0000-0000-000067130000}"/>
    <cellStyle name="40% - Accent5 2 3 5 2 2" xfId="8387" xr:uid="{00000000-0005-0000-0000-000068130000}"/>
    <cellStyle name="40% - Accent5 2 3 5 2 2 2" xfId="25257" xr:uid="{00000000-0005-0000-0000-000069130000}"/>
    <cellStyle name="40% - Accent5 2 3 5 2 2 2 2" xfId="42125" xr:uid="{31E7283B-8943-4064-9B64-5ECD91C6B890}"/>
    <cellStyle name="40% - Accent5 2 3 5 2 2 3" xfId="16822" xr:uid="{00000000-0005-0000-0000-00006A130000}"/>
    <cellStyle name="40% - Accent5 2 3 5 2 2 4" xfId="33691" xr:uid="{8C5C798F-2DB1-4846-B694-6F399EC2C92C}"/>
    <cellStyle name="40% - Accent5 2 3 5 2 3" xfId="21039" xr:uid="{00000000-0005-0000-0000-00006B130000}"/>
    <cellStyle name="40% - Accent5 2 3 5 2 3 2" xfId="37908" xr:uid="{01EF6338-840A-4587-AE6D-FE9D3B115461}"/>
    <cellStyle name="40% - Accent5 2 3 5 2 4" xfId="12604" xr:uid="{00000000-0005-0000-0000-00006C130000}"/>
    <cellStyle name="40% - Accent5 2 3 5 2 5" xfId="29474" xr:uid="{0A2D7000-CCC7-4DCB-9A12-AA854ECAECD6}"/>
    <cellStyle name="40% - Accent5 2 3 5 3" xfId="6242" xr:uid="{00000000-0005-0000-0000-00006D130000}"/>
    <cellStyle name="40% - Accent5 2 3 5 3 2" xfId="23112" xr:uid="{00000000-0005-0000-0000-00006E130000}"/>
    <cellStyle name="40% - Accent5 2 3 5 3 2 2" xfId="39980" xr:uid="{35B11C2A-7913-4172-819A-149963FAA3DF}"/>
    <cellStyle name="40% - Accent5 2 3 5 3 3" xfId="14677" xr:uid="{00000000-0005-0000-0000-00006F130000}"/>
    <cellStyle name="40% - Accent5 2 3 5 3 4" xfId="31546" xr:uid="{BB672A9A-D6AF-4F3E-8ECB-4509F7380435}"/>
    <cellStyle name="40% - Accent5 2 3 5 4" xfId="18894" xr:uid="{00000000-0005-0000-0000-000070130000}"/>
    <cellStyle name="40% - Accent5 2 3 5 4 2" xfId="35763" xr:uid="{0CB61415-0F02-4051-8235-D913DD33EF63}"/>
    <cellStyle name="40% - Accent5 2 3 5 5" xfId="10459" xr:uid="{00000000-0005-0000-0000-000071130000}"/>
    <cellStyle name="40% - Accent5 2 3 5 6" xfId="27329" xr:uid="{63FFDC05-8DCB-40E2-8021-85B314578AEC}"/>
    <cellStyle name="40% - Accent5 2 3 6" xfId="2348" xr:uid="{00000000-0005-0000-0000-000072130000}"/>
    <cellStyle name="40% - Accent5 2 3 6 2" xfId="6655" xr:uid="{00000000-0005-0000-0000-000073130000}"/>
    <cellStyle name="40% - Accent5 2 3 6 2 2" xfId="23525" xr:uid="{00000000-0005-0000-0000-000074130000}"/>
    <cellStyle name="40% - Accent5 2 3 6 2 2 2" xfId="40393" xr:uid="{80E7AF2D-BDBB-4CC1-B339-69C8142372F9}"/>
    <cellStyle name="40% - Accent5 2 3 6 2 3" xfId="15090" xr:uid="{00000000-0005-0000-0000-000075130000}"/>
    <cellStyle name="40% - Accent5 2 3 6 2 4" xfId="31959" xr:uid="{390A3D33-902C-4A3E-8A92-E0BC3CDC644B}"/>
    <cellStyle name="40% - Accent5 2 3 6 3" xfId="19307" xr:uid="{00000000-0005-0000-0000-000076130000}"/>
    <cellStyle name="40% - Accent5 2 3 6 3 2" xfId="36176" xr:uid="{71C22066-ECD5-4E63-AEDA-3F4D1E428D1A}"/>
    <cellStyle name="40% - Accent5 2 3 6 4" xfId="10872" xr:uid="{00000000-0005-0000-0000-000077130000}"/>
    <cellStyle name="40% - Accent5 2 3 6 5" xfId="27742" xr:uid="{976C7332-6BDE-4EF3-A835-766531B99429}"/>
    <cellStyle name="40% - Accent5 2 3 7" xfId="4589" xr:uid="{00000000-0005-0000-0000-000078130000}"/>
    <cellStyle name="40% - Accent5 2 3 7 2" xfId="21459" xr:uid="{00000000-0005-0000-0000-000079130000}"/>
    <cellStyle name="40% - Accent5 2 3 7 2 2" xfId="38327" xr:uid="{CCC73BC6-6BD3-48C7-BD4F-BB1407C5087E}"/>
    <cellStyle name="40% - Accent5 2 3 7 3" xfId="13024" xr:uid="{00000000-0005-0000-0000-00007A130000}"/>
    <cellStyle name="40% - Accent5 2 3 7 4" xfId="29893" xr:uid="{FA30C2DB-86D2-4C5B-BF46-809D885F749B}"/>
    <cellStyle name="40% - Accent5 2 3 8" xfId="17241" xr:uid="{00000000-0005-0000-0000-00007B130000}"/>
    <cellStyle name="40% - Accent5 2 3 8 2" xfId="34110" xr:uid="{9A9FB81C-9B2E-47EF-9793-EF90362D2DDC}"/>
    <cellStyle name="40% - Accent5 2 3 9" xfId="8806" xr:uid="{00000000-0005-0000-0000-00007C130000}"/>
    <cellStyle name="40% - Accent5 2 4" xfId="651" xr:uid="{00000000-0005-0000-0000-00007D130000}"/>
    <cellStyle name="40% - Accent5 2 4 2" xfId="2922" xr:uid="{00000000-0005-0000-0000-00007E130000}"/>
    <cellStyle name="40% - Accent5 2 4 2 2" xfId="7145" xr:uid="{00000000-0005-0000-0000-00007F130000}"/>
    <cellStyle name="40% - Accent5 2 4 2 2 2" xfId="24015" xr:uid="{00000000-0005-0000-0000-000080130000}"/>
    <cellStyle name="40% - Accent5 2 4 2 2 2 2" xfId="40883" xr:uid="{BA1A80A7-5D14-4EB2-A6DF-0D0589072012}"/>
    <cellStyle name="40% - Accent5 2 4 2 2 3" xfId="15580" xr:uid="{00000000-0005-0000-0000-000081130000}"/>
    <cellStyle name="40% - Accent5 2 4 2 2 4" xfId="32449" xr:uid="{BA66DFE7-65F4-473D-AC7E-FCBCB92DE2D8}"/>
    <cellStyle name="40% - Accent5 2 4 2 3" xfId="19797" xr:uid="{00000000-0005-0000-0000-000082130000}"/>
    <cellStyle name="40% - Accent5 2 4 2 3 2" xfId="36666" xr:uid="{89B552D2-7E0E-45CB-BC1B-10F793F1B9D7}"/>
    <cellStyle name="40% - Accent5 2 4 2 4" xfId="11362" xr:uid="{00000000-0005-0000-0000-000083130000}"/>
    <cellStyle name="40% - Accent5 2 4 2 5" xfId="28232" xr:uid="{E8243815-0AE3-4090-8081-3A86D8025983}"/>
    <cellStyle name="40% - Accent5 2 4 3" xfId="5000" xr:uid="{00000000-0005-0000-0000-000084130000}"/>
    <cellStyle name="40% - Accent5 2 4 3 2" xfId="21870" xr:uid="{00000000-0005-0000-0000-000085130000}"/>
    <cellStyle name="40% - Accent5 2 4 3 2 2" xfId="38738" xr:uid="{7734021D-9DE1-4B7D-8728-B4A105AF2D58}"/>
    <cellStyle name="40% - Accent5 2 4 3 3" xfId="13435" xr:uid="{00000000-0005-0000-0000-000086130000}"/>
    <cellStyle name="40% - Accent5 2 4 3 4" xfId="30304" xr:uid="{DA405F20-E95D-4C38-AA8E-3D9AEABB41AD}"/>
    <cellStyle name="40% - Accent5 2 4 4" xfId="17652" xr:uid="{00000000-0005-0000-0000-000087130000}"/>
    <cellStyle name="40% - Accent5 2 4 4 2" xfId="34521" xr:uid="{D6C92878-FDCC-48F4-A839-930C8C2E6A64}"/>
    <cellStyle name="40% - Accent5 2 4 5" xfId="9217" xr:uid="{00000000-0005-0000-0000-000088130000}"/>
    <cellStyle name="40% - Accent5 2 4 6" xfId="26087" xr:uid="{0C7E6511-5AAA-4724-A1C8-FFB1A75CD7BC}"/>
    <cellStyle name="40% - Accent5 2 5" xfId="1104" xr:uid="{00000000-0005-0000-0000-000089130000}"/>
    <cellStyle name="40% - Accent5 2 5 2" xfId="3335" xr:uid="{00000000-0005-0000-0000-00008A130000}"/>
    <cellStyle name="40% - Accent5 2 5 2 2" xfId="7558" xr:uid="{00000000-0005-0000-0000-00008B130000}"/>
    <cellStyle name="40% - Accent5 2 5 2 2 2" xfId="24428" xr:uid="{00000000-0005-0000-0000-00008C130000}"/>
    <cellStyle name="40% - Accent5 2 5 2 2 2 2" xfId="41296" xr:uid="{F201CCD2-C3C5-4C01-B5F8-3FF7F02A0059}"/>
    <cellStyle name="40% - Accent5 2 5 2 2 3" xfId="15993" xr:uid="{00000000-0005-0000-0000-00008D130000}"/>
    <cellStyle name="40% - Accent5 2 5 2 2 4" xfId="32862" xr:uid="{CAE2C811-CAA5-443D-9E0E-AA3FCD5C4982}"/>
    <cellStyle name="40% - Accent5 2 5 2 3" xfId="20210" xr:uid="{00000000-0005-0000-0000-00008E130000}"/>
    <cellStyle name="40% - Accent5 2 5 2 3 2" xfId="37079" xr:uid="{4091B965-5FB1-4F40-BD2B-4B377F54393D}"/>
    <cellStyle name="40% - Accent5 2 5 2 4" xfId="11775" xr:uid="{00000000-0005-0000-0000-00008F130000}"/>
    <cellStyle name="40% - Accent5 2 5 2 5" xfId="28645" xr:uid="{378BAC11-53C1-410E-933B-4118F5B01CBF}"/>
    <cellStyle name="40% - Accent5 2 5 3" xfId="5413" xr:uid="{00000000-0005-0000-0000-000090130000}"/>
    <cellStyle name="40% - Accent5 2 5 3 2" xfId="22283" xr:uid="{00000000-0005-0000-0000-000091130000}"/>
    <cellStyle name="40% - Accent5 2 5 3 2 2" xfId="39151" xr:uid="{BB57614F-E413-4833-B3A1-367074D29042}"/>
    <cellStyle name="40% - Accent5 2 5 3 3" xfId="13848" xr:uid="{00000000-0005-0000-0000-000092130000}"/>
    <cellStyle name="40% - Accent5 2 5 3 4" xfId="30717" xr:uid="{DDA2F58B-5199-4C6F-80B6-3FE2697DB8F1}"/>
    <cellStyle name="40% - Accent5 2 5 4" xfId="18065" xr:uid="{00000000-0005-0000-0000-000093130000}"/>
    <cellStyle name="40% - Accent5 2 5 4 2" xfId="34934" xr:uid="{010D88E8-3326-4E0C-9C1B-5B86FBC139AB}"/>
    <cellStyle name="40% - Accent5 2 5 5" xfId="9630" xr:uid="{00000000-0005-0000-0000-000094130000}"/>
    <cellStyle name="40% - Accent5 2 5 6" xfId="26500" xr:uid="{1F108244-592B-4BD5-9F39-39F4F54770C0}"/>
    <cellStyle name="40% - Accent5 2 6" xfId="1518" xr:uid="{00000000-0005-0000-0000-000095130000}"/>
    <cellStyle name="40% - Accent5 2 6 2" xfId="3748" xr:uid="{00000000-0005-0000-0000-000096130000}"/>
    <cellStyle name="40% - Accent5 2 6 2 2" xfId="7971" xr:uid="{00000000-0005-0000-0000-000097130000}"/>
    <cellStyle name="40% - Accent5 2 6 2 2 2" xfId="24841" xr:uid="{00000000-0005-0000-0000-000098130000}"/>
    <cellStyle name="40% - Accent5 2 6 2 2 2 2" xfId="41709" xr:uid="{2BD049E1-004B-4F4E-95CF-DC9D6D3FF981}"/>
    <cellStyle name="40% - Accent5 2 6 2 2 3" xfId="16406" xr:uid="{00000000-0005-0000-0000-000099130000}"/>
    <cellStyle name="40% - Accent5 2 6 2 2 4" xfId="33275" xr:uid="{42750F99-CEAD-4D2E-9D1C-B769201F9D0C}"/>
    <cellStyle name="40% - Accent5 2 6 2 3" xfId="20623" xr:uid="{00000000-0005-0000-0000-00009A130000}"/>
    <cellStyle name="40% - Accent5 2 6 2 3 2" xfId="37492" xr:uid="{41CAFE3D-CE54-44DB-97E4-4F0E5761A7CE}"/>
    <cellStyle name="40% - Accent5 2 6 2 4" xfId="12188" xr:uid="{00000000-0005-0000-0000-00009B130000}"/>
    <cellStyle name="40% - Accent5 2 6 2 5" xfId="29058" xr:uid="{E6C93493-7FEE-4BBD-85DB-E9434AC538CC}"/>
    <cellStyle name="40% - Accent5 2 6 3" xfId="5826" xr:uid="{00000000-0005-0000-0000-00009C130000}"/>
    <cellStyle name="40% - Accent5 2 6 3 2" xfId="22696" xr:uid="{00000000-0005-0000-0000-00009D130000}"/>
    <cellStyle name="40% - Accent5 2 6 3 2 2" xfId="39564" xr:uid="{38795AA4-CA3C-46FF-879F-90FCAF2B4358}"/>
    <cellStyle name="40% - Accent5 2 6 3 3" xfId="14261" xr:uid="{00000000-0005-0000-0000-00009E130000}"/>
    <cellStyle name="40% - Accent5 2 6 3 4" xfId="31130" xr:uid="{D0F93247-F872-4770-B22A-5B15DA394760}"/>
    <cellStyle name="40% - Accent5 2 6 4" xfId="18478" xr:uid="{00000000-0005-0000-0000-00009F130000}"/>
    <cellStyle name="40% - Accent5 2 6 4 2" xfId="35347" xr:uid="{0DC6395A-E4BB-468A-B45C-5BF2AEF885B1}"/>
    <cellStyle name="40% - Accent5 2 6 5" xfId="10043" xr:uid="{00000000-0005-0000-0000-0000A0130000}"/>
    <cellStyle name="40% - Accent5 2 6 6" xfId="26913" xr:uid="{6130416F-F8F1-4A41-B69F-7CFB9DC64099}"/>
    <cellStyle name="40% - Accent5 2 7" xfId="1932" xr:uid="{00000000-0005-0000-0000-0000A1130000}"/>
    <cellStyle name="40% - Accent5 2 7 2" xfId="4161" xr:uid="{00000000-0005-0000-0000-0000A2130000}"/>
    <cellStyle name="40% - Accent5 2 7 2 2" xfId="8384" xr:uid="{00000000-0005-0000-0000-0000A3130000}"/>
    <cellStyle name="40% - Accent5 2 7 2 2 2" xfId="25254" xr:uid="{00000000-0005-0000-0000-0000A4130000}"/>
    <cellStyle name="40% - Accent5 2 7 2 2 2 2" xfId="42122" xr:uid="{00AB73B1-ED3B-4EED-AC73-C8A5B6F08BE4}"/>
    <cellStyle name="40% - Accent5 2 7 2 2 3" xfId="16819" xr:uid="{00000000-0005-0000-0000-0000A5130000}"/>
    <cellStyle name="40% - Accent5 2 7 2 2 4" xfId="33688" xr:uid="{0B4E654C-5B36-4099-B0B2-A1D21F7E73D3}"/>
    <cellStyle name="40% - Accent5 2 7 2 3" xfId="21036" xr:uid="{00000000-0005-0000-0000-0000A6130000}"/>
    <cellStyle name="40% - Accent5 2 7 2 3 2" xfId="37905" xr:uid="{7ECFAAD8-E0D4-47D3-B818-977FBC942CDA}"/>
    <cellStyle name="40% - Accent5 2 7 2 4" xfId="12601" xr:uid="{00000000-0005-0000-0000-0000A7130000}"/>
    <cellStyle name="40% - Accent5 2 7 2 5" xfId="29471" xr:uid="{8AB30EB5-7A65-43C4-B05A-19EAC4C793F5}"/>
    <cellStyle name="40% - Accent5 2 7 3" xfId="6239" xr:uid="{00000000-0005-0000-0000-0000A8130000}"/>
    <cellStyle name="40% - Accent5 2 7 3 2" xfId="23109" xr:uid="{00000000-0005-0000-0000-0000A9130000}"/>
    <cellStyle name="40% - Accent5 2 7 3 2 2" xfId="39977" xr:uid="{23CEF59B-8EFE-4804-BD68-9D22ABD334F6}"/>
    <cellStyle name="40% - Accent5 2 7 3 3" xfId="14674" xr:uid="{00000000-0005-0000-0000-0000AA130000}"/>
    <cellStyle name="40% - Accent5 2 7 3 4" xfId="31543" xr:uid="{8364402E-32B6-41EC-AA87-A67C2DB5A7C7}"/>
    <cellStyle name="40% - Accent5 2 7 4" xfId="18891" xr:uid="{00000000-0005-0000-0000-0000AB130000}"/>
    <cellStyle name="40% - Accent5 2 7 4 2" xfId="35760" xr:uid="{DEF4D877-62DB-41BA-BAB9-1812A9789E40}"/>
    <cellStyle name="40% - Accent5 2 7 5" xfId="10456" xr:uid="{00000000-0005-0000-0000-0000AC130000}"/>
    <cellStyle name="40% - Accent5 2 7 6" xfId="27326" xr:uid="{87E8F179-D928-4D75-AF40-C9974628BDAE}"/>
    <cellStyle name="40% - Accent5 2 8" xfId="2345" xr:uid="{00000000-0005-0000-0000-0000AD130000}"/>
    <cellStyle name="40% - Accent5 2 8 2" xfId="6652" xr:uid="{00000000-0005-0000-0000-0000AE130000}"/>
    <cellStyle name="40% - Accent5 2 8 2 2" xfId="23522" xr:uid="{00000000-0005-0000-0000-0000AF130000}"/>
    <cellStyle name="40% - Accent5 2 8 2 2 2" xfId="40390" xr:uid="{D173BCA6-7C33-49F9-8FBD-F833FF96BD63}"/>
    <cellStyle name="40% - Accent5 2 8 2 3" xfId="15087" xr:uid="{00000000-0005-0000-0000-0000B0130000}"/>
    <cellStyle name="40% - Accent5 2 8 2 4" xfId="31956" xr:uid="{61C7ABB2-D4B9-4AAA-91F4-C1E590EC9F14}"/>
    <cellStyle name="40% - Accent5 2 8 3" xfId="19304" xr:uid="{00000000-0005-0000-0000-0000B1130000}"/>
    <cellStyle name="40% - Accent5 2 8 3 2" xfId="36173" xr:uid="{1CF2C4A1-AC11-4E78-8B2F-F44A80D0CCC1}"/>
    <cellStyle name="40% - Accent5 2 8 4" xfId="10869" xr:uid="{00000000-0005-0000-0000-0000B2130000}"/>
    <cellStyle name="40% - Accent5 2 8 5" xfId="27739" xr:uid="{C8256F87-1A2B-4C3C-A251-540A2ACF0B33}"/>
    <cellStyle name="40% - Accent5 2 9" xfId="4586" xr:uid="{00000000-0005-0000-0000-0000B3130000}"/>
    <cellStyle name="40% - Accent5 2 9 2" xfId="21456" xr:uid="{00000000-0005-0000-0000-0000B4130000}"/>
    <cellStyle name="40% - Accent5 2 9 2 2" xfId="38324" xr:uid="{012BB390-D873-45D3-A70F-60D76DAC483D}"/>
    <cellStyle name="40% - Accent5 2 9 3" xfId="13021" xr:uid="{00000000-0005-0000-0000-0000B5130000}"/>
    <cellStyle name="40% - Accent5 2 9 4" xfId="29890" xr:uid="{C3C18C9F-0926-472B-82AF-51E772F7B263}"/>
    <cellStyle name="40% - Accent5 3" xfId="86" xr:uid="{00000000-0005-0000-0000-0000B6130000}"/>
    <cellStyle name="40% - Accent5 3 10" xfId="8807" xr:uid="{00000000-0005-0000-0000-0000B7130000}"/>
    <cellStyle name="40% - Accent5 3 11" xfId="25677" xr:uid="{6657D0DE-1A8D-46F6-B3AD-FFF2D510DEAC}"/>
    <cellStyle name="40% - Accent5 3 2" xfId="87" xr:uid="{00000000-0005-0000-0000-0000B8130000}"/>
    <cellStyle name="40% - Accent5 3 2 10" xfId="25678" xr:uid="{C0A792B1-4037-4E40-8848-50AFF982E391}"/>
    <cellStyle name="40% - Accent5 3 2 2" xfId="656" xr:uid="{00000000-0005-0000-0000-0000B9130000}"/>
    <cellStyle name="40% - Accent5 3 2 2 2" xfId="2927" xr:uid="{00000000-0005-0000-0000-0000BA130000}"/>
    <cellStyle name="40% - Accent5 3 2 2 2 2" xfId="7150" xr:uid="{00000000-0005-0000-0000-0000BB130000}"/>
    <cellStyle name="40% - Accent5 3 2 2 2 2 2" xfId="24020" xr:uid="{00000000-0005-0000-0000-0000BC130000}"/>
    <cellStyle name="40% - Accent5 3 2 2 2 2 2 2" xfId="40888" xr:uid="{5BC09BE5-6D82-48C7-A551-6E2A997B8F38}"/>
    <cellStyle name="40% - Accent5 3 2 2 2 2 3" xfId="15585" xr:uid="{00000000-0005-0000-0000-0000BD130000}"/>
    <cellStyle name="40% - Accent5 3 2 2 2 2 4" xfId="32454" xr:uid="{C5A770AC-FAF1-47A7-BF03-F26F4EC6BD1F}"/>
    <cellStyle name="40% - Accent5 3 2 2 2 3" xfId="19802" xr:uid="{00000000-0005-0000-0000-0000BE130000}"/>
    <cellStyle name="40% - Accent5 3 2 2 2 3 2" xfId="36671" xr:uid="{20E8B560-FEF0-40E8-B395-707662CEEB9A}"/>
    <cellStyle name="40% - Accent5 3 2 2 2 4" xfId="11367" xr:uid="{00000000-0005-0000-0000-0000BF130000}"/>
    <cellStyle name="40% - Accent5 3 2 2 2 5" xfId="28237" xr:uid="{B565B4BF-A2EC-4B62-A076-4CD4A2F4A9D3}"/>
    <cellStyle name="40% - Accent5 3 2 2 3" xfId="5005" xr:uid="{00000000-0005-0000-0000-0000C0130000}"/>
    <cellStyle name="40% - Accent5 3 2 2 3 2" xfId="21875" xr:uid="{00000000-0005-0000-0000-0000C1130000}"/>
    <cellStyle name="40% - Accent5 3 2 2 3 2 2" xfId="38743" xr:uid="{9F2374B6-7393-4E01-9312-279324EFEE4F}"/>
    <cellStyle name="40% - Accent5 3 2 2 3 3" xfId="13440" xr:uid="{00000000-0005-0000-0000-0000C2130000}"/>
    <cellStyle name="40% - Accent5 3 2 2 3 4" xfId="30309" xr:uid="{73D49379-F477-459E-93A5-2CA593BC4C83}"/>
    <cellStyle name="40% - Accent5 3 2 2 4" xfId="17657" xr:uid="{00000000-0005-0000-0000-0000C3130000}"/>
    <cellStyle name="40% - Accent5 3 2 2 4 2" xfId="34526" xr:uid="{24D99EBB-8E7F-49AD-9DD8-FA1FCB663C2F}"/>
    <cellStyle name="40% - Accent5 3 2 2 5" xfId="9222" xr:uid="{00000000-0005-0000-0000-0000C4130000}"/>
    <cellStyle name="40% - Accent5 3 2 2 6" xfId="26092" xr:uid="{A07EB42E-C96E-4707-AE99-201BA08930A2}"/>
    <cellStyle name="40% - Accent5 3 2 3" xfId="1109" xr:uid="{00000000-0005-0000-0000-0000C5130000}"/>
    <cellStyle name="40% - Accent5 3 2 3 2" xfId="3340" xr:uid="{00000000-0005-0000-0000-0000C6130000}"/>
    <cellStyle name="40% - Accent5 3 2 3 2 2" xfId="7563" xr:uid="{00000000-0005-0000-0000-0000C7130000}"/>
    <cellStyle name="40% - Accent5 3 2 3 2 2 2" xfId="24433" xr:uid="{00000000-0005-0000-0000-0000C8130000}"/>
    <cellStyle name="40% - Accent5 3 2 3 2 2 2 2" xfId="41301" xr:uid="{4C582E04-AC6F-4537-8A11-0B6A32152181}"/>
    <cellStyle name="40% - Accent5 3 2 3 2 2 3" xfId="15998" xr:uid="{00000000-0005-0000-0000-0000C9130000}"/>
    <cellStyle name="40% - Accent5 3 2 3 2 2 4" xfId="32867" xr:uid="{FDA73023-0631-4708-B6BF-9B95CCEA95D7}"/>
    <cellStyle name="40% - Accent5 3 2 3 2 3" xfId="20215" xr:uid="{00000000-0005-0000-0000-0000CA130000}"/>
    <cellStyle name="40% - Accent5 3 2 3 2 3 2" xfId="37084" xr:uid="{2D97D7AA-14DC-4EA3-8E0F-5963F6B4EEB0}"/>
    <cellStyle name="40% - Accent5 3 2 3 2 4" xfId="11780" xr:uid="{00000000-0005-0000-0000-0000CB130000}"/>
    <cellStyle name="40% - Accent5 3 2 3 2 5" xfId="28650" xr:uid="{D4DC98F8-716C-43D0-A2BA-BA9CC1C72E1D}"/>
    <cellStyle name="40% - Accent5 3 2 3 3" xfId="5418" xr:uid="{00000000-0005-0000-0000-0000CC130000}"/>
    <cellStyle name="40% - Accent5 3 2 3 3 2" xfId="22288" xr:uid="{00000000-0005-0000-0000-0000CD130000}"/>
    <cellStyle name="40% - Accent5 3 2 3 3 2 2" xfId="39156" xr:uid="{3BF97381-C63A-4ADA-BBB4-0F88A38E6574}"/>
    <cellStyle name="40% - Accent5 3 2 3 3 3" xfId="13853" xr:uid="{00000000-0005-0000-0000-0000CE130000}"/>
    <cellStyle name="40% - Accent5 3 2 3 3 4" xfId="30722" xr:uid="{544D5C70-2A9D-4B05-9E20-5DCEA3261BDE}"/>
    <cellStyle name="40% - Accent5 3 2 3 4" xfId="18070" xr:uid="{00000000-0005-0000-0000-0000CF130000}"/>
    <cellStyle name="40% - Accent5 3 2 3 4 2" xfId="34939" xr:uid="{0289C5CE-FDD0-4CD4-A242-C40E44E35544}"/>
    <cellStyle name="40% - Accent5 3 2 3 5" xfId="9635" xr:uid="{00000000-0005-0000-0000-0000D0130000}"/>
    <cellStyle name="40% - Accent5 3 2 3 6" xfId="26505" xr:uid="{813286EA-5E88-443D-8930-B542DD9AC8D5}"/>
    <cellStyle name="40% - Accent5 3 2 4" xfId="1523" xr:uid="{00000000-0005-0000-0000-0000D1130000}"/>
    <cellStyle name="40% - Accent5 3 2 4 2" xfId="3753" xr:uid="{00000000-0005-0000-0000-0000D2130000}"/>
    <cellStyle name="40% - Accent5 3 2 4 2 2" xfId="7976" xr:uid="{00000000-0005-0000-0000-0000D3130000}"/>
    <cellStyle name="40% - Accent5 3 2 4 2 2 2" xfId="24846" xr:uid="{00000000-0005-0000-0000-0000D4130000}"/>
    <cellStyle name="40% - Accent5 3 2 4 2 2 2 2" xfId="41714" xr:uid="{BCEB6772-083B-4D07-AEA4-B2CDBCD69888}"/>
    <cellStyle name="40% - Accent5 3 2 4 2 2 3" xfId="16411" xr:uid="{00000000-0005-0000-0000-0000D5130000}"/>
    <cellStyle name="40% - Accent5 3 2 4 2 2 4" xfId="33280" xr:uid="{3B2D3199-3B79-4B61-BFCA-828388B53F68}"/>
    <cellStyle name="40% - Accent5 3 2 4 2 3" xfId="20628" xr:uid="{00000000-0005-0000-0000-0000D6130000}"/>
    <cellStyle name="40% - Accent5 3 2 4 2 3 2" xfId="37497" xr:uid="{811943C6-107F-45FE-AFE3-CC608089A2A1}"/>
    <cellStyle name="40% - Accent5 3 2 4 2 4" xfId="12193" xr:uid="{00000000-0005-0000-0000-0000D7130000}"/>
    <cellStyle name="40% - Accent5 3 2 4 2 5" xfId="29063" xr:uid="{8D0FCA5C-E6EF-4A5D-857D-925727E3A759}"/>
    <cellStyle name="40% - Accent5 3 2 4 3" xfId="5831" xr:uid="{00000000-0005-0000-0000-0000D8130000}"/>
    <cellStyle name="40% - Accent5 3 2 4 3 2" xfId="22701" xr:uid="{00000000-0005-0000-0000-0000D9130000}"/>
    <cellStyle name="40% - Accent5 3 2 4 3 2 2" xfId="39569" xr:uid="{2B24EB5E-21B9-4DC1-B095-383533D81B25}"/>
    <cellStyle name="40% - Accent5 3 2 4 3 3" xfId="14266" xr:uid="{00000000-0005-0000-0000-0000DA130000}"/>
    <cellStyle name="40% - Accent5 3 2 4 3 4" xfId="31135" xr:uid="{BECB4942-9FCF-4755-BCDE-FDCF9C35E6CE}"/>
    <cellStyle name="40% - Accent5 3 2 4 4" xfId="18483" xr:uid="{00000000-0005-0000-0000-0000DB130000}"/>
    <cellStyle name="40% - Accent5 3 2 4 4 2" xfId="35352" xr:uid="{437EAF0E-CCDD-4CCF-9F62-F7B2D93C3B9A}"/>
    <cellStyle name="40% - Accent5 3 2 4 5" xfId="10048" xr:uid="{00000000-0005-0000-0000-0000DC130000}"/>
    <cellStyle name="40% - Accent5 3 2 4 6" xfId="26918" xr:uid="{1201A5EC-C23F-4A33-A97F-846FD5647AF7}"/>
    <cellStyle name="40% - Accent5 3 2 5" xfId="1937" xr:uid="{00000000-0005-0000-0000-0000DD130000}"/>
    <cellStyle name="40% - Accent5 3 2 5 2" xfId="4166" xr:uid="{00000000-0005-0000-0000-0000DE130000}"/>
    <cellStyle name="40% - Accent5 3 2 5 2 2" xfId="8389" xr:uid="{00000000-0005-0000-0000-0000DF130000}"/>
    <cellStyle name="40% - Accent5 3 2 5 2 2 2" xfId="25259" xr:uid="{00000000-0005-0000-0000-0000E0130000}"/>
    <cellStyle name="40% - Accent5 3 2 5 2 2 2 2" xfId="42127" xr:uid="{ED30DD79-68E1-499C-8EE5-ECAFB5AE0967}"/>
    <cellStyle name="40% - Accent5 3 2 5 2 2 3" xfId="16824" xr:uid="{00000000-0005-0000-0000-0000E1130000}"/>
    <cellStyle name="40% - Accent5 3 2 5 2 2 4" xfId="33693" xr:uid="{70897F7A-399A-44CA-A1F3-4195B0DB8E67}"/>
    <cellStyle name="40% - Accent5 3 2 5 2 3" xfId="21041" xr:uid="{00000000-0005-0000-0000-0000E2130000}"/>
    <cellStyle name="40% - Accent5 3 2 5 2 3 2" xfId="37910" xr:uid="{CAD76286-7E11-4D4A-BD78-041D9B936D4B}"/>
    <cellStyle name="40% - Accent5 3 2 5 2 4" xfId="12606" xr:uid="{00000000-0005-0000-0000-0000E3130000}"/>
    <cellStyle name="40% - Accent5 3 2 5 2 5" xfId="29476" xr:uid="{A1D4163A-01D5-4016-BAEC-89544006D278}"/>
    <cellStyle name="40% - Accent5 3 2 5 3" xfId="6244" xr:uid="{00000000-0005-0000-0000-0000E4130000}"/>
    <cellStyle name="40% - Accent5 3 2 5 3 2" xfId="23114" xr:uid="{00000000-0005-0000-0000-0000E5130000}"/>
    <cellStyle name="40% - Accent5 3 2 5 3 2 2" xfId="39982" xr:uid="{43CDAC26-D0F4-46BA-A567-8275D1CA117A}"/>
    <cellStyle name="40% - Accent5 3 2 5 3 3" xfId="14679" xr:uid="{00000000-0005-0000-0000-0000E6130000}"/>
    <cellStyle name="40% - Accent5 3 2 5 3 4" xfId="31548" xr:uid="{ED481982-961A-46C7-8FE6-8B67A5817032}"/>
    <cellStyle name="40% - Accent5 3 2 5 4" xfId="18896" xr:uid="{00000000-0005-0000-0000-0000E7130000}"/>
    <cellStyle name="40% - Accent5 3 2 5 4 2" xfId="35765" xr:uid="{D229B8FA-EE5C-4140-A8FC-5EF7135239B3}"/>
    <cellStyle name="40% - Accent5 3 2 5 5" xfId="10461" xr:uid="{00000000-0005-0000-0000-0000E8130000}"/>
    <cellStyle name="40% - Accent5 3 2 5 6" xfId="27331" xr:uid="{C174EDCF-74E3-4080-8595-56F6EFE825B1}"/>
    <cellStyle name="40% - Accent5 3 2 6" xfId="2350" xr:uid="{00000000-0005-0000-0000-0000E9130000}"/>
    <cellStyle name="40% - Accent5 3 2 6 2" xfId="6657" xr:uid="{00000000-0005-0000-0000-0000EA130000}"/>
    <cellStyle name="40% - Accent5 3 2 6 2 2" xfId="23527" xr:uid="{00000000-0005-0000-0000-0000EB130000}"/>
    <cellStyle name="40% - Accent5 3 2 6 2 2 2" xfId="40395" xr:uid="{CB24EE13-42D4-4854-8AF2-465D6F3DAF9A}"/>
    <cellStyle name="40% - Accent5 3 2 6 2 3" xfId="15092" xr:uid="{00000000-0005-0000-0000-0000EC130000}"/>
    <cellStyle name="40% - Accent5 3 2 6 2 4" xfId="31961" xr:uid="{CD241EFB-7011-4109-810F-2BFA6932080E}"/>
    <cellStyle name="40% - Accent5 3 2 6 3" xfId="19309" xr:uid="{00000000-0005-0000-0000-0000ED130000}"/>
    <cellStyle name="40% - Accent5 3 2 6 3 2" xfId="36178" xr:uid="{D72C00AA-050B-4EC4-BF0C-C93C1315A837}"/>
    <cellStyle name="40% - Accent5 3 2 6 4" xfId="10874" xr:uid="{00000000-0005-0000-0000-0000EE130000}"/>
    <cellStyle name="40% - Accent5 3 2 6 5" xfId="27744" xr:uid="{E0266C24-6C58-4547-BDE0-8B9E25BF98AD}"/>
    <cellStyle name="40% - Accent5 3 2 7" xfId="4591" xr:uid="{00000000-0005-0000-0000-0000EF130000}"/>
    <cellStyle name="40% - Accent5 3 2 7 2" xfId="21461" xr:uid="{00000000-0005-0000-0000-0000F0130000}"/>
    <cellStyle name="40% - Accent5 3 2 7 2 2" xfId="38329" xr:uid="{B17BDE8E-FAE5-4C52-BA86-40E92488F018}"/>
    <cellStyle name="40% - Accent5 3 2 7 3" xfId="13026" xr:uid="{00000000-0005-0000-0000-0000F1130000}"/>
    <cellStyle name="40% - Accent5 3 2 7 4" xfId="29895" xr:uid="{135C7728-9E33-425E-BFB0-6C4952B9C747}"/>
    <cellStyle name="40% - Accent5 3 2 8" xfId="17243" xr:uid="{00000000-0005-0000-0000-0000F2130000}"/>
    <cellStyle name="40% - Accent5 3 2 8 2" xfId="34112" xr:uid="{61BA2B35-95D8-4F60-8731-5CF0BEF4D33E}"/>
    <cellStyle name="40% - Accent5 3 2 9" xfId="8808" xr:uid="{00000000-0005-0000-0000-0000F3130000}"/>
    <cellStyle name="40% - Accent5 3 3" xfId="655" xr:uid="{00000000-0005-0000-0000-0000F4130000}"/>
    <cellStyle name="40% - Accent5 3 3 2" xfId="2926" xr:uid="{00000000-0005-0000-0000-0000F5130000}"/>
    <cellStyle name="40% - Accent5 3 3 2 2" xfId="7149" xr:uid="{00000000-0005-0000-0000-0000F6130000}"/>
    <cellStyle name="40% - Accent5 3 3 2 2 2" xfId="24019" xr:uid="{00000000-0005-0000-0000-0000F7130000}"/>
    <cellStyle name="40% - Accent5 3 3 2 2 2 2" xfId="40887" xr:uid="{69E0DE3C-7B65-4E4D-9835-A6F25BAF9193}"/>
    <cellStyle name="40% - Accent5 3 3 2 2 3" xfId="15584" xr:uid="{00000000-0005-0000-0000-0000F8130000}"/>
    <cellStyle name="40% - Accent5 3 3 2 2 4" xfId="32453" xr:uid="{47CFD767-5B21-4F2A-A157-96C4E2CCB249}"/>
    <cellStyle name="40% - Accent5 3 3 2 3" xfId="19801" xr:uid="{00000000-0005-0000-0000-0000F9130000}"/>
    <cellStyle name="40% - Accent5 3 3 2 3 2" xfId="36670" xr:uid="{AB640470-5F54-4066-B72E-44A598844BB4}"/>
    <cellStyle name="40% - Accent5 3 3 2 4" xfId="11366" xr:uid="{00000000-0005-0000-0000-0000FA130000}"/>
    <cellStyle name="40% - Accent5 3 3 2 5" xfId="28236" xr:uid="{73C063FD-A6E9-42B7-B136-D52AEA25E187}"/>
    <cellStyle name="40% - Accent5 3 3 3" xfId="5004" xr:uid="{00000000-0005-0000-0000-0000FB130000}"/>
    <cellStyle name="40% - Accent5 3 3 3 2" xfId="21874" xr:uid="{00000000-0005-0000-0000-0000FC130000}"/>
    <cellStyle name="40% - Accent5 3 3 3 2 2" xfId="38742" xr:uid="{E118E471-B08E-49E7-B5FF-58DCBD68671B}"/>
    <cellStyle name="40% - Accent5 3 3 3 3" xfId="13439" xr:uid="{00000000-0005-0000-0000-0000FD130000}"/>
    <cellStyle name="40% - Accent5 3 3 3 4" xfId="30308" xr:uid="{C154C021-4D17-4737-89AF-FC0B5D8C0D64}"/>
    <cellStyle name="40% - Accent5 3 3 4" xfId="17656" xr:uid="{00000000-0005-0000-0000-0000FE130000}"/>
    <cellStyle name="40% - Accent5 3 3 4 2" xfId="34525" xr:uid="{9C4A1F58-F57C-40B2-B416-D47263DE2A73}"/>
    <cellStyle name="40% - Accent5 3 3 5" xfId="9221" xr:uid="{00000000-0005-0000-0000-0000FF130000}"/>
    <cellStyle name="40% - Accent5 3 3 6" xfId="26091" xr:uid="{77395E9E-EAB5-4C60-B51E-596420C6F6C0}"/>
    <cellStyle name="40% - Accent5 3 4" xfId="1108" xr:uid="{00000000-0005-0000-0000-000000140000}"/>
    <cellStyle name="40% - Accent5 3 4 2" xfId="3339" xr:uid="{00000000-0005-0000-0000-000001140000}"/>
    <cellStyle name="40% - Accent5 3 4 2 2" xfId="7562" xr:uid="{00000000-0005-0000-0000-000002140000}"/>
    <cellStyle name="40% - Accent5 3 4 2 2 2" xfId="24432" xr:uid="{00000000-0005-0000-0000-000003140000}"/>
    <cellStyle name="40% - Accent5 3 4 2 2 2 2" xfId="41300" xr:uid="{EB67BEB3-B826-43B3-A9B7-423728A8597F}"/>
    <cellStyle name="40% - Accent5 3 4 2 2 3" xfId="15997" xr:uid="{00000000-0005-0000-0000-000004140000}"/>
    <cellStyle name="40% - Accent5 3 4 2 2 4" xfId="32866" xr:uid="{5D90698A-596F-42E1-91AB-AD3A23A3391D}"/>
    <cellStyle name="40% - Accent5 3 4 2 3" xfId="20214" xr:uid="{00000000-0005-0000-0000-000005140000}"/>
    <cellStyle name="40% - Accent5 3 4 2 3 2" xfId="37083" xr:uid="{C6626348-15C4-4DD8-966A-F65A53DFCB77}"/>
    <cellStyle name="40% - Accent5 3 4 2 4" xfId="11779" xr:uid="{00000000-0005-0000-0000-000006140000}"/>
    <cellStyle name="40% - Accent5 3 4 2 5" xfId="28649" xr:uid="{F7E645E5-5553-4744-B282-BD8C6ACDB086}"/>
    <cellStyle name="40% - Accent5 3 4 3" xfId="5417" xr:uid="{00000000-0005-0000-0000-000007140000}"/>
    <cellStyle name="40% - Accent5 3 4 3 2" xfId="22287" xr:uid="{00000000-0005-0000-0000-000008140000}"/>
    <cellStyle name="40% - Accent5 3 4 3 2 2" xfId="39155" xr:uid="{1603A092-2CC5-4739-B788-600F4AEB61DE}"/>
    <cellStyle name="40% - Accent5 3 4 3 3" xfId="13852" xr:uid="{00000000-0005-0000-0000-000009140000}"/>
    <cellStyle name="40% - Accent5 3 4 3 4" xfId="30721" xr:uid="{A265C661-DEF6-41C5-B093-40A5F71663C9}"/>
    <cellStyle name="40% - Accent5 3 4 4" xfId="18069" xr:uid="{00000000-0005-0000-0000-00000A140000}"/>
    <cellStyle name="40% - Accent5 3 4 4 2" xfId="34938" xr:uid="{0194A9FC-E4EA-470F-8E89-F98B7850C450}"/>
    <cellStyle name="40% - Accent5 3 4 5" xfId="9634" xr:uid="{00000000-0005-0000-0000-00000B140000}"/>
    <cellStyle name="40% - Accent5 3 4 6" xfId="26504" xr:uid="{9465335E-7191-4A0F-8C9B-FD4321CA2616}"/>
    <cellStyle name="40% - Accent5 3 5" xfId="1522" xr:uid="{00000000-0005-0000-0000-00000C140000}"/>
    <cellStyle name="40% - Accent5 3 5 2" xfId="3752" xr:uid="{00000000-0005-0000-0000-00000D140000}"/>
    <cellStyle name="40% - Accent5 3 5 2 2" xfId="7975" xr:uid="{00000000-0005-0000-0000-00000E140000}"/>
    <cellStyle name="40% - Accent5 3 5 2 2 2" xfId="24845" xr:uid="{00000000-0005-0000-0000-00000F140000}"/>
    <cellStyle name="40% - Accent5 3 5 2 2 2 2" xfId="41713" xr:uid="{C9914E22-EFFA-4696-BBAC-B4352AF615DB}"/>
    <cellStyle name="40% - Accent5 3 5 2 2 3" xfId="16410" xr:uid="{00000000-0005-0000-0000-000010140000}"/>
    <cellStyle name="40% - Accent5 3 5 2 2 4" xfId="33279" xr:uid="{F7657205-4236-4C89-B98F-77D7B5AD8B83}"/>
    <cellStyle name="40% - Accent5 3 5 2 3" xfId="20627" xr:uid="{00000000-0005-0000-0000-000011140000}"/>
    <cellStyle name="40% - Accent5 3 5 2 3 2" xfId="37496" xr:uid="{BB1CC4E7-BEA5-439C-8C85-764C00C13E95}"/>
    <cellStyle name="40% - Accent5 3 5 2 4" xfId="12192" xr:uid="{00000000-0005-0000-0000-000012140000}"/>
    <cellStyle name="40% - Accent5 3 5 2 5" xfId="29062" xr:uid="{12FE5BFC-16FC-4D04-AD06-6D2609C88000}"/>
    <cellStyle name="40% - Accent5 3 5 3" xfId="5830" xr:uid="{00000000-0005-0000-0000-000013140000}"/>
    <cellStyle name="40% - Accent5 3 5 3 2" xfId="22700" xr:uid="{00000000-0005-0000-0000-000014140000}"/>
    <cellStyle name="40% - Accent5 3 5 3 2 2" xfId="39568" xr:uid="{1CFAF76E-2C49-4499-89AD-4613EE9EAD03}"/>
    <cellStyle name="40% - Accent5 3 5 3 3" xfId="14265" xr:uid="{00000000-0005-0000-0000-000015140000}"/>
    <cellStyle name="40% - Accent5 3 5 3 4" xfId="31134" xr:uid="{19354D98-9ED2-41BD-982D-0A97AFDE8511}"/>
    <cellStyle name="40% - Accent5 3 5 4" xfId="18482" xr:uid="{00000000-0005-0000-0000-000016140000}"/>
    <cellStyle name="40% - Accent5 3 5 4 2" xfId="35351" xr:uid="{175427C7-BAD0-4C75-B16D-15CD22118614}"/>
    <cellStyle name="40% - Accent5 3 5 5" xfId="10047" xr:uid="{00000000-0005-0000-0000-000017140000}"/>
    <cellStyle name="40% - Accent5 3 5 6" xfId="26917" xr:uid="{A32B039C-83CC-4429-9798-E9E99689B152}"/>
    <cellStyle name="40% - Accent5 3 6" xfId="1936" xr:uid="{00000000-0005-0000-0000-000018140000}"/>
    <cellStyle name="40% - Accent5 3 6 2" xfId="4165" xr:uid="{00000000-0005-0000-0000-000019140000}"/>
    <cellStyle name="40% - Accent5 3 6 2 2" xfId="8388" xr:uid="{00000000-0005-0000-0000-00001A140000}"/>
    <cellStyle name="40% - Accent5 3 6 2 2 2" xfId="25258" xr:uid="{00000000-0005-0000-0000-00001B140000}"/>
    <cellStyle name="40% - Accent5 3 6 2 2 2 2" xfId="42126" xr:uid="{2490D8F5-7042-4BAC-90C2-42B485B5A3CB}"/>
    <cellStyle name="40% - Accent5 3 6 2 2 3" xfId="16823" xr:uid="{00000000-0005-0000-0000-00001C140000}"/>
    <cellStyle name="40% - Accent5 3 6 2 2 4" xfId="33692" xr:uid="{2939FD22-90D1-467E-AD5A-6E74B7DF418F}"/>
    <cellStyle name="40% - Accent5 3 6 2 3" xfId="21040" xr:uid="{00000000-0005-0000-0000-00001D140000}"/>
    <cellStyle name="40% - Accent5 3 6 2 3 2" xfId="37909" xr:uid="{7ABDC660-B262-4EB0-80E6-E484268863C7}"/>
    <cellStyle name="40% - Accent5 3 6 2 4" xfId="12605" xr:uid="{00000000-0005-0000-0000-00001E140000}"/>
    <cellStyle name="40% - Accent5 3 6 2 5" xfId="29475" xr:uid="{99A5A1D1-A3A6-4E36-9180-32DC978EBA2A}"/>
    <cellStyle name="40% - Accent5 3 6 3" xfId="6243" xr:uid="{00000000-0005-0000-0000-00001F140000}"/>
    <cellStyle name="40% - Accent5 3 6 3 2" xfId="23113" xr:uid="{00000000-0005-0000-0000-000020140000}"/>
    <cellStyle name="40% - Accent5 3 6 3 2 2" xfId="39981" xr:uid="{339DB172-3342-43EA-9D50-24BB8B1ABCC2}"/>
    <cellStyle name="40% - Accent5 3 6 3 3" xfId="14678" xr:uid="{00000000-0005-0000-0000-000021140000}"/>
    <cellStyle name="40% - Accent5 3 6 3 4" xfId="31547" xr:uid="{6D45EA7A-137C-4BA6-825A-CF39C3D40ED7}"/>
    <cellStyle name="40% - Accent5 3 6 4" xfId="18895" xr:uid="{00000000-0005-0000-0000-000022140000}"/>
    <cellStyle name="40% - Accent5 3 6 4 2" xfId="35764" xr:uid="{F1ED7CED-D0D9-4314-9FA1-27D563001773}"/>
    <cellStyle name="40% - Accent5 3 6 5" xfId="10460" xr:uid="{00000000-0005-0000-0000-000023140000}"/>
    <cellStyle name="40% - Accent5 3 6 6" xfId="27330" xr:uid="{E1543138-D426-4881-9DC9-925762DE4FDA}"/>
    <cellStyle name="40% - Accent5 3 7" xfId="2349" xr:uid="{00000000-0005-0000-0000-000024140000}"/>
    <cellStyle name="40% - Accent5 3 7 2" xfId="6656" xr:uid="{00000000-0005-0000-0000-000025140000}"/>
    <cellStyle name="40% - Accent5 3 7 2 2" xfId="23526" xr:uid="{00000000-0005-0000-0000-000026140000}"/>
    <cellStyle name="40% - Accent5 3 7 2 2 2" xfId="40394" xr:uid="{D43570FB-2B95-4F89-88ED-9E95DD2E3858}"/>
    <cellStyle name="40% - Accent5 3 7 2 3" xfId="15091" xr:uid="{00000000-0005-0000-0000-000027140000}"/>
    <cellStyle name="40% - Accent5 3 7 2 4" xfId="31960" xr:uid="{60CA6235-AEE0-4769-8007-0CD0196ED3CF}"/>
    <cellStyle name="40% - Accent5 3 7 3" xfId="19308" xr:uid="{00000000-0005-0000-0000-000028140000}"/>
    <cellStyle name="40% - Accent5 3 7 3 2" xfId="36177" xr:uid="{E59080B6-C26E-48A2-8317-768B6CD35B82}"/>
    <cellStyle name="40% - Accent5 3 7 4" xfId="10873" xr:uid="{00000000-0005-0000-0000-000029140000}"/>
    <cellStyle name="40% - Accent5 3 7 5" xfId="27743" xr:uid="{36C9EB7B-7C23-4F70-AA6A-EBEF9D008B39}"/>
    <cellStyle name="40% - Accent5 3 8" xfId="4590" xr:uid="{00000000-0005-0000-0000-00002A140000}"/>
    <cellStyle name="40% - Accent5 3 8 2" xfId="21460" xr:uid="{00000000-0005-0000-0000-00002B140000}"/>
    <cellStyle name="40% - Accent5 3 8 2 2" xfId="38328" xr:uid="{0231D041-51BC-4C21-998D-416CA7C54ECB}"/>
    <cellStyle name="40% - Accent5 3 8 3" xfId="13025" xr:uid="{00000000-0005-0000-0000-00002C140000}"/>
    <cellStyle name="40% - Accent5 3 8 4" xfId="29894" xr:uid="{194F0133-847F-439E-B2B5-116B1391B2CE}"/>
    <cellStyle name="40% - Accent5 3 9" xfId="17242" xr:uid="{00000000-0005-0000-0000-00002D140000}"/>
    <cellStyle name="40% - Accent5 3 9 2" xfId="34111" xr:uid="{17364467-31E5-4705-B4AB-7A125BCE9450}"/>
    <cellStyle name="40% - Accent5 4" xfId="88" xr:uid="{00000000-0005-0000-0000-00002E140000}"/>
    <cellStyle name="40% - Accent5 4 10" xfId="25679" xr:uid="{10F3B32B-9A95-40CC-BE00-814DDBC67B7C}"/>
    <cellStyle name="40% - Accent5 4 2" xfId="657" xr:uid="{00000000-0005-0000-0000-00002F140000}"/>
    <cellStyle name="40% - Accent5 4 2 2" xfId="2928" xr:uid="{00000000-0005-0000-0000-000030140000}"/>
    <cellStyle name="40% - Accent5 4 2 2 2" xfId="7151" xr:uid="{00000000-0005-0000-0000-000031140000}"/>
    <cellStyle name="40% - Accent5 4 2 2 2 2" xfId="24021" xr:uid="{00000000-0005-0000-0000-000032140000}"/>
    <cellStyle name="40% - Accent5 4 2 2 2 2 2" xfId="40889" xr:uid="{3450DBD6-0B53-4FD3-B8E7-DA87C0456B30}"/>
    <cellStyle name="40% - Accent5 4 2 2 2 3" xfId="15586" xr:uid="{00000000-0005-0000-0000-000033140000}"/>
    <cellStyle name="40% - Accent5 4 2 2 2 4" xfId="32455" xr:uid="{1F6C7F66-65AE-4A7B-AC61-D8A9C71C000B}"/>
    <cellStyle name="40% - Accent5 4 2 2 3" xfId="19803" xr:uid="{00000000-0005-0000-0000-000034140000}"/>
    <cellStyle name="40% - Accent5 4 2 2 3 2" xfId="36672" xr:uid="{DE9E3306-FE66-4A8B-80FB-F8E66D620598}"/>
    <cellStyle name="40% - Accent5 4 2 2 4" xfId="11368" xr:uid="{00000000-0005-0000-0000-000035140000}"/>
    <cellStyle name="40% - Accent5 4 2 2 5" xfId="28238" xr:uid="{4652B09A-0773-4454-8AD7-FF8C5ECC9F1D}"/>
    <cellStyle name="40% - Accent5 4 2 3" xfId="5006" xr:uid="{00000000-0005-0000-0000-000036140000}"/>
    <cellStyle name="40% - Accent5 4 2 3 2" xfId="21876" xr:uid="{00000000-0005-0000-0000-000037140000}"/>
    <cellStyle name="40% - Accent5 4 2 3 2 2" xfId="38744" xr:uid="{6E3ABB4B-30C1-4BD5-845B-6AEC9E043A7F}"/>
    <cellStyle name="40% - Accent5 4 2 3 3" xfId="13441" xr:uid="{00000000-0005-0000-0000-000038140000}"/>
    <cellStyle name="40% - Accent5 4 2 3 4" xfId="30310" xr:uid="{C308CB93-DED6-4DE2-BD85-DED042944AFC}"/>
    <cellStyle name="40% - Accent5 4 2 4" xfId="17658" xr:uid="{00000000-0005-0000-0000-000039140000}"/>
    <cellStyle name="40% - Accent5 4 2 4 2" xfId="34527" xr:uid="{E16E7BAE-C836-4AF7-BC99-58BA4A82BDC6}"/>
    <cellStyle name="40% - Accent5 4 2 5" xfId="9223" xr:uid="{00000000-0005-0000-0000-00003A140000}"/>
    <cellStyle name="40% - Accent5 4 2 6" xfId="26093" xr:uid="{7D7CAE74-B9F2-4FFE-9AB8-AE39AABDD8BD}"/>
    <cellStyle name="40% - Accent5 4 3" xfId="1110" xr:uid="{00000000-0005-0000-0000-00003B140000}"/>
    <cellStyle name="40% - Accent5 4 3 2" xfId="3341" xr:uid="{00000000-0005-0000-0000-00003C140000}"/>
    <cellStyle name="40% - Accent5 4 3 2 2" xfId="7564" xr:uid="{00000000-0005-0000-0000-00003D140000}"/>
    <cellStyle name="40% - Accent5 4 3 2 2 2" xfId="24434" xr:uid="{00000000-0005-0000-0000-00003E140000}"/>
    <cellStyle name="40% - Accent5 4 3 2 2 2 2" xfId="41302" xr:uid="{C7B81CE7-17B1-4F83-AFFE-4B9FB92703EA}"/>
    <cellStyle name="40% - Accent5 4 3 2 2 3" xfId="15999" xr:uid="{00000000-0005-0000-0000-00003F140000}"/>
    <cellStyle name="40% - Accent5 4 3 2 2 4" xfId="32868" xr:uid="{B5DF3043-7C7A-4C21-AA90-3989917D559C}"/>
    <cellStyle name="40% - Accent5 4 3 2 3" xfId="20216" xr:uid="{00000000-0005-0000-0000-000040140000}"/>
    <cellStyle name="40% - Accent5 4 3 2 3 2" xfId="37085" xr:uid="{94F82647-D5CC-4466-A9A7-61F87EE69AD5}"/>
    <cellStyle name="40% - Accent5 4 3 2 4" xfId="11781" xr:uid="{00000000-0005-0000-0000-000041140000}"/>
    <cellStyle name="40% - Accent5 4 3 2 5" xfId="28651" xr:uid="{4DEA3F7F-5799-46E3-8224-D43F356FAFBF}"/>
    <cellStyle name="40% - Accent5 4 3 3" xfId="5419" xr:uid="{00000000-0005-0000-0000-000042140000}"/>
    <cellStyle name="40% - Accent5 4 3 3 2" xfId="22289" xr:uid="{00000000-0005-0000-0000-000043140000}"/>
    <cellStyle name="40% - Accent5 4 3 3 2 2" xfId="39157" xr:uid="{87D978EF-C878-4132-A4C5-7F2EF5510B1E}"/>
    <cellStyle name="40% - Accent5 4 3 3 3" xfId="13854" xr:uid="{00000000-0005-0000-0000-000044140000}"/>
    <cellStyle name="40% - Accent5 4 3 3 4" xfId="30723" xr:uid="{66DFA32D-5743-45C3-9406-C6F4992F64C8}"/>
    <cellStyle name="40% - Accent5 4 3 4" xfId="18071" xr:uid="{00000000-0005-0000-0000-000045140000}"/>
    <cellStyle name="40% - Accent5 4 3 4 2" xfId="34940" xr:uid="{69FE20A1-ABB5-4146-A49E-F0F731988DED}"/>
    <cellStyle name="40% - Accent5 4 3 5" xfId="9636" xr:uid="{00000000-0005-0000-0000-000046140000}"/>
    <cellStyle name="40% - Accent5 4 3 6" xfId="26506" xr:uid="{CE960F22-3C9E-453A-AC50-824BC36FB4A5}"/>
    <cellStyle name="40% - Accent5 4 4" xfId="1524" xr:uid="{00000000-0005-0000-0000-000047140000}"/>
    <cellStyle name="40% - Accent5 4 4 2" xfId="3754" xr:uid="{00000000-0005-0000-0000-000048140000}"/>
    <cellStyle name="40% - Accent5 4 4 2 2" xfId="7977" xr:uid="{00000000-0005-0000-0000-000049140000}"/>
    <cellStyle name="40% - Accent5 4 4 2 2 2" xfId="24847" xr:uid="{00000000-0005-0000-0000-00004A140000}"/>
    <cellStyle name="40% - Accent5 4 4 2 2 2 2" xfId="41715" xr:uid="{27781FE8-85F1-4ECE-9BEE-E53FED79F43E}"/>
    <cellStyle name="40% - Accent5 4 4 2 2 3" xfId="16412" xr:uid="{00000000-0005-0000-0000-00004B140000}"/>
    <cellStyle name="40% - Accent5 4 4 2 2 4" xfId="33281" xr:uid="{04367F03-BA95-440C-BB3B-D6F2304502FF}"/>
    <cellStyle name="40% - Accent5 4 4 2 3" xfId="20629" xr:uid="{00000000-0005-0000-0000-00004C140000}"/>
    <cellStyle name="40% - Accent5 4 4 2 3 2" xfId="37498" xr:uid="{8F493AA3-739B-4243-A44F-C7F0CFF27008}"/>
    <cellStyle name="40% - Accent5 4 4 2 4" xfId="12194" xr:uid="{00000000-0005-0000-0000-00004D140000}"/>
    <cellStyle name="40% - Accent5 4 4 2 5" xfId="29064" xr:uid="{A8BF4BC5-DD8B-4590-B785-382844B2E779}"/>
    <cellStyle name="40% - Accent5 4 4 3" xfId="5832" xr:uid="{00000000-0005-0000-0000-00004E140000}"/>
    <cellStyle name="40% - Accent5 4 4 3 2" xfId="22702" xr:uid="{00000000-0005-0000-0000-00004F140000}"/>
    <cellStyle name="40% - Accent5 4 4 3 2 2" xfId="39570" xr:uid="{E7F8895F-C169-4672-A849-2A00CA43B41D}"/>
    <cellStyle name="40% - Accent5 4 4 3 3" xfId="14267" xr:uid="{00000000-0005-0000-0000-000050140000}"/>
    <cellStyle name="40% - Accent5 4 4 3 4" xfId="31136" xr:uid="{1E2CC7EF-5493-4F62-9632-A4B55EEF9912}"/>
    <cellStyle name="40% - Accent5 4 4 4" xfId="18484" xr:uid="{00000000-0005-0000-0000-000051140000}"/>
    <cellStyle name="40% - Accent5 4 4 4 2" xfId="35353" xr:uid="{D7BEC980-45DF-40B8-B625-3CFC05AE3CFE}"/>
    <cellStyle name="40% - Accent5 4 4 5" xfId="10049" xr:uid="{00000000-0005-0000-0000-000052140000}"/>
    <cellStyle name="40% - Accent5 4 4 6" xfId="26919" xr:uid="{103B622D-A857-45C4-9AD7-100D8F2A6E17}"/>
    <cellStyle name="40% - Accent5 4 5" xfId="1938" xr:uid="{00000000-0005-0000-0000-000053140000}"/>
    <cellStyle name="40% - Accent5 4 5 2" xfId="4167" xr:uid="{00000000-0005-0000-0000-000054140000}"/>
    <cellStyle name="40% - Accent5 4 5 2 2" xfId="8390" xr:uid="{00000000-0005-0000-0000-000055140000}"/>
    <cellStyle name="40% - Accent5 4 5 2 2 2" xfId="25260" xr:uid="{00000000-0005-0000-0000-000056140000}"/>
    <cellStyle name="40% - Accent5 4 5 2 2 2 2" xfId="42128" xr:uid="{1C9E1EEC-41DC-4FE3-985C-C49BCCDFD43B}"/>
    <cellStyle name="40% - Accent5 4 5 2 2 3" xfId="16825" xr:uid="{00000000-0005-0000-0000-000057140000}"/>
    <cellStyle name="40% - Accent5 4 5 2 2 4" xfId="33694" xr:uid="{3F9CC655-B90E-4209-9CB1-324DA420790A}"/>
    <cellStyle name="40% - Accent5 4 5 2 3" xfId="21042" xr:uid="{00000000-0005-0000-0000-000058140000}"/>
    <cellStyle name="40% - Accent5 4 5 2 3 2" xfId="37911" xr:uid="{62D8C2BA-DEE5-4535-9BF0-9FBEC2B64FE1}"/>
    <cellStyle name="40% - Accent5 4 5 2 4" xfId="12607" xr:uid="{00000000-0005-0000-0000-000059140000}"/>
    <cellStyle name="40% - Accent5 4 5 2 5" xfId="29477" xr:uid="{1F0E4319-8271-44D1-8BE6-5EF96F1B7853}"/>
    <cellStyle name="40% - Accent5 4 5 3" xfId="6245" xr:uid="{00000000-0005-0000-0000-00005A140000}"/>
    <cellStyle name="40% - Accent5 4 5 3 2" xfId="23115" xr:uid="{00000000-0005-0000-0000-00005B140000}"/>
    <cellStyle name="40% - Accent5 4 5 3 2 2" xfId="39983" xr:uid="{CDE855B5-A42B-4C00-9CB4-51C6BF2B4862}"/>
    <cellStyle name="40% - Accent5 4 5 3 3" xfId="14680" xr:uid="{00000000-0005-0000-0000-00005C140000}"/>
    <cellStyle name="40% - Accent5 4 5 3 4" xfId="31549" xr:uid="{872E2AB3-A04B-46AD-9D73-8DEDB41038D2}"/>
    <cellStyle name="40% - Accent5 4 5 4" xfId="18897" xr:uid="{00000000-0005-0000-0000-00005D140000}"/>
    <cellStyle name="40% - Accent5 4 5 4 2" xfId="35766" xr:uid="{71968F10-73FB-48B2-9E6F-838A5DCBBF15}"/>
    <cellStyle name="40% - Accent5 4 5 5" xfId="10462" xr:uid="{00000000-0005-0000-0000-00005E140000}"/>
    <cellStyle name="40% - Accent5 4 5 6" xfId="27332" xr:uid="{39B86CE7-449D-42A0-99BD-4A334E0ABF83}"/>
    <cellStyle name="40% - Accent5 4 6" xfId="2351" xr:uid="{00000000-0005-0000-0000-00005F140000}"/>
    <cellStyle name="40% - Accent5 4 6 2" xfId="6658" xr:uid="{00000000-0005-0000-0000-000060140000}"/>
    <cellStyle name="40% - Accent5 4 6 2 2" xfId="23528" xr:uid="{00000000-0005-0000-0000-000061140000}"/>
    <cellStyle name="40% - Accent5 4 6 2 2 2" xfId="40396" xr:uid="{13A359A2-CC3F-4DA6-9CB0-53CC275C70F3}"/>
    <cellStyle name="40% - Accent5 4 6 2 3" xfId="15093" xr:uid="{00000000-0005-0000-0000-000062140000}"/>
    <cellStyle name="40% - Accent5 4 6 2 4" xfId="31962" xr:uid="{A4F538E5-5011-44E2-8CE5-1CE56640BC23}"/>
    <cellStyle name="40% - Accent5 4 6 3" xfId="19310" xr:uid="{00000000-0005-0000-0000-000063140000}"/>
    <cellStyle name="40% - Accent5 4 6 3 2" xfId="36179" xr:uid="{BF82EC2D-A2D6-4052-82AB-7088A6A18725}"/>
    <cellStyle name="40% - Accent5 4 6 4" xfId="10875" xr:uid="{00000000-0005-0000-0000-000064140000}"/>
    <cellStyle name="40% - Accent5 4 6 5" xfId="27745" xr:uid="{8C6E4BA8-1560-4248-8971-7B028B08AFB8}"/>
    <cellStyle name="40% - Accent5 4 7" xfId="4592" xr:uid="{00000000-0005-0000-0000-000065140000}"/>
    <cellStyle name="40% - Accent5 4 7 2" xfId="21462" xr:uid="{00000000-0005-0000-0000-000066140000}"/>
    <cellStyle name="40% - Accent5 4 7 2 2" xfId="38330" xr:uid="{32C2BD34-066D-4206-A3DA-28C30226BA52}"/>
    <cellStyle name="40% - Accent5 4 7 3" xfId="13027" xr:uid="{00000000-0005-0000-0000-000067140000}"/>
    <cellStyle name="40% - Accent5 4 7 4" xfId="29896" xr:uid="{9388DC4E-43C1-4612-92B9-E2151E176A5B}"/>
    <cellStyle name="40% - Accent5 4 8" xfId="17244" xr:uid="{00000000-0005-0000-0000-000068140000}"/>
    <cellStyle name="40% - Accent5 4 8 2" xfId="34113" xr:uid="{C456BC0B-4663-45BC-8783-1439F6D26593}"/>
    <cellStyle name="40% - Accent5 4 9" xfId="8809" xr:uid="{00000000-0005-0000-0000-000069140000}"/>
    <cellStyle name="40% - Accent5 5" xfId="650" xr:uid="{00000000-0005-0000-0000-00006A140000}"/>
    <cellStyle name="40% - Accent5 5 2" xfId="2921" xr:uid="{00000000-0005-0000-0000-00006B140000}"/>
    <cellStyle name="40% - Accent5 5 2 2" xfId="7144" xr:uid="{00000000-0005-0000-0000-00006C140000}"/>
    <cellStyle name="40% - Accent5 5 2 2 2" xfId="24014" xr:uid="{00000000-0005-0000-0000-00006D140000}"/>
    <cellStyle name="40% - Accent5 5 2 2 2 2" xfId="40882" xr:uid="{04C16A4E-C179-4594-ABFD-149AF56DAC11}"/>
    <cellStyle name="40% - Accent5 5 2 2 3" xfId="15579" xr:uid="{00000000-0005-0000-0000-00006E140000}"/>
    <cellStyle name="40% - Accent5 5 2 2 4" xfId="32448" xr:uid="{33BECA20-9145-4687-81E4-8118EB5D2706}"/>
    <cellStyle name="40% - Accent5 5 2 3" xfId="19796" xr:uid="{00000000-0005-0000-0000-00006F140000}"/>
    <cellStyle name="40% - Accent5 5 2 3 2" xfId="36665" xr:uid="{810783EF-5FA5-41EA-B79C-687B7A670ADB}"/>
    <cellStyle name="40% - Accent5 5 2 4" xfId="11361" xr:uid="{00000000-0005-0000-0000-000070140000}"/>
    <cellStyle name="40% - Accent5 5 2 5" xfId="28231" xr:uid="{D3EDA75D-5899-45A9-9E76-4FFD7AEBAFAD}"/>
    <cellStyle name="40% - Accent5 5 3" xfId="4999" xr:uid="{00000000-0005-0000-0000-000071140000}"/>
    <cellStyle name="40% - Accent5 5 3 2" xfId="21869" xr:uid="{00000000-0005-0000-0000-000072140000}"/>
    <cellStyle name="40% - Accent5 5 3 2 2" xfId="38737" xr:uid="{044D2A3E-C9E9-4E4B-A8D5-EA0891E0D1E0}"/>
    <cellStyle name="40% - Accent5 5 3 3" xfId="13434" xr:uid="{00000000-0005-0000-0000-000073140000}"/>
    <cellStyle name="40% - Accent5 5 3 4" xfId="30303" xr:uid="{1380428D-1DC4-41A8-9951-63F1ECED5AAD}"/>
    <cellStyle name="40% - Accent5 5 4" xfId="17651" xr:uid="{00000000-0005-0000-0000-000074140000}"/>
    <cellStyle name="40% - Accent5 5 4 2" xfId="34520" xr:uid="{5BD2BE57-36F5-4FD9-8FB4-5C89D16B45AC}"/>
    <cellStyle name="40% - Accent5 5 5" xfId="9216" xr:uid="{00000000-0005-0000-0000-000075140000}"/>
    <cellStyle name="40% - Accent5 5 6" xfId="26086" xr:uid="{35E23B46-43F9-4813-9F4F-E28568A521E1}"/>
    <cellStyle name="40% - Accent5 6" xfId="1103" xr:uid="{00000000-0005-0000-0000-000076140000}"/>
    <cellStyle name="40% - Accent5 6 2" xfId="3334" xr:uid="{00000000-0005-0000-0000-000077140000}"/>
    <cellStyle name="40% - Accent5 6 2 2" xfId="7557" xr:uid="{00000000-0005-0000-0000-000078140000}"/>
    <cellStyle name="40% - Accent5 6 2 2 2" xfId="24427" xr:uid="{00000000-0005-0000-0000-000079140000}"/>
    <cellStyle name="40% - Accent5 6 2 2 2 2" xfId="41295" xr:uid="{12E5D483-8975-4ABC-8A27-9DDBB65524E0}"/>
    <cellStyle name="40% - Accent5 6 2 2 3" xfId="15992" xr:uid="{00000000-0005-0000-0000-00007A140000}"/>
    <cellStyle name="40% - Accent5 6 2 2 4" xfId="32861" xr:uid="{A7539F50-B5F2-4263-85EE-A82AB6AD9095}"/>
    <cellStyle name="40% - Accent5 6 2 3" xfId="20209" xr:uid="{00000000-0005-0000-0000-00007B140000}"/>
    <cellStyle name="40% - Accent5 6 2 3 2" xfId="37078" xr:uid="{715371F6-4E80-445F-BB85-750D4BF73A31}"/>
    <cellStyle name="40% - Accent5 6 2 4" xfId="11774" xr:uid="{00000000-0005-0000-0000-00007C140000}"/>
    <cellStyle name="40% - Accent5 6 2 5" xfId="28644" xr:uid="{111BDE33-7A94-471D-BF7B-51AA72A165E3}"/>
    <cellStyle name="40% - Accent5 6 3" xfId="5412" xr:uid="{00000000-0005-0000-0000-00007D140000}"/>
    <cellStyle name="40% - Accent5 6 3 2" xfId="22282" xr:uid="{00000000-0005-0000-0000-00007E140000}"/>
    <cellStyle name="40% - Accent5 6 3 2 2" xfId="39150" xr:uid="{7E723F20-A34E-4704-907B-30285786C6B0}"/>
    <cellStyle name="40% - Accent5 6 3 3" xfId="13847" xr:uid="{00000000-0005-0000-0000-00007F140000}"/>
    <cellStyle name="40% - Accent5 6 3 4" xfId="30716" xr:uid="{14C14F38-ED74-4EEC-9C88-EFFE06E17A9B}"/>
    <cellStyle name="40% - Accent5 6 4" xfId="18064" xr:uid="{00000000-0005-0000-0000-000080140000}"/>
    <cellStyle name="40% - Accent5 6 4 2" xfId="34933" xr:uid="{A521F108-F629-4657-88CD-61286DA635F5}"/>
    <cellStyle name="40% - Accent5 6 5" xfId="9629" xr:uid="{00000000-0005-0000-0000-000081140000}"/>
    <cellStyle name="40% - Accent5 6 6" xfId="26499" xr:uid="{AD7C55C7-D4F3-4242-AD38-92FB51ACEAF6}"/>
    <cellStyle name="40% - Accent5 7" xfId="1517" xr:uid="{00000000-0005-0000-0000-000082140000}"/>
    <cellStyle name="40% - Accent5 7 2" xfId="3747" xr:uid="{00000000-0005-0000-0000-000083140000}"/>
    <cellStyle name="40% - Accent5 7 2 2" xfId="7970" xr:uid="{00000000-0005-0000-0000-000084140000}"/>
    <cellStyle name="40% - Accent5 7 2 2 2" xfId="24840" xr:uid="{00000000-0005-0000-0000-000085140000}"/>
    <cellStyle name="40% - Accent5 7 2 2 2 2" xfId="41708" xr:uid="{19584C1D-447A-4142-8C7C-F6E98F0AC579}"/>
    <cellStyle name="40% - Accent5 7 2 2 3" xfId="16405" xr:uid="{00000000-0005-0000-0000-000086140000}"/>
    <cellStyle name="40% - Accent5 7 2 2 4" xfId="33274" xr:uid="{FEAB51C6-EEDE-49F9-94B0-7CF501EC24ED}"/>
    <cellStyle name="40% - Accent5 7 2 3" xfId="20622" xr:uid="{00000000-0005-0000-0000-000087140000}"/>
    <cellStyle name="40% - Accent5 7 2 3 2" xfId="37491" xr:uid="{C6FB5F9B-714A-4347-B4B8-4DFB83C9B7C6}"/>
    <cellStyle name="40% - Accent5 7 2 4" xfId="12187" xr:uid="{00000000-0005-0000-0000-000088140000}"/>
    <cellStyle name="40% - Accent5 7 2 5" xfId="29057" xr:uid="{D5D6B4F7-EF61-46FD-9C17-63E3ECED8FC9}"/>
    <cellStyle name="40% - Accent5 7 3" xfId="5825" xr:uid="{00000000-0005-0000-0000-000089140000}"/>
    <cellStyle name="40% - Accent5 7 3 2" xfId="22695" xr:uid="{00000000-0005-0000-0000-00008A140000}"/>
    <cellStyle name="40% - Accent5 7 3 2 2" xfId="39563" xr:uid="{B3D513F1-6AF4-4844-9496-7193326029DC}"/>
    <cellStyle name="40% - Accent5 7 3 3" xfId="14260" xr:uid="{00000000-0005-0000-0000-00008B140000}"/>
    <cellStyle name="40% - Accent5 7 3 4" xfId="31129" xr:uid="{173B0085-9985-4B8D-A437-F1EF8DEB714D}"/>
    <cellStyle name="40% - Accent5 7 4" xfId="18477" xr:uid="{00000000-0005-0000-0000-00008C140000}"/>
    <cellStyle name="40% - Accent5 7 4 2" xfId="35346" xr:uid="{9433D003-8234-474A-A649-6C2D54B17A97}"/>
    <cellStyle name="40% - Accent5 7 5" xfId="10042" xr:uid="{00000000-0005-0000-0000-00008D140000}"/>
    <cellStyle name="40% - Accent5 7 6" xfId="26912" xr:uid="{8C7096B1-3D63-4089-9F3D-ACDDE85D5F73}"/>
    <cellStyle name="40% - Accent5 8" xfId="1931" xr:uid="{00000000-0005-0000-0000-00008E140000}"/>
    <cellStyle name="40% - Accent5 8 2" xfId="4160" xr:uid="{00000000-0005-0000-0000-00008F140000}"/>
    <cellStyle name="40% - Accent5 8 2 2" xfId="8383" xr:uid="{00000000-0005-0000-0000-000090140000}"/>
    <cellStyle name="40% - Accent5 8 2 2 2" xfId="25253" xr:uid="{00000000-0005-0000-0000-000091140000}"/>
    <cellStyle name="40% - Accent5 8 2 2 2 2" xfId="42121" xr:uid="{9B93E93E-FBC9-43A4-B861-B4D07AD29AB1}"/>
    <cellStyle name="40% - Accent5 8 2 2 3" xfId="16818" xr:uid="{00000000-0005-0000-0000-000092140000}"/>
    <cellStyle name="40% - Accent5 8 2 2 4" xfId="33687" xr:uid="{D303A19C-6ADE-4155-A829-E59AF0644933}"/>
    <cellStyle name="40% - Accent5 8 2 3" xfId="21035" xr:uid="{00000000-0005-0000-0000-000093140000}"/>
    <cellStyle name="40% - Accent5 8 2 3 2" xfId="37904" xr:uid="{2DD3B2AA-86A4-473E-B8A6-067A7F43399A}"/>
    <cellStyle name="40% - Accent5 8 2 4" xfId="12600" xr:uid="{00000000-0005-0000-0000-000094140000}"/>
    <cellStyle name="40% - Accent5 8 2 5" xfId="29470" xr:uid="{781DA300-F1BA-4C09-95DF-14E3DE33FF61}"/>
    <cellStyle name="40% - Accent5 8 3" xfId="6238" xr:uid="{00000000-0005-0000-0000-000095140000}"/>
    <cellStyle name="40% - Accent5 8 3 2" xfId="23108" xr:uid="{00000000-0005-0000-0000-000096140000}"/>
    <cellStyle name="40% - Accent5 8 3 2 2" xfId="39976" xr:uid="{EB702D8A-95D5-490D-A3BF-FD792D4FF782}"/>
    <cellStyle name="40% - Accent5 8 3 3" xfId="14673" xr:uid="{00000000-0005-0000-0000-000097140000}"/>
    <cellStyle name="40% - Accent5 8 3 4" xfId="31542" xr:uid="{83DF6528-DF4F-4711-980D-4360FAF998F2}"/>
    <cellStyle name="40% - Accent5 8 4" xfId="18890" xr:uid="{00000000-0005-0000-0000-000098140000}"/>
    <cellStyle name="40% - Accent5 8 4 2" xfId="35759" xr:uid="{EA0FEC4A-5653-4BA3-ADE3-3382FEB270DD}"/>
    <cellStyle name="40% - Accent5 8 5" xfId="10455" xr:uid="{00000000-0005-0000-0000-000099140000}"/>
    <cellStyle name="40% - Accent5 8 6" xfId="27325" xr:uid="{A08C6F9E-E94E-4F7A-8AD4-10BF8931AE3D}"/>
    <cellStyle name="40% - Accent5 9" xfId="2344" xr:uid="{00000000-0005-0000-0000-00009A140000}"/>
    <cellStyle name="40% - Accent5 9 2" xfId="6651" xr:uid="{00000000-0005-0000-0000-00009B140000}"/>
    <cellStyle name="40% - Accent5 9 2 2" xfId="23521" xr:uid="{00000000-0005-0000-0000-00009C140000}"/>
    <cellStyle name="40% - Accent5 9 2 2 2" xfId="40389" xr:uid="{2BB967D8-CA11-4B28-B8F2-399B0808C890}"/>
    <cellStyle name="40% - Accent5 9 2 3" xfId="15086" xr:uid="{00000000-0005-0000-0000-00009D140000}"/>
    <cellStyle name="40% - Accent5 9 2 4" xfId="31955" xr:uid="{CB8AB9CD-5F55-4B34-8119-4EBE1861CAAB}"/>
    <cellStyle name="40% - Accent5 9 3" xfId="19303" xr:uid="{00000000-0005-0000-0000-00009E140000}"/>
    <cellStyle name="40% - Accent5 9 3 2" xfId="36172" xr:uid="{5E4534D2-A665-4EB9-8767-78CFEE38BAC5}"/>
    <cellStyle name="40% - Accent5 9 4" xfId="10868" xr:uid="{00000000-0005-0000-0000-00009F140000}"/>
    <cellStyle name="40% - Accent5 9 5" xfId="27738" xr:uid="{5C24E89F-A5D3-4040-A328-493D24121A6A}"/>
    <cellStyle name="40% - Accent6" xfId="89" builtinId="51" customBuiltin="1"/>
    <cellStyle name="40% - Accent6 10" xfId="4593" xr:uid="{00000000-0005-0000-0000-0000A1140000}"/>
    <cellStyle name="40% - Accent6 10 2" xfId="21463" xr:uid="{00000000-0005-0000-0000-0000A2140000}"/>
    <cellStyle name="40% - Accent6 10 2 2" xfId="38331" xr:uid="{8A684242-D6B1-43E9-82EA-8C6A3F384A54}"/>
    <cellStyle name="40% - Accent6 10 3" xfId="13028" xr:uid="{00000000-0005-0000-0000-0000A3140000}"/>
    <cellStyle name="40% - Accent6 10 4" xfId="29897" xr:uid="{4BBB9186-71E4-4EFB-9456-F8A62EE786FF}"/>
    <cellStyle name="40% - Accent6 11" xfId="17245" xr:uid="{00000000-0005-0000-0000-0000A4140000}"/>
    <cellStyle name="40% - Accent6 11 2" xfId="34114" xr:uid="{F6D74585-8918-47C6-B935-4DB52B41C607}"/>
    <cellStyle name="40% - Accent6 12" xfId="8810" xr:uid="{00000000-0005-0000-0000-0000A5140000}"/>
    <cellStyle name="40% - Accent6 13" xfId="25680" xr:uid="{4C4DC33B-B79A-429F-8300-53FCC90634E4}"/>
    <cellStyle name="40% - Accent6 2" xfId="90" xr:uid="{00000000-0005-0000-0000-0000A6140000}"/>
    <cellStyle name="40% - Accent6 2 10" xfId="17246" xr:uid="{00000000-0005-0000-0000-0000A7140000}"/>
    <cellStyle name="40% - Accent6 2 10 2" xfId="34115" xr:uid="{A2F9F98C-7AE2-456C-9190-351CA86378A0}"/>
    <cellStyle name="40% - Accent6 2 11" xfId="8811" xr:uid="{00000000-0005-0000-0000-0000A8140000}"/>
    <cellStyle name="40% - Accent6 2 12" xfId="25681" xr:uid="{BB814E50-69F0-4D6C-9C1E-3620DA6A6621}"/>
    <cellStyle name="40% - Accent6 2 2" xfId="91" xr:uid="{00000000-0005-0000-0000-0000A9140000}"/>
    <cellStyle name="40% - Accent6 2 2 10" xfId="8812" xr:uid="{00000000-0005-0000-0000-0000AA140000}"/>
    <cellStyle name="40% - Accent6 2 2 11" xfId="25682" xr:uid="{C1F3F39D-21AA-4250-9DE8-EC5358CECFE8}"/>
    <cellStyle name="40% - Accent6 2 2 2" xfId="92" xr:uid="{00000000-0005-0000-0000-0000AB140000}"/>
    <cellStyle name="40% - Accent6 2 2 2 10" xfId="25683" xr:uid="{3A64323B-63B7-4594-BA74-DBE67BF53DE1}"/>
    <cellStyle name="40% - Accent6 2 2 2 2" xfId="661" xr:uid="{00000000-0005-0000-0000-0000AC140000}"/>
    <cellStyle name="40% - Accent6 2 2 2 2 2" xfId="2932" xr:uid="{00000000-0005-0000-0000-0000AD140000}"/>
    <cellStyle name="40% - Accent6 2 2 2 2 2 2" xfId="7155" xr:uid="{00000000-0005-0000-0000-0000AE140000}"/>
    <cellStyle name="40% - Accent6 2 2 2 2 2 2 2" xfId="24025" xr:uid="{00000000-0005-0000-0000-0000AF140000}"/>
    <cellStyle name="40% - Accent6 2 2 2 2 2 2 2 2" xfId="40893" xr:uid="{9BFE65D6-A9A4-4CCD-9FA6-BD33D8081F7D}"/>
    <cellStyle name="40% - Accent6 2 2 2 2 2 2 3" xfId="15590" xr:uid="{00000000-0005-0000-0000-0000B0140000}"/>
    <cellStyle name="40% - Accent6 2 2 2 2 2 2 4" xfId="32459" xr:uid="{643351C7-ADA9-47AD-A199-F5F5CF02241C}"/>
    <cellStyle name="40% - Accent6 2 2 2 2 2 3" xfId="19807" xr:uid="{00000000-0005-0000-0000-0000B1140000}"/>
    <cellStyle name="40% - Accent6 2 2 2 2 2 3 2" xfId="36676" xr:uid="{03968FC4-8F87-417B-9B9B-8EFE7DFAD303}"/>
    <cellStyle name="40% - Accent6 2 2 2 2 2 4" xfId="11372" xr:uid="{00000000-0005-0000-0000-0000B2140000}"/>
    <cellStyle name="40% - Accent6 2 2 2 2 2 5" xfId="28242" xr:uid="{E6FBD637-4959-4D91-864B-D659EE78BECF}"/>
    <cellStyle name="40% - Accent6 2 2 2 2 3" xfId="5010" xr:uid="{00000000-0005-0000-0000-0000B3140000}"/>
    <cellStyle name="40% - Accent6 2 2 2 2 3 2" xfId="21880" xr:uid="{00000000-0005-0000-0000-0000B4140000}"/>
    <cellStyle name="40% - Accent6 2 2 2 2 3 2 2" xfId="38748" xr:uid="{772548B0-E883-4439-8D62-7C875C9EE6C5}"/>
    <cellStyle name="40% - Accent6 2 2 2 2 3 3" xfId="13445" xr:uid="{00000000-0005-0000-0000-0000B5140000}"/>
    <cellStyle name="40% - Accent6 2 2 2 2 3 4" xfId="30314" xr:uid="{3D0DE955-B0A5-4237-B1DC-54C0C7F4C68D}"/>
    <cellStyle name="40% - Accent6 2 2 2 2 4" xfId="17662" xr:uid="{00000000-0005-0000-0000-0000B6140000}"/>
    <cellStyle name="40% - Accent6 2 2 2 2 4 2" xfId="34531" xr:uid="{CAE5EC6D-0409-44A0-98A9-7CBB857A61F7}"/>
    <cellStyle name="40% - Accent6 2 2 2 2 5" xfId="9227" xr:uid="{00000000-0005-0000-0000-0000B7140000}"/>
    <cellStyle name="40% - Accent6 2 2 2 2 6" xfId="26097" xr:uid="{73370356-595A-4806-9CA1-0C1D028639C3}"/>
    <cellStyle name="40% - Accent6 2 2 2 3" xfId="1114" xr:uid="{00000000-0005-0000-0000-0000B8140000}"/>
    <cellStyle name="40% - Accent6 2 2 2 3 2" xfId="3345" xr:uid="{00000000-0005-0000-0000-0000B9140000}"/>
    <cellStyle name="40% - Accent6 2 2 2 3 2 2" xfId="7568" xr:uid="{00000000-0005-0000-0000-0000BA140000}"/>
    <cellStyle name="40% - Accent6 2 2 2 3 2 2 2" xfId="24438" xr:uid="{00000000-0005-0000-0000-0000BB140000}"/>
    <cellStyle name="40% - Accent6 2 2 2 3 2 2 2 2" xfId="41306" xr:uid="{214BEF2A-025C-476D-A956-D1766A2D47BA}"/>
    <cellStyle name="40% - Accent6 2 2 2 3 2 2 3" xfId="16003" xr:uid="{00000000-0005-0000-0000-0000BC140000}"/>
    <cellStyle name="40% - Accent6 2 2 2 3 2 2 4" xfId="32872" xr:uid="{0DB18B32-1EC3-47D8-A7FF-0B671F9FA15F}"/>
    <cellStyle name="40% - Accent6 2 2 2 3 2 3" xfId="20220" xr:uid="{00000000-0005-0000-0000-0000BD140000}"/>
    <cellStyle name="40% - Accent6 2 2 2 3 2 3 2" xfId="37089" xr:uid="{B4440294-097D-4468-B174-C25A0DD3B10C}"/>
    <cellStyle name="40% - Accent6 2 2 2 3 2 4" xfId="11785" xr:uid="{00000000-0005-0000-0000-0000BE140000}"/>
    <cellStyle name="40% - Accent6 2 2 2 3 2 5" xfId="28655" xr:uid="{746CAC8E-CAE8-4DA8-9557-3BC8AE359564}"/>
    <cellStyle name="40% - Accent6 2 2 2 3 3" xfId="5423" xr:uid="{00000000-0005-0000-0000-0000BF140000}"/>
    <cellStyle name="40% - Accent6 2 2 2 3 3 2" xfId="22293" xr:uid="{00000000-0005-0000-0000-0000C0140000}"/>
    <cellStyle name="40% - Accent6 2 2 2 3 3 2 2" xfId="39161" xr:uid="{C99E2B55-B9A8-4629-9166-30CE20D8BE94}"/>
    <cellStyle name="40% - Accent6 2 2 2 3 3 3" xfId="13858" xr:uid="{00000000-0005-0000-0000-0000C1140000}"/>
    <cellStyle name="40% - Accent6 2 2 2 3 3 4" xfId="30727" xr:uid="{44D875C5-1B0B-44E4-9724-DDF4A0FF0E7A}"/>
    <cellStyle name="40% - Accent6 2 2 2 3 4" xfId="18075" xr:uid="{00000000-0005-0000-0000-0000C2140000}"/>
    <cellStyle name="40% - Accent6 2 2 2 3 4 2" xfId="34944" xr:uid="{6A694C09-0AE6-4BAF-8E6E-5A3B61F0C073}"/>
    <cellStyle name="40% - Accent6 2 2 2 3 5" xfId="9640" xr:uid="{00000000-0005-0000-0000-0000C3140000}"/>
    <cellStyle name="40% - Accent6 2 2 2 3 6" xfId="26510" xr:uid="{662738B5-117E-4336-8049-11BB15518B7D}"/>
    <cellStyle name="40% - Accent6 2 2 2 4" xfId="1528" xr:uid="{00000000-0005-0000-0000-0000C4140000}"/>
    <cellStyle name="40% - Accent6 2 2 2 4 2" xfId="3758" xr:uid="{00000000-0005-0000-0000-0000C5140000}"/>
    <cellStyle name="40% - Accent6 2 2 2 4 2 2" xfId="7981" xr:uid="{00000000-0005-0000-0000-0000C6140000}"/>
    <cellStyle name="40% - Accent6 2 2 2 4 2 2 2" xfId="24851" xr:uid="{00000000-0005-0000-0000-0000C7140000}"/>
    <cellStyle name="40% - Accent6 2 2 2 4 2 2 2 2" xfId="41719" xr:uid="{C8845229-5B79-4D32-859D-A43BDDDDBB9A}"/>
    <cellStyle name="40% - Accent6 2 2 2 4 2 2 3" xfId="16416" xr:uid="{00000000-0005-0000-0000-0000C8140000}"/>
    <cellStyle name="40% - Accent6 2 2 2 4 2 2 4" xfId="33285" xr:uid="{F83E6B10-6AE8-4E4A-9D6B-DBA801ACD3A8}"/>
    <cellStyle name="40% - Accent6 2 2 2 4 2 3" xfId="20633" xr:uid="{00000000-0005-0000-0000-0000C9140000}"/>
    <cellStyle name="40% - Accent6 2 2 2 4 2 3 2" xfId="37502" xr:uid="{EC29D580-8783-4249-A61A-118119A69963}"/>
    <cellStyle name="40% - Accent6 2 2 2 4 2 4" xfId="12198" xr:uid="{00000000-0005-0000-0000-0000CA140000}"/>
    <cellStyle name="40% - Accent6 2 2 2 4 2 5" xfId="29068" xr:uid="{EEFFDBF0-5B39-468B-9946-CF5670ED2AB2}"/>
    <cellStyle name="40% - Accent6 2 2 2 4 3" xfId="5836" xr:uid="{00000000-0005-0000-0000-0000CB140000}"/>
    <cellStyle name="40% - Accent6 2 2 2 4 3 2" xfId="22706" xr:uid="{00000000-0005-0000-0000-0000CC140000}"/>
    <cellStyle name="40% - Accent6 2 2 2 4 3 2 2" xfId="39574" xr:uid="{E4B7BFA4-F25B-4BA4-80D9-1BAFA034DD39}"/>
    <cellStyle name="40% - Accent6 2 2 2 4 3 3" xfId="14271" xr:uid="{00000000-0005-0000-0000-0000CD140000}"/>
    <cellStyle name="40% - Accent6 2 2 2 4 3 4" xfId="31140" xr:uid="{DEC99BC5-0FD4-4974-92BD-75193A461903}"/>
    <cellStyle name="40% - Accent6 2 2 2 4 4" xfId="18488" xr:uid="{00000000-0005-0000-0000-0000CE140000}"/>
    <cellStyle name="40% - Accent6 2 2 2 4 4 2" xfId="35357" xr:uid="{D85DACC4-9610-4A2E-9EBC-E660A5DCD85F}"/>
    <cellStyle name="40% - Accent6 2 2 2 4 5" xfId="10053" xr:uid="{00000000-0005-0000-0000-0000CF140000}"/>
    <cellStyle name="40% - Accent6 2 2 2 4 6" xfId="26923" xr:uid="{70545656-AAE3-41F8-9F0B-E9AB67F57DD2}"/>
    <cellStyle name="40% - Accent6 2 2 2 5" xfId="1942" xr:uid="{00000000-0005-0000-0000-0000D0140000}"/>
    <cellStyle name="40% - Accent6 2 2 2 5 2" xfId="4171" xr:uid="{00000000-0005-0000-0000-0000D1140000}"/>
    <cellStyle name="40% - Accent6 2 2 2 5 2 2" xfId="8394" xr:uid="{00000000-0005-0000-0000-0000D2140000}"/>
    <cellStyle name="40% - Accent6 2 2 2 5 2 2 2" xfId="25264" xr:uid="{00000000-0005-0000-0000-0000D3140000}"/>
    <cellStyle name="40% - Accent6 2 2 2 5 2 2 2 2" xfId="42132" xr:uid="{60FA8FAA-0B0D-425A-818D-B1B28530D2E6}"/>
    <cellStyle name="40% - Accent6 2 2 2 5 2 2 3" xfId="16829" xr:uid="{00000000-0005-0000-0000-0000D4140000}"/>
    <cellStyle name="40% - Accent6 2 2 2 5 2 2 4" xfId="33698" xr:uid="{5693DB79-2158-4D51-8FD6-5A520FCCCBA9}"/>
    <cellStyle name="40% - Accent6 2 2 2 5 2 3" xfId="21046" xr:uid="{00000000-0005-0000-0000-0000D5140000}"/>
    <cellStyle name="40% - Accent6 2 2 2 5 2 3 2" xfId="37915" xr:uid="{55C09000-D931-481A-A408-355B3347AE94}"/>
    <cellStyle name="40% - Accent6 2 2 2 5 2 4" xfId="12611" xr:uid="{00000000-0005-0000-0000-0000D6140000}"/>
    <cellStyle name="40% - Accent6 2 2 2 5 2 5" xfId="29481" xr:uid="{16870AC1-710C-4CC1-88C9-BB862447B64A}"/>
    <cellStyle name="40% - Accent6 2 2 2 5 3" xfId="6249" xr:uid="{00000000-0005-0000-0000-0000D7140000}"/>
    <cellStyle name="40% - Accent6 2 2 2 5 3 2" xfId="23119" xr:uid="{00000000-0005-0000-0000-0000D8140000}"/>
    <cellStyle name="40% - Accent6 2 2 2 5 3 2 2" xfId="39987" xr:uid="{F5F5818B-B3CF-4C48-9F11-87641F988C09}"/>
    <cellStyle name="40% - Accent6 2 2 2 5 3 3" xfId="14684" xr:uid="{00000000-0005-0000-0000-0000D9140000}"/>
    <cellStyle name="40% - Accent6 2 2 2 5 3 4" xfId="31553" xr:uid="{30985AFA-AC38-4B28-B87E-00A046041AE8}"/>
    <cellStyle name="40% - Accent6 2 2 2 5 4" xfId="18901" xr:uid="{00000000-0005-0000-0000-0000DA140000}"/>
    <cellStyle name="40% - Accent6 2 2 2 5 4 2" xfId="35770" xr:uid="{16D31922-C8E6-42DE-B33F-247C65A54271}"/>
    <cellStyle name="40% - Accent6 2 2 2 5 5" xfId="10466" xr:uid="{00000000-0005-0000-0000-0000DB140000}"/>
    <cellStyle name="40% - Accent6 2 2 2 5 6" xfId="27336" xr:uid="{4DEC7027-5BCD-439C-9915-9D1F92927E74}"/>
    <cellStyle name="40% - Accent6 2 2 2 6" xfId="2355" xr:uid="{00000000-0005-0000-0000-0000DC140000}"/>
    <cellStyle name="40% - Accent6 2 2 2 6 2" xfId="6662" xr:uid="{00000000-0005-0000-0000-0000DD140000}"/>
    <cellStyle name="40% - Accent6 2 2 2 6 2 2" xfId="23532" xr:uid="{00000000-0005-0000-0000-0000DE140000}"/>
    <cellStyle name="40% - Accent6 2 2 2 6 2 2 2" xfId="40400" xr:uid="{C8BB3B01-366F-4AF1-8977-227A8D43C0AC}"/>
    <cellStyle name="40% - Accent6 2 2 2 6 2 3" xfId="15097" xr:uid="{00000000-0005-0000-0000-0000DF140000}"/>
    <cellStyle name="40% - Accent6 2 2 2 6 2 4" xfId="31966" xr:uid="{4202AA1B-0431-4720-9496-7663FEF5EC09}"/>
    <cellStyle name="40% - Accent6 2 2 2 6 3" xfId="19314" xr:uid="{00000000-0005-0000-0000-0000E0140000}"/>
    <cellStyle name="40% - Accent6 2 2 2 6 3 2" xfId="36183" xr:uid="{DF8FE1D7-C9EE-46AE-AE89-B1DF6C0DBD81}"/>
    <cellStyle name="40% - Accent6 2 2 2 6 4" xfId="10879" xr:uid="{00000000-0005-0000-0000-0000E1140000}"/>
    <cellStyle name="40% - Accent6 2 2 2 6 5" xfId="27749" xr:uid="{8E2F8F3F-B20B-450F-BD28-2326553CFA0A}"/>
    <cellStyle name="40% - Accent6 2 2 2 7" xfId="4596" xr:uid="{00000000-0005-0000-0000-0000E2140000}"/>
    <cellStyle name="40% - Accent6 2 2 2 7 2" xfId="21466" xr:uid="{00000000-0005-0000-0000-0000E3140000}"/>
    <cellStyle name="40% - Accent6 2 2 2 7 2 2" xfId="38334" xr:uid="{67195E00-4DC9-4A93-BAD7-7CC02A4C49F5}"/>
    <cellStyle name="40% - Accent6 2 2 2 7 3" xfId="13031" xr:uid="{00000000-0005-0000-0000-0000E4140000}"/>
    <cellStyle name="40% - Accent6 2 2 2 7 4" xfId="29900" xr:uid="{8E92A81D-C665-4EE6-BD8C-4499DA7C6F9B}"/>
    <cellStyle name="40% - Accent6 2 2 2 8" xfId="17248" xr:uid="{00000000-0005-0000-0000-0000E5140000}"/>
    <cellStyle name="40% - Accent6 2 2 2 8 2" xfId="34117" xr:uid="{A1B7682D-25EF-4101-8823-4FE061F7CD37}"/>
    <cellStyle name="40% - Accent6 2 2 2 9" xfId="8813" xr:uid="{00000000-0005-0000-0000-0000E6140000}"/>
    <cellStyle name="40% - Accent6 2 2 3" xfId="660" xr:uid="{00000000-0005-0000-0000-0000E7140000}"/>
    <cellStyle name="40% - Accent6 2 2 3 2" xfId="2931" xr:uid="{00000000-0005-0000-0000-0000E8140000}"/>
    <cellStyle name="40% - Accent6 2 2 3 2 2" xfId="7154" xr:uid="{00000000-0005-0000-0000-0000E9140000}"/>
    <cellStyle name="40% - Accent6 2 2 3 2 2 2" xfId="24024" xr:uid="{00000000-0005-0000-0000-0000EA140000}"/>
    <cellStyle name="40% - Accent6 2 2 3 2 2 2 2" xfId="40892" xr:uid="{E2AE0874-F5B3-4D38-835C-D797A54CED85}"/>
    <cellStyle name="40% - Accent6 2 2 3 2 2 3" xfId="15589" xr:uid="{00000000-0005-0000-0000-0000EB140000}"/>
    <cellStyle name="40% - Accent6 2 2 3 2 2 4" xfId="32458" xr:uid="{204FA76B-ABD6-4285-835F-B3301FB8DE3D}"/>
    <cellStyle name="40% - Accent6 2 2 3 2 3" xfId="19806" xr:uid="{00000000-0005-0000-0000-0000EC140000}"/>
    <cellStyle name="40% - Accent6 2 2 3 2 3 2" xfId="36675" xr:uid="{0CA83AC2-6B45-4F8E-8F7A-298D71F98E4E}"/>
    <cellStyle name="40% - Accent6 2 2 3 2 4" xfId="11371" xr:uid="{00000000-0005-0000-0000-0000ED140000}"/>
    <cellStyle name="40% - Accent6 2 2 3 2 5" xfId="28241" xr:uid="{D55BC30D-A2D3-46C8-977F-8B0E8686CD64}"/>
    <cellStyle name="40% - Accent6 2 2 3 3" xfId="5009" xr:uid="{00000000-0005-0000-0000-0000EE140000}"/>
    <cellStyle name="40% - Accent6 2 2 3 3 2" xfId="21879" xr:uid="{00000000-0005-0000-0000-0000EF140000}"/>
    <cellStyle name="40% - Accent6 2 2 3 3 2 2" xfId="38747" xr:uid="{BAA633C1-760C-43AF-87D4-B467098E2936}"/>
    <cellStyle name="40% - Accent6 2 2 3 3 3" xfId="13444" xr:uid="{00000000-0005-0000-0000-0000F0140000}"/>
    <cellStyle name="40% - Accent6 2 2 3 3 4" xfId="30313" xr:uid="{3AE02B7D-E17E-41E9-8071-050592458D5C}"/>
    <cellStyle name="40% - Accent6 2 2 3 4" xfId="17661" xr:uid="{00000000-0005-0000-0000-0000F1140000}"/>
    <cellStyle name="40% - Accent6 2 2 3 4 2" xfId="34530" xr:uid="{11A2F6D2-08DE-4898-A099-3E3C4E23852A}"/>
    <cellStyle name="40% - Accent6 2 2 3 5" xfId="9226" xr:uid="{00000000-0005-0000-0000-0000F2140000}"/>
    <cellStyle name="40% - Accent6 2 2 3 6" xfId="26096" xr:uid="{AA6329E0-1680-426E-AD96-0F96C5D54B79}"/>
    <cellStyle name="40% - Accent6 2 2 4" xfId="1113" xr:uid="{00000000-0005-0000-0000-0000F3140000}"/>
    <cellStyle name="40% - Accent6 2 2 4 2" xfId="3344" xr:uid="{00000000-0005-0000-0000-0000F4140000}"/>
    <cellStyle name="40% - Accent6 2 2 4 2 2" xfId="7567" xr:uid="{00000000-0005-0000-0000-0000F5140000}"/>
    <cellStyle name="40% - Accent6 2 2 4 2 2 2" xfId="24437" xr:uid="{00000000-0005-0000-0000-0000F6140000}"/>
    <cellStyle name="40% - Accent6 2 2 4 2 2 2 2" xfId="41305" xr:uid="{B8C34680-9A1A-4ECA-9244-E6D5D0216790}"/>
    <cellStyle name="40% - Accent6 2 2 4 2 2 3" xfId="16002" xr:uid="{00000000-0005-0000-0000-0000F7140000}"/>
    <cellStyle name="40% - Accent6 2 2 4 2 2 4" xfId="32871" xr:uid="{BFC30758-BC91-4053-9452-D829F2ED9EB8}"/>
    <cellStyle name="40% - Accent6 2 2 4 2 3" xfId="20219" xr:uid="{00000000-0005-0000-0000-0000F8140000}"/>
    <cellStyle name="40% - Accent6 2 2 4 2 3 2" xfId="37088" xr:uid="{6B2F67EB-17F5-4D9D-A97F-F17DE73B0E45}"/>
    <cellStyle name="40% - Accent6 2 2 4 2 4" xfId="11784" xr:uid="{00000000-0005-0000-0000-0000F9140000}"/>
    <cellStyle name="40% - Accent6 2 2 4 2 5" xfId="28654" xr:uid="{24647560-9626-48CD-B4D3-6A715130308E}"/>
    <cellStyle name="40% - Accent6 2 2 4 3" xfId="5422" xr:uid="{00000000-0005-0000-0000-0000FA140000}"/>
    <cellStyle name="40% - Accent6 2 2 4 3 2" xfId="22292" xr:uid="{00000000-0005-0000-0000-0000FB140000}"/>
    <cellStyle name="40% - Accent6 2 2 4 3 2 2" xfId="39160" xr:uid="{6751E21C-B358-4884-A9E1-616146E3A19D}"/>
    <cellStyle name="40% - Accent6 2 2 4 3 3" xfId="13857" xr:uid="{00000000-0005-0000-0000-0000FC140000}"/>
    <cellStyle name="40% - Accent6 2 2 4 3 4" xfId="30726" xr:uid="{C2B4D338-64CC-4F7C-A088-992EC85640D9}"/>
    <cellStyle name="40% - Accent6 2 2 4 4" xfId="18074" xr:uid="{00000000-0005-0000-0000-0000FD140000}"/>
    <cellStyle name="40% - Accent6 2 2 4 4 2" xfId="34943" xr:uid="{53FD9B36-009C-457D-8CCC-9621E96DB388}"/>
    <cellStyle name="40% - Accent6 2 2 4 5" xfId="9639" xr:uid="{00000000-0005-0000-0000-0000FE140000}"/>
    <cellStyle name="40% - Accent6 2 2 4 6" xfId="26509" xr:uid="{D56FC862-8886-4DAF-A7A6-FEA79BE3DCFF}"/>
    <cellStyle name="40% - Accent6 2 2 5" xfId="1527" xr:uid="{00000000-0005-0000-0000-0000FF140000}"/>
    <cellStyle name="40% - Accent6 2 2 5 2" xfId="3757" xr:uid="{00000000-0005-0000-0000-000000150000}"/>
    <cellStyle name="40% - Accent6 2 2 5 2 2" xfId="7980" xr:uid="{00000000-0005-0000-0000-000001150000}"/>
    <cellStyle name="40% - Accent6 2 2 5 2 2 2" xfId="24850" xr:uid="{00000000-0005-0000-0000-000002150000}"/>
    <cellStyle name="40% - Accent6 2 2 5 2 2 2 2" xfId="41718" xr:uid="{025FED6A-B122-427B-AC4A-B2BE5CA8AA56}"/>
    <cellStyle name="40% - Accent6 2 2 5 2 2 3" xfId="16415" xr:uid="{00000000-0005-0000-0000-000003150000}"/>
    <cellStyle name="40% - Accent6 2 2 5 2 2 4" xfId="33284" xr:uid="{08B4E9C2-4A2E-4A4F-A9DF-9DEE665FB7F5}"/>
    <cellStyle name="40% - Accent6 2 2 5 2 3" xfId="20632" xr:uid="{00000000-0005-0000-0000-000004150000}"/>
    <cellStyle name="40% - Accent6 2 2 5 2 3 2" xfId="37501" xr:uid="{27EC1651-3C92-4A20-928E-FBB28AE56784}"/>
    <cellStyle name="40% - Accent6 2 2 5 2 4" xfId="12197" xr:uid="{00000000-0005-0000-0000-000005150000}"/>
    <cellStyle name="40% - Accent6 2 2 5 2 5" xfId="29067" xr:uid="{2F8FCC2F-99C3-40F0-A05B-BC331502A931}"/>
    <cellStyle name="40% - Accent6 2 2 5 3" xfId="5835" xr:uid="{00000000-0005-0000-0000-000006150000}"/>
    <cellStyle name="40% - Accent6 2 2 5 3 2" xfId="22705" xr:uid="{00000000-0005-0000-0000-000007150000}"/>
    <cellStyle name="40% - Accent6 2 2 5 3 2 2" xfId="39573" xr:uid="{FBF55239-6A58-457B-9ACC-A570D741F598}"/>
    <cellStyle name="40% - Accent6 2 2 5 3 3" xfId="14270" xr:uid="{00000000-0005-0000-0000-000008150000}"/>
    <cellStyle name="40% - Accent6 2 2 5 3 4" xfId="31139" xr:uid="{F55501FC-83C7-453E-81AB-BDBE1D2E4900}"/>
    <cellStyle name="40% - Accent6 2 2 5 4" xfId="18487" xr:uid="{00000000-0005-0000-0000-000009150000}"/>
    <cellStyle name="40% - Accent6 2 2 5 4 2" xfId="35356" xr:uid="{ADEE0890-F073-4D8F-9053-AE90D0F216BC}"/>
    <cellStyle name="40% - Accent6 2 2 5 5" xfId="10052" xr:uid="{00000000-0005-0000-0000-00000A150000}"/>
    <cellStyle name="40% - Accent6 2 2 5 6" xfId="26922" xr:uid="{B110BFB0-DD9D-4E6B-A9BD-61C83233BB4A}"/>
    <cellStyle name="40% - Accent6 2 2 6" xfId="1941" xr:uid="{00000000-0005-0000-0000-00000B150000}"/>
    <cellStyle name="40% - Accent6 2 2 6 2" xfId="4170" xr:uid="{00000000-0005-0000-0000-00000C150000}"/>
    <cellStyle name="40% - Accent6 2 2 6 2 2" xfId="8393" xr:uid="{00000000-0005-0000-0000-00000D150000}"/>
    <cellStyle name="40% - Accent6 2 2 6 2 2 2" xfId="25263" xr:uid="{00000000-0005-0000-0000-00000E150000}"/>
    <cellStyle name="40% - Accent6 2 2 6 2 2 2 2" xfId="42131" xr:uid="{F055D407-11AE-4F77-991D-DFDDE014454C}"/>
    <cellStyle name="40% - Accent6 2 2 6 2 2 3" xfId="16828" xr:uid="{00000000-0005-0000-0000-00000F150000}"/>
    <cellStyle name="40% - Accent6 2 2 6 2 2 4" xfId="33697" xr:uid="{CF47CD85-33D7-4D94-9E4B-AEAE7CFD440A}"/>
    <cellStyle name="40% - Accent6 2 2 6 2 3" xfId="21045" xr:uid="{00000000-0005-0000-0000-000010150000}"/>
    <cellStyle name="40% - Accent6 2 2 6 2 3 2" xfId="37914" xr:uid="{1E413ECB-0E22-4C33-B072-B1AF3F593FBF}"/>
    <cellStyle name="40% - Accent6 2 2 6 2 4" xfId="12610" xr:uid="{00000000-0005-0000-0000-000011150000}"/>
    <cellStyle name="40% - Accent6 2 2 6 2 5" xfId="29480" xr:uid="{A5430279-4DEE-49D8-B26D-4E8D6B84D2EF}"/>
    <cellStyle name="40% - Accent6 2 2 6 3" xfId="6248" xr:uid="{00000000-0005-0000-0000-000012150000}"/>
    <cellStyle name="40% - Accent6 2 2 6 3 2" xfId="23118" xr:uid="{00000000-0005-0000-0000-000013150000}"/>
    <cellStyle name="40% - Accent6 2 2 6 3 2 2" xfId="39986" xr:uid="{0DAEC7CA-BFA3-4913-9BC5-12384C461032}"/>
    <cellStyle name="40% - Accent6 2 2 6 3 3" xfId="14683" xr:uid="{00000000-0005-0000-0000-000014150000}"/>
    <cellStyle name="40% - Accent6 2 2 6 3 4" xfId="31552" xr:uid="{E28796B3-CBEC-43CE-9C4B-5ADF0246D7C3}"/>
    <cellStyle name="40% - Accent6 2 2 6 4" xfId="18900" xr:uid="{00000000-0005-0000-0000-000015150000}"/>
    <cellStyle name="40% - Accent6 2 2 6 4 2" xfId="35769" xr:uid="{2A1FF7B5-5BBC-4309-B014-06EBF6B50998}"/>
    <cellStyle name="40% - Accent6 2 2 6 5" xfId="10465" xr:uid="{00000000-0005-0000-0000-000016150000}"/>
    <cellStyle name="40% - Accent6 2 2 6 6" xfId="27335" xr:uid="{EF2B8D40-DDFB-4C92-9B05-4942EC6DD538}"/>
    <cellStyle name="40% - Accent6 2 2 7" xfId="2354" xr:uid="{00000000-0005-0000-0000-000017150000}"/>
    <cellStyle name="40% - Accent6 2 2 7 2" xfId="6661" xr:uid="{00000000-0005-0000-0000-000018150000}"/>
    <cellStyle name="40% - Accent6 2 2 7 2 2" xfId="23531" xr:uid="{00000000-0005-0000-0000-000019150000}"/>
    <cellStyle name="40% - Accent6 2 2 7 2 2 2" xfId="40399" xr:uid="{29655558-6591-4099-9D07-CDACA439EA66}"/>
    <cellStyle name="40% - Accent6 2 2 7 2 3" xfId="15096" xr:uid="{00000000-0005-0000-0000-00001A150000}"/>
    <cellStyle name="40% - Accent6 2 2 7 2 4" xfId="31965" xr:uid="{6D403250-3501-4B0E-9435-C8D56239D9CE}"/>
    <cellStyle name="40% - Accent6 2 2 7 3" xfId="19313" xr:uid="{00000000-0005-0000-0000-00001B150000}"/>
    <cellStyle name="40% - Accent6 2 2 7 3 2" xfId="36182" xr:uid="{3FA3F48C-A044-41CF-AE05-26ADD9C82FDD}"/>
    <cellStyle name="40% - Accent6 2 2 7 4" xfId="10878" xr:uid="{00000000-0005-0000-0000-00001C150000}"/>
    <cellStyle name="40% - Accent6 2 2 7 5" xfId="27748" xr:uid="{2B3DD62F-1A43-4364-9F8B-FC999B1517FA}"/>
    <cellStyle name="40% - Accent6 2 2 8" xfId="4595" xr:uid="{00000000-0005-0000-0000-00001D150000}"/>
    <cellStyle name="40% - Accent6 2 2 8 2" xfId="21465" xr:uid="{00000000-0005-0000-0000-00001E150000}"/>
    <cellStyle name="40% - Accent6 2 2 8 2 2" xfId="38333" xr:uid="{FF5F28CA-9B85-4F5F-8C5F-CFFC782643C4}"/>
    <cellStyle name="40% - Accent6 2 2 8 3" xfId="13030" xr:uid="{00000000-0005-0000-0000-00001F150000}"/>
    <cellStyle name="40% - Accent6 2 2 8 4" xfId="29899" xr:uid="{3C4A1A11-9FAD-4BA3-A27F-51536675B790}"/>
    <cellStyle name="40% - Accent6 2 2 9" xfId="17247" xr:uid="{00000000-0005-0000-0000-000020150000}"/>
    <cellStyle name="40% - Accent6 2 2 9 2" xfId="34116" xr:uid="{F287D086-7F4C-44EB-A8B6-B73DDC1D781C}"/>
    <cellStyle name="40% - Accent6 2 3" xfId="93" xr:uid="{00000000-0005-0000-0000-000021150000}"/>
    <cellStyle name="40% - Accent6 2 3 10" xfId="25684" xr:uid="{F9D88C7D-238D-45EA-93C4-40BC5FC17AD5}"/>
    <cellStyle name="40% - Accent6 2 3 2" xfId="662" xr:uid="{00000000-0005-0000-0000-000022150000}"/>
    <cellStyle name="40% - Accent6 2 3 2 2" xfId="2933" xr:uid="{00000000-0005-0000-0000-000023150000}"/>
    <cellStyle name="40% - Accent6 2 3 2 2 2" xfId="7156" xr:uid="{00000000-0005-0000-0000-000024150000}"/>
    <cellStyle name="40% - Accent6 2 3 2 2 2 2" xfId="24026" xr:uid="{00000000-0005-0000-0000-000025150000}"/>
    <cellStyle name="40% - Accent6 2 3 2 2 2 2 2" xfId="40894" xr:uid="{F1519F37-B00A-425B-87FE-EFDC81213585}"/>
    <cellStyle name="40% - Accent6 2 3 2 2 2 3" xfId="15591" xr:uid="{00000000-0005-0000-0000-000026150000}"/>
    <cellStyle name="40% - Accent6 2 3 2 2 2 4" xfId="32460" xr:uid="{FB2AA18F-AFE2-4FFC-BE10-C0E1F32B0534}"/>
    <cellStyle name="40% - Accent6 2 3 2 2 3" xfId="19808" xr:uid="{00000000-0005-0000-0000-000027150000}"/>
    <cellStyle name="40% - Accent6 2 3 2 2 3 2" xfId="36677" xr:uid="{FC26155F-9FB7-4CE3-869A-C6E5E68473C3}"/>
    <cellStyle name="40% - Accent6 2 3 2 2 4" xfId="11373" xr:uid="{00000000-0005-0000-0000-000028150000}"/>
    <cellStyle name="40% - Accent6 2 3 2 2 5" xfId="28243" xr:uid="{46C43071-FD2F-47BE-B64C-DD0A35280C7E}"/>
    <cellStyle name="40% - Accent6 2 3 2 3" xfId="5011" xr:uid="{00000000-0005-0000-0000-000029150000}"/>
    <cellStyle name="40% - Accent6 2 3 2 3 2" xfId="21881" xr:uid="{00000000-0005-0000-0000-00002A150000}"/>
    <cellStyle name="40% - Accent6 2 3 2 3 2 2" xfId="38749" xr:uid="{283DD2E6-E96B-49E2-92A2-A4E00BFB11EC}"/>
    <cellStyle name="40% - Accent6 2 3 2 3 3" xfId="13446" xr:uid="{00000000-0005-0000-0000-00002B150000}"/>
    <cellStyle name="40% - Accent6 2 3 2 3 4" xfId="30315" xr:uid="{D5B1B463-A4EE-4720-B10A-5A259A682C83}"/>
    <cellStyle name="40% - Accent6 2 3 2 4" xfId="17663" xr:uid="{00000000-0005-0000-0000-00002C150000}"/>
    <cellStyle name="40% - Accent6 2 3 2 4 2" xfId="34532" xr:uid="{828A7DAA-05D6-4EED-848B-A88D2B537B4F}"/>
    <cellStyle name="40% - Accent6 2 3 2 5" xfId="9228" xr:uid="{00000000-0005-0000-0000-00002D150000}"/>
    <cellStyle name="40% - Accent6 2 3 2 6" xfId="26098" xr:uid="{1C0AD319-25F6-461A-A30C-7E00F8DB5A2C}"/>
    <cellStyle name="40% - Accent6 2 3 3" xfId="1115" xr:uid="{00000000-0005-0000-0000-00002E150000}"/>
    <cellStyle name="40% - Accent6 2 3 3 2" xfId="3346" xr:uid="{00000000-0005-0000-0000-00002F150000}"/>
    <cellStyle name="40% - Accent6 2 3 3 2 2" xfId="7569" xr:uid="{00000000-0005-0000-0000-000030150000}"/>
    <cellStyle name="40% - Accent6 2 3 3 2 2 2" xfId="24439" xr:uid="{00000000-0005-0000-0000-000031150000}"/>
    <cellStyle name="40% - Accent6 2 3 3 2 2 2 2" xfId="41307" xr:uid="{7A6E3D1E-99B2-459D-A5BA-14D4420082A3}"/>
    <cellStyle name="40% - Accent6 2 3 3 2 2 3" xfId="16004" xr:uid="{00000000-0005-0000-0000-000032150000}"/>
    <cellStyle name="40% - Accent6 2 3 3 2 2 4" xfId="32873" xr:uid="{F74680A0-16A3-4556-A72C-565281D20AD0}"/>
    <cellStyle name="40% - Accent6 2 3 3 2 3" xfId="20221" xr:uid="{00000000-0005-0000-0000-000033150000}"/>
    <cellStyle name="40% - Accent6 2 3 3 2 3 2" xfId="37090" xr:uid="{1C2F75D3-7CD6-40FF-8D2F-7000E4986D97}"/>
    <cellStyle name="40% - Accent6 2 3 3 2 4" xfId="11786" xr:uid="{00000000-0005-0000-0000-000034150000}"/>
    <cellStyle name="40% - Accent6 2 3 3 2 5" xfId="28656" xr:uid="{DFF4259B-F6BE-4B56-B8E5-7D1337F3489B}"/>
    <cellStyle name="40% - Accent6 2 3 3 3" xfId="5424" xr:uid="{00000000-0005-0000-0000-000035150000}"/>
    <cellStyle name="40% - Accent6 2 3 3 3 2" xfId="22294" xr:uid="{00000000-0005-0000-0000-000036150000}"/>
    <cellStyle name="40% - Accent6 2 3 3 3 2 2" xfId="39162" xr:uid="{337EF7C5-67AE-4B94-962F-110CC6E98367}"/>
    <cellStyle name="40% - Accent6 2 3 3 3 3" xfId="13859" xr:uid="{00000000-0005-0000-0000-000037150000}"/>
    <cellStyle name="40% - Accent6 2 3 3 3 4" xfId="30728" xr:uid="{7F6D7BD3-8855-4440-BF60-3821177E9835}"/>
    <cellStyle name="40% - Accent6 2 3 3 4" xfId="18076" xr:uid="{00000000-0005-0000-0000-000038150000}"/>
    <cellStyle name="40% - Accent6 2 3 3 4 2" xfId="34945" xr:uid="{2D17314F-3D51-498F-A6EF-623585AD0ECB}"/>
    <cellStyle name="40% - Accent6 2 3 3 5" xfId="9641" xr:uid="{00000000-0005-0000-0000-000039150000}"/>
    <cellStyle name="40% - Accent6 2 3 3 6" xfId="26511" xr:uid="{3D087666-FE8C-4231-B273-D7130C52B956}"/>
    <cellStyle name="40% - Accent6 2 3 4" xfId="1529" xr:uid="{00000000-0005-0000-0000-00003A150000}"/>
    <cellStyle name="40% - Accent6 2 3 4 2" xfId="3759" xr:uid="{00000000-0005-0000-0000-00003B150000}"/>
    <cellStyle name="40% - Accent6 2 3 4 2 2" xfId="7982" xr:uid="{00000000-0005-0000-0000-00003C150000}"/>
    <cellStyle name="40% - Accent6 2 3 4 2 2 2" xfId="24852" xr:uid="{00000000-0005-0000-0000-00003D150000}"/>
    <cellStyle name="40% - Accent6 2 3 4 2 2 2 2" xfId="41720" xr:uid="{529FD536-876B-4BB3-82EC-7870C83A87AE}"/>
    <cellStyle name="40% - Accent6 2 3 4 2 2 3" xfId="16417" xr:uid="{00000000-0005-0000-0000-00003E150000}"/>
    <cellStyle name="40% - Accent6 2 3 4 2 2 4" xfId="33286" xr:uid="{08F93113-96F3-4F65-A21F-2B513B441451}"/>
    <cellStyle name="40% - Accent6 2 3 4 2 3" xfId="20634" xr:uid="{00000000-0005-0000-0000-00003F150000}"/>
    <cellStyle name="40% - Accent6 2 3 4 2 3 2" xfId="37503" xr:uid="{14C6F900-82FA-4A29-A5CD-2A1B4E7CDF9F}"/>
    <cellStyle name="40% - Accent6 2 3 4 2 4" xfId="12199" xr:uid="{00000000-0005-0000-0000-000040150000}"/>
    <cellStyle name="40% - Accent6 2 3 4 2 5" xfId="29069" xr:uid="{0D5912BE-7713-4A09-B43E-68BC99D263AA}"/>
    <cellStyle name="40% - Accent6 2 3 4 3" xfId="5837" xr:uid="{00000000-0005-0000-0000-000041150000}"/>
    <cellStyle name="40% - Accent6 2 3 4 3 2" xfId="22707" xr:uid="{00000000-0005-0000-0000-000042150000}"/>
    <cellStyle name="40% - Accent6 2 3 4 3 2 2" xfId="39575" xr:uid="{3FB1CD7C-0F2A-4C4A-BC7A-182CDEF07BDB}"/>
    <cellStyle name="40% - Accent6 2 3 4 3 3" xfId="14272" xr:uid="{00000000-0005-0000-0000-000043150000}"/>
    <cellStyle name="40% - Accent6 2 3 4 3 4" xfId="31141" xr:uid="{ED45DD28-6F64-408C-BC7D-2BC74AF950AD}"/>
    <cellStyle name="40% - Accent6 2 3 4 4" xfId="18489" xr:uid="{00000000-0005-0000-0000-000044150000}"/>
    <cellStyle name="40% - Accent6 2 3 4 4 2" xfId="35358" xr:uid="{BC2BA476-0FF9-4002-8EEB-1F7A37015C81}"/>
    <cellStyle name="40% - Accent6 2 3 4 5" xfId="10054" xr:uid="{00000000-0005-0000-0000-000045150000}"/>
    <cellStyle name="40% - Accent6 2 3 4 6" xfId="26924" xr:uid="{BDEC74C1-DDAA-4C13-9758-F49BE1A4AD4E}"/>
    <cellStyle name="40% - Accent6 2 3 5" xfId="1943" xr:uid="{00000000-0005-0000-0000-000046150000}"/>
    <cellStyle name="40% - Accent6 2 3 5 2" xfId="4172" xr:uid="{00000000-0005-0000-0000-000047150000}"/>
    <cellStyle name="40% - Accent6 2 3 5 2 2" xfId="8395" xr:uid="{00000000-0005-0000-0000-000048150000}"/>
    <cellStyle name="40% - Accent6 2 3 5 2 2 2" xfId="25265" xr:uid="{00000000-0005-0000-0000-000049150000}"/>
    <cellStyle name="40% - Accent6 2 3 5 2 2 2 2" xfId="42133" xr:uid="{0CC79819-FCC0-4CC4-99C4-878AAEB24A14}"/>
    <cellStyle name="40% - Accent6 2 3 5 2 2 3" xfId="16830" xr:uid="{00000000-0005-0000-0000-00004A150000}"/>
    <cellStyle name="40% - Accent6 2 3 5 2 2 4" xfId="33699" xr:uid="{237C6088-0B94-4ADC-8AB5-A513B4833C95}"/>
    <cellStyle name="40% - Accent6 2 3 5 2 3" xfId="21047" xr:uid="{00000000-0005-0000-0000-00004B150000}"/>
    <cellStyle name="40% - Accent6 2 3 5 2 3 2" xfId="37916" xr:uid="{F5FC590B-97AB-4149-ACAE-2AC0E8006E7D}"/>
    <cellStyle name="40% - Accent6 2 3 5 2 4" xfId="12612" xr:uid="{00000000-0005-0000-0000-00004C150000}"/>
    <cellStyle name="40% - Accent6 2 3 5 2 5" xfId="29482" xr:uid="{AF6895AF-9421-4799-9133-D9E9DDF4AC69}"/>
    <cellStyle name="40% - Accent6 2 3 5 3" xfId="6250" xr:uid="{00000000-0005-0000-0000-00004D150000}"/>
    <cellStyle name="40% - Accent6 2 3 5 3 2" xfId="23120" xr:uid="{00000000-0005-0000-0000-00004E150000}"/>
    <cellStyle name="40% - Accent6 2 3 5 3 2 2" xfId="39988" xr:uid="{ABE12BE6-31F1-4776-AC2C-1E4C415EA074}"/>
    <cellStyle name="40% - Accent6 2 3 5 3 3" xfId="14685" xr:uid="{00000000-0005-0000-0000-00004F150000}"/>
    <cellStyle name="40% - Accent6 2 3 5 3 4" xfId="31554" xr:uid="{D681A338-B228-48DC-ACA3-1ED6709A1F94}"/>
    <cellStyle name="40% - Accent6 2 3 5 4" xfId="18902" xr:uid="{00000000-0005-0000-0000-000050150000}"/>
    <cellStyle name="40% - Accent6 2 3 5 4 2" xfId="35771" xr:uid="{16C5346E-220A-4251-909A-B3B1A7BA04CE}"/>
    <cellStyle name="40% - Accent6 2 3 5 5" xfId="10467" xr:uid="{00000000-0005-0000-0000-000051150000}"/>
    <cellStyle name="40% - Accent6 2 3 5 6" xfId="27337" xr:uid="{89846131-0603-4333-AA12-7241208FA978}"/>
    <cellStyle name="40% - Accent6 2 3 6" xfId="2356" xr:uid="{00000000-0005-0000-0000-000052150000}"/>
    <cellStyle name="40% - Accent6 2 3 6 2" xfId="6663" xr:uid="{00000000-0005-0000-0000-000053150000}"/>
    <cellStyle name="40% - Accent6 2 3 6 2 2" xfId="23533" xr:uid="{00000000-0005-0000-0000-000054150000}"/>
    <cellStyle name="40% - Accent6 2 3 6 2 2 2" xfId="40401" xr:uid="{68E14142-40EC-4D13-8CC9-C6E4465208B6}"/>
    <cellStyle name="40% - Accent6 2 3 6 2 3" xfId="15098" xr:uid="{00000000-0005-0000-0000-000055150000}"/>
    <cellStyle name="40% - Accent6 2 3 6 2 4" xfId="31967" xr:uid="{A65BFA37-EE67-4A25-8F8C-1F2E7A25091C}"/>
    <cellStyle name="40% - Accent6 2 3 6 3" xfId="19315" xr:uid="{00000000-0005-0000-0000-000056150000}"/>
    <cellStyle name="40% - Accent6 2 3 6 3 2" xfId="36184" xr:uid="{22C79A91-4B60-4C31-A5E4-801F7D05AD3B}"/>
    <cellStyle name="40% - Accent6 2 3 6 4" xfId="10880" xr:uid="{00000000-0005-0000-0000-000057150000}"/>
    <cellStyle name="40% - Accent6 2 3 6 5" xfId="27750" xr:uid="{BB22B422-3809-423F-9C2B-84D548C1D7E2}"/>
    <cellStyle name="40% - Accent6 2 3 7" xfId="4597" xr:uid="{00000000-0005-0000-0000-000058150000}"/>
    <cellStyle name="40% - Accent6 2 3 7 2" xfId="21467" xr:uid="{00000000-0005-0000-0000-000059150000}"/>
    <cellStyle name="40% - Accent6 2 3 7 2 2" xfId="38335" xr:uid="{A7786720-A0AE-4F86-A7FA-9F9530E1EAF4}"/>
    <cellStyle name="40% - Accent6 2 3 7 3" xfId="13032" xr:uid="{00000000-0005-0000-0000-00005A150000}"/>
    <cellStyle name="40% - Accent6 2 3 7 4" xfId="29901" xr:uid="{98EE61B0-B91C-45E6-AA94-FD3EF0820159}"/>
    <cellStyle name="40% - Accent6 2 3 8" xfId="17249" xr:uid="{00000000-0005-0000-0000-00005B150000}"/>
    <cellStyle name="40% - Accent6 2 3 8 2" xfId="34118" xr:uid="{3E523F2F-E3A4-43B6-AF3E-B58C26254093}"/>
    <cellStyle name="40% - Accent6 2 3 9" xfId="8814" xr:uid="{00000000-0005-0000-0000-00005C150000}"/>
    <cellStyle name="40% - Accent6 2 4" xfId="659" xr:uid="{00000000-0005-0000-0000-00005D150000}"/>
    <cellStyle name="40% - Accent6 2 4 2" xfId="2930" xr:uid="{00000000-0005-0000-0000-00005E150000}"/>
    <cellStyle name="40% - Accent6 2 4 2 2" xfId="7153" xr:uid="{00000000-0005-0000-0000-00005F150000}"/>
    <cellStyle name="40% - Accent6 2 4 2 2 2" xfId="24023" xr:uid="{00000000-0005-0000-0000-000060150000}"/>
    <cellStyle name="40% - Accent6 2 4 2 2 2 2" xfId="40891" xr:uid="{90CFE9EC-83BA-44B1-BEF6-A971008ADF18}"/>
    <cellStyle name="40% - Accent6 2 4 2 2 3" xfId="15588" xr:uid="{00000000-0005-0000-0000-000061150000}"/>
    <cellStyle name="40% - Accent6 2 4 2 2 4" xfId="32457" xr:uid="{8004DE0B-D328-4BBA-8914-54A1D41DF2F1}"/>
    <cellStyle name="40% - Accent6 2 4 2 3" xfId="19805" xr:uid="{00000000-0005-0000-0000-000062150000}"/>
    <cellStyle name="40% - Accent6 2 4 2 3 2" xfId="36674" xr:uid="{0150BA85-3627-4C82-9ADD-9C9A5617D915}"/>
    <cellStyle name="40% - Accent6 2 4 2 4" xfId="11370" xr:uid="{00000000-0005-0000-0000-000063150000}"/>
    <cellStyle name="40% - Accent6 2 4 2 5" xfId="28240" xr:uid="{C46EF612-76E8-4DAE-B6F6-580F14128681}"/>
    <cellStyle name="40% - Accent6 2 4 3" xfId="5008" xr:uid="{00000000-0005-0000-0000-000064150000}"/>
    <cellStyle name="40% - Accent6 2 4 3 2" xfId="21878" xr:uid="{00000000-0005-0000-0000-000065150000}"/>
    <cellStyle name="40% - Accent6 2 4 3 2 2" xfId="38746" xr:uid="{8855CCC7-9513-47DD-B1DF-7AA7B1E7AA05}"/>
    <cellStyle name="40% - Accent6 2 4 3 3" xfId="13443" xr:uid="{00000000-0005-0000-0000-000066150000}"/>
    <cellStyle name="40% - Accent6 2 4 3 4" xfId="30312" xr:uid="{E8B03E53-8381-43EE-BB90-63ECD0E920F8}"/>
    <cellStyle name="40% - Accent6 2 4 4" xfId="17660" xr:uid="{00000000-0005-0000-0000-000067150000}"/>
    <cellStyle name="40% - Accent6 2 4 4 2" xfId="34529" xr:uid="{B8A687AF-3CEA-422A-ABF9-C4752006FC6A}"/>
    <cellStyle name="40% - Accent6 2 4 5" xfId="9225" xr:uid="{00000000-0005-0000-0000-000068150000}"/>
    <cellStyle name="40% - Accent6 2 4 6" xfId="26095" xr:uid="{B9696096-BC48-4DB9-AB94-1156F704D83D}"/>
    <cellStyle name="40% - Accent6 2 5" xfId="1112" xr:uid="{00000000-0005-0000-0000-000069150000}"/>
    <cellStyle name="40% - Accent6 2 5 2" xfId="3343" xr:uid="{00000000-0005-0000-0000-00006A150000}"/>
    <cellStyle name="40% - Accent6 2 5 2 2" xfId="7566" xr:uid="{00000000-0005-0000-0000-00006B150000}"/>
    <cellStyle name="40% - Accent6 2 5 2 2 2" xfId="24436" xr:uid="{00000000-0005-0000-0000-00006C150000}"/>
    <cellStyle name="40% - Accent6 2 5 2 2 2 2" xfId="41304" xr:uid="{D4A6B5DA-4417-4E08-8A1D-480A40806A5A}"/>
    <cellStyle name="40% - Accent6 2 5 2 2 3" xfId="16001" xr:uid="{00000000-0005-0000-0000-00006D150000}"/>
    <cellStyle name="40% - Accent6 2 5 2 2 4" xfId="32870" xr:uid="{2DB94C4C-4F4E-46D9-B6EF-29DBC7E632ED}"/>
    <cellStyle name="40% - Accent6 2 5 2 3" xfId="20218" xr:uid="{00000000-0005-0000-0000-00006E150000}"/>
    <cellStyle name="40% - Accent6 2 5 2 3 2" xfId="37087" xr:uid="{F2BBB154-4914-470A-9637-E22599920C79}"/>
    <cellStyle name="40% - Accent6 2 5 2 4" xfId="11783" xr:uid="{00000000-0005-0000-0000-00006F150000}"/>
    <cellStyle name="40% - Accent6 2 5 2 5" xfId="28653" xr:uid="{AFEDAF6C-E27E-41A0-BBC8-EA2E501F9911}"/>
    <cellStyle name="40% - Accent6 2 5 3" xfId="5421" xr:uid="{00000000-0005-0000-0000-000070150000}"/>
    <cellStyle name="40% - Accent6 2 5 3 2" xfId="22291" xr:uid="{00000000-0005-0000-0000-000071150000}"/>
    <cellStyle name="40% - Accent6 2 5 3 2 2" xfId="39159" xr:uid="{D48B46D7-ED6E-41F2-9731-B84E2B504F42}"/>
    <cellStyle name="40% - Accent6 2 5 3 3" xfId="13856" xr:uid="{00000000-0005-0000-0000-000072150000}"/>
    <cellStyle name="40% - Accent6 2 5 3 4" xfId="30725" xr:uid="{F38E200A-A0E7-4B6A-B928-EEEA0906D396}"/>
    <cellStyle name="40% - Accent6 2 5 4" xfId="18073" xr:uid="{00000000-0005-0000-0000-000073150000}"/>
    <cellStyle name="40% - Accent6 2 5 4 2" xfId="34942" xr:uid="{1B499520-4B83-45F5-85FA-39FB0A447FAB}"/>
    <cellStyle name="40% - Accent6 2 5 5" xfId="9638" xr:uid="{00000000-0005-0000-0000-000074150000}"/>
    <cellStyle name="40% - Accent6 2 5 6" xfId="26508" xr:uid="{36B1249D-7877-4B9F-A719-CEA4E17B9632}"/>
    <cellStyle name="40% - Accent6 2 6" xfId="1526" xr:uid="{00000000-0005-0000-0000-000075150000}"/>
    <cellStyle name="40% - Accent6 2 6 2" xfId="3756" xr:uid="{00000000-0005-0000-0000-000076150000}"/>
    <cellStyle name="40% - Accent6 2 6 2 2" xfId="7979" xr:uid="{00000000-0005-0000-0000-000077150000}"/>
    <cellStyle name="40% - Accent6 2 6 2 2 2" xfId="24849" xr:uid="{00000000-0005-0000-0000-000078150000}"/>
    <cellStyle name="40% - Accent6 2 6 2 2 2 2" xfId="41717" xr:uid="{F670B0DB-D2DB-4C11-8662-5A141217B296}"/>
    <cellStyle name="40% - Accent6 2 6 2 2 3" xfId="16414" xr:uid="{00000000-0005-0000-0000-000079150000}"/>
    <cellStyle name="40% - Accent6 2 6 2 2 4" xfId="33283" xr:uid="{4AD77652-A60F-495A-8F1C-C7620D853C90}"/>
    <cellStyle name="40% - Accent6 2 6 2 3" xfId="20631" xr:uid="{00000000-0005-0000-0000-00007A150000}"/>
    <cellStyle name="40% - Accent6 2 6 2 3 2" xfId="37500" xr:uid="{99CD5FC6-4863-4F20-87EA-EFF63157764D}"/>
    <cellStyle name="40% - Accent6 2 6 2 4" xfId="12196" xr:uid="{00000000-0005-0000-0000-00007B150000}"/>
    <cellStyle name="40% - Accent6 2 6 2 5" xfId="29066" xr:uid="{2DF70363-3DC3-46F9-80C5-C52853FE97D2}"/>
    <cellStyle name="40% - Accent6 2 6 3" xfId="5834" xr:uid="{00000000-0005-0000-0000-00007C150000}"/>
    <cellStyle name="40% - Accent6 2 6 3 2" xfId="22704" xr:uid="{00000000-0005-0000-0000-00007D150000}"/>
    <cellStyle name="40% - Accent6 2 6 3 2 2" xfId="39572" xr:uid="{0B03FDAB-CF6F-4EE4-9F45-C421CF86D3C7}"/>
    <cellStyle name="40% - Accent6 2 6 3 3" xfId="14269" xr:uid="{00000000-0005-0000-0000-00007E150000}"/>
    <cellStyle name="40% - Accent6 2 6 3 4" xfId="31138" xr:uid="{DA5B0864-49D2-4271-B239-63B508E2B68F}"/>
    <cellStyle name="40% - Accent6 2 6 4" xfId="18486" xr:uid="{00000000-0005-0000-0000-00007F150000}"/>
    <cellStyle name="40% - Accent6 2 6 4 2" xfId="35355" xr:uid="{D16B088D-559B-4134-B821-81EA022F9753}"/>
    <cellStyle name="40% - Accent6 2 6 5" xfId="10051" xr:uid="{00000000-0005-0000-0000-000080150000}"/>
    <cellStyle name="40% - Accent6 2 6 6" xfId="26921" xr:uid="{0690EF84-3DEB-4D43-BA99-DA46E00F005E}"/>
    <cellStyle name="40% - Accent6 2 7" xfId="1940" xr:uid="{00000000-0005-0000-0000-000081150000}"/>
    <cellStyle name="40% - Accent6 2 7 2" xfId="4169" xr:uid="{00000000-0005-0000-0000-000082150000}"/>
    <cellStyle name="40% - Accent6 2 7 2 2" xfId="8392" xr:uid="{00000000-0005-0000-0000-000083150000}"/>
    <cellStyle name="40% - Accent6 2 7 2 2 2" xfId="25262" xr:uid="{00000000-0005-0000-0000-000084150000}"/>
    <cellStyle name="40% - Accent6 2 7 2 2 2 2" xfId="42130" xr:uid="{A47A1006-5BF7-4DCE-A7A8-1A2CA8599116}"/>
    <cellStyle name="40% - Accent6 2 7 2 2 3" xfId="16827" xr:uid="{00000000-0005-0000-0000-000085150000}"/>
    <cellStyle name="40% - Accent6 2 7 2 2 4" xfId="33696" xr:uid="{7DC6939F-C7DC-4B95-9965-53A45D039970}"/>
    <cellStyle name="40% - Accent6 2 7 2 3" xfId="21044" xr:uid="{00000000-0005-0000-0000-000086150000}"/>
    <cellStyle name="40% - Accent6 2 7 2 3 2" xfId="37913" xr:uid="{902343F7-5101-4724-858C-68D07B629998}"/>
    <cellStyle name="40% - Accent6 2 7 2 4" xfId="12609" xr:uid="{00000000-0005-0000-0000-000087150000}"/>
    <cellStyle name="40% - Accent6 2 7 2 5" xfId="29479" xr:uid="{3FD88274-32C9-424C-8E8D-4010083BD4D6}"/>
    <cellStyle name="40% - Accent6 2 7 3" xfId="6247" xr:uid="{00000000-0005-0000-0000-000088150000}"/>
    <cellStyle name="40% - Accent6 2 7 3 2" xfId="23117" xr:uid="{00000000-0005-0000-0000-000089150000}"/>
    <cellStyle name="40% - Accent6 2 7 3 2 2" xfId="39985" xr:uid="{84CC13CC-D7A7-46BE-882F-51366D779FDD}"/>
    <cellStyle name="40% - Accent6 2 7 3 3" xfId="14682" xr:uid="{00000000-0005-0000-0000-00008A150000}"/>
    <cellStyle name="40% - Accent6 2 7 3 4" xfId="31551" xr:uid="{B7235989-AE78-49CC-B537-B8542FD63C88}"/>
    <cellStyle name="40% - Accent6 2 7 4" xfId="18899" xr:uid="{00000000-0005-0000-0000-00008B150000}"/>
    <cellStyle name="40% - Accent6 2 7 4 2" xfId="35768" xr:uid="{B8B7BC20-A370-47E0-A013-EDE4E70D7734}"/>
    <cellStyle name="40% - Accent6 2 7 5" xfId="10464" xr:uid="{00000000-0005-0000-0000-00008C150000}"/>
    <cellStyle name="40% - Accent6 2 7 6" xfId="27334" xr:uid="{74CB9A92-CA16-4F3E-BED4-8BA7DEBBE1C6}"/>
    <cellStyle name="40% - Accent6 2 8" xfId="2353" xr:uid="{00000000-0005-0000-0000-00008D150000}"/>
    <cellStyle name="40% - Accent6 2 8 2" xfId="6660" xr:uid="{00000000-0005-0000-0000-00008E150000}"/>
    <cellStyle name="40% - Accent6 2 8 2 2" xfId="23530" xr:uid="{00000000-0005-0000-0000-00008F150000}"/>
    <cellStyle name="40% - Accent6 2 8 2 2 2" xfId="40398" xr:uid="{E363641F-E7E2-44AE-97DF-D09A8BC7F8C6}"/>
    <cellStyle name="40% - Accent6 2 8 2 3" xfId="15095" xr:uid="{00000000-0005-0000-0000-000090150000}"/>
    <cellStyle name="40% - Accent6 2 8 2 4" xfId="31964" xr:uid="{AD59282E-4E0B-4EF5-95F6-EAFA5BE693EC}"/>
    <cellStyle name="40% - Accent6 2 8 3" xfId="19312" xr:uid="{00000000-0005-0000-0000-000091150000}"/>
    <cellStyle name="40% - Accent6 2 8 3 2" xfId="36181" xr:uid="{F3C20D17-C21A-4426-B1F1-161CE7ACAEDA}"/>
    <cellStyle name="40% - Accent6 2 8 4" xfId="10877" xr:uid="{00000000-0005-0000-0000-000092150000}"/>
    <cellStyle name="40% - Accent6 2 8 5" xfId="27747" xr:uid="{7B8F0C7F-2C89-4A00-A242-C10A95ED32F7}"/>
    <cellStyle name="40% - Accent6 2 9" xfId="4594" xr:uid="{00000000-0005-0000-0000-000093150000}"/>
    <cellStyle name="40% - Accent6 2 9 2" xfId="21464" xr:uid="{00000000-0005-0000-0000-000094150000}"/>
    <cellStyle name="40% - Accent6 2 9 2 2" xfId="38332" xr:uid="{77908BD4-5435-495B-BD5E-2F29886A4DC8}"/>
    <cellStyle name="40% - Accent6 2 9 3" xfId="13029" xr:uid="{00000000-0005-0000-0000-000095150000}"/>
    <cellStyle name="40% - Accent6 2 9 4" xfId="29898" xr:uid="{32481069-A51D-49F9-9691-9A5A79A8A0CA}"/>
    <cellStyle name="40% - Accent6 3" xfId="94" xr:uid="{00000000-0005-0000-0000-000096150000}"/>
    <cellStyle name="40% - Accent6 3 10" xfId="8815" xr:uid="{00000000-0005-0000-0000-000097150000}"/>
    <cellStyle name="40% - Accent6 3 11" xfId="25685" xr:uid="{ECCEBDD4-2BC1-4212-AC6C-F836271559F1}"/>
    <cellStyle name="40% - Accent6 3 2" xfId="95" xr:uid="{00000000-0005-0000-0000-000098150000}"/>
    <cellStyle name="40% - Accent6 3 2 10" xfId="25686" xr:uid="{173BB496-3E7B-49A9-B2C1-E4CDDEE1E778}"/>
    <cellStyle name="40% - Accent6 3 2 2" xfId="664" xr:uid="{00000000-0005-0000-0000-000099150000}"/>
    <cellStyle name="40% - Accent6 3 2 2 2" xfId="2935" xr:uid="{00000000-0005-0000-0000-00009A150000}"/>
    <cellStyle name="40% - Accent6 3 2 2 2 2" xfId="7158" xr:uid="{00000000-0005-0000-0000-00009B150000}"/>
    <cellStyle name="40% - Accent6 3 2 2 2 2 2" xfId="24028" xr:uid="{00000000-0005-0000-0000-00009C150000}"/>
    <cellStyle name="40% - Accent6 3 2 2 2 2 2 2" xfId="40896" xr:uid="{39EF3554-5073-42ED-A937-14F5485481E2}"/>
    <cellStyle name="40% - Accent6 3 2 2 2 2 3" xfId="15593" xr:uid="{00000000-0005-0000-0000-00009D150000}"/>
    <cellStyle name="40% - Accent6 3 2 2 2 2 4" xfId="32462" xr:uid="{F92D5843-474E-4729-992C-80849D08F454}"/>
    <cellStyle name="40% - Accent6 3 2 2 2 3" xfId="19810" xr:uid="{00000000-0005-0000-0000-00009E150000}"/>
    <cellStyle name="40% - Accent6 3 2 2 2 3 2" xfId="36679" xr:uid="{F714A038-D001-4CE9-9C51-808DA19FB2C5}"/>
    <cellStyle name="40% - Accent6 3 2 2 2 4" xfId="11375" xr:uid="{00000000-0005-0000-0000-00009F150000}"/>
    <cellStyle name="40% - Accent6 3 2 2 2 5" xfId="28245" xr:uid="{2D402D18-AB19-442C-B759-2F02E00609FF}"/>
    <cellStyle name="40% - Accent6 3 2 2 3" xfId="5013" xr:uid="{00000000-0005-0000-0000-0000A0150000}"/>
    <cellStyle name="40% - Accent6 3 2 2 3 2" xfId="21883" xr:uid="{00000000-0005-0000-0000-0000A1150000}"/>
    <cellStyle name="40% - Accent6 3 2 2 3 2 2" xfId="38751" xr:uid="{B20D186D-CF74-4936-8358-37FF66E777C8}"/>
    <cellStyle name="40% - Accent6 3 2 2 3 3" xfId="13448" xr:uid="{00000000-0005-0000-0000-0000A2150000}"/>
    <cellStyle name="40% - Accent6 3 2 2 3 4" xfId="30317" xr:uid="{6627A088-6A39-4B8A-87A1-FF4142183D60}"/>
    <cellStyle name="40% - Accent6 3 2 2 4" xfId="17665" xr:uid="{00000000-0005-0000-0000-0000A3150000}"/>
    <cellStyle name="40% - Accent6 3 2 2 4 2" xfId="34534" xr:uid="{AEBA8082-CF12-4FD0-9189-9F17E671F685}"/>
    <cellStyle name="40% - Accent6 3 2 2 5" xfId="9230" xr:uid="{00000000-0005-0000-0000-0000A4150000}"/>
    <cellStyle name="40% - Accent6 3 2 2 6" xfId="26100" xr:uid="{FEB2CED3-2AEF-458D-B84E-2D61B7E50A3E}"/>
    <cellStyle name="40% - Accent6 3 2 3" xfId="1117" xr:uid="{00000000-0005-0000-0000-0000A5150000}"/>
    <cellStyle name="40% - Accent6 3 2 3 2" xfId="3348" xr:uid="{00000000-0005-0000-0000-0000A6150000}"/>
    <cellStyle name="40% - Accent6 3 2 3 2 2" xfId="7571" xr:uid="{00000000-0005-0000-0000-0000A7150000}"/>
    <cellStyle name="40% - Accent6 3 2 3 2 2 2" xfId="24441" xr:uid="{00000000-0005-0000-0000-0000A8150000}"/>
    <cellStyle name="40% - Accent6 3 2 3 2 2 2 2" xfId="41309" xr:uid="{32869623-F8F5-44B6-89FD-FB5F5FEDD83A}"/>
    <cellStyle name="40% - Accent6 3 2 3 2 2 3" xfId="16006" xr:uid="{00000000-0005-0000-0000-0000A9150000}"/>
    <cellStyle name="40% - Accent6 3 2 3 2 2 4" xfId="32875" xr:uid="{8E5D4E34-10F3-4EBE-9FD5-8F2223557AA7}"/>
    <cellStyle name="40% - Accent6 3 2 3 2 3" xfId="20223" xr:uid="{00000000-0005-0000-0000-0000AA150000}"/>
    <cellStyle name="40% - Accent6 3 2 3 2 3 2" xfId="37092" xr:uid="{93D542BB-A4AA-46D3-A40F-D30CB61892C8}"/>
    <cellStyle name="40% - Accent6 3 2 3 2 4" xfId="11788" xr:uid="{00000000-0005-0000-0000-0000AB150000}"/>
    <cellStyle name="40% - Accent6 3 2 3 2 5" xfId="28658" xr:uid="{D53EAC21-9AEF-49DD-B3A6-44F9279610AB}"/>
    <cellStyle name="40% - Accent6 3 2 3 3" xfId="5426" xr:uid="{00000000-0005-0000-0000-0000AC150000}"/>
    <cellStyle name="40% - Accent6 3 2 3 3 2" xfId="22296" xr:uid="{00000000-0005-0000-0000-0000AD150000}"/>
    <cellStyle name="40% - Accent6 3 2 3 3 2 2" xfId="39164" xr:uid="{20A2BCB6-BB69-4C90-9267-800CF7969D27}"/>
    <cellStyle name="40% - Accent6 3 2 3 3 3" xfId="13861" xr:uid="{00000000-0005-0000-0000-0000AE150000}"/>
    <cellStyle name="40% - Accent6 3 2 3 3 4" xfId="30730" xr:uid="{6BF24EF1-D0F6-4222-BE06-F84BDC35625E}"/>
    <cellStyle name="40% - Accent6 3 2 3 4" xfId="18078" xr:uid="{00000000-0005-0000-0000-0000AF150000}"/>
    <cellStyle name="40% - Accent6 3 2 3 4 2" xfId="34947" xr:uid="{88CD1424-68E3-4B2F-9DE9-C578345AC415}"/>
    <cellStyle name="40% - Accent6 3 2 3 5" xfId="9643" xr:uid="{00000000-0005-0000-0000-0000B0150000}"/>
    <cellStyle name="40% - Accent6 3 2 3 6" xfId="26513" xr:uid="{E38668DD-A2E9-4CA6-B120-BF35C106F7A5}"/>
    <cellStyle name="40% - Accent6 3 2 4" xfId="1531" xr:uid="{00000000-0005-0000-0000-0000B1150000}"/>
    <cellStyle name="40% - Accent6 3 2 4 2" xfId="3761" xr:uid="{00000000-0005-0000-0000-0000B2150000}"/>
    <cellStyle name="40% - Accent6 3 2 4 2 2" xfId="7984" xr:uid="{00000000-0005-0000-0000-0000B3150000}"/>
    <cellStyle name="40% - Accent6 3 2 4 2 2 2" xfId="24854" xr:uid="{00000000-0005-0000-0000-0000B4150000}"/>
    <cellStyle name="40% - Accent6 3 2 4 2 2 2 2" xfId="41722" xr:uid="{F5854EFE-2E09-4F60-A6ED-FE645C81125E}"/>
    <cellStyle name="40% - Accent6 3 2 4 2 2 3" xfId="16419" xr:uid="{00000000-0005-0000-0000-0000B5150000}"/>
    <cellStyle name="40% - Accent6 3 2 4 2 2 4" xfId="33288" xr:uid="{CD8D492A-D6D1-4E1D-A53A-50BFC0B0B749}"/>
    <cellStyle name="40% - Accent6 3 2 4 2 3" xfId="20636" xr:uid="{00000000-0005-0000-0000-0000B6150000}"/>
    <cellStyle name="40% - Accent6 3 2 4 2 3 2" xfId="37505" xr:uid="{8D0C0550-02A3-4A05-9DDE-D59B4529361B}"/>
    <cellStyle name="40% - Accent6 3 2 4 2 4" xfId="12201" xr:uid="{00000000-0005-0000-0000-0000B7150000}"/>
    <cellStyle name="40% - Accent6 3 2 4 2 5" xfId="29071" xr:uid="{7C4F715D-6466-43B4-A93A-A48C79DFBC91}"/>
    <cellStyle name="40% - Accent6 3 2 4 3" xfId="5839" xr:uid="{00000000-0005-0000-0000-0000B8150000}"/>
    <cellStyle name="40% - Accent6 3 2 4 3 2" xfId="22709" xr:uid="{00000000-0005-0000-0000-0000B9150000}"/>
    <cellStyle name="40% - Accent6 3 2 4 3 2 2" xfId="39577" xr:uid="{453216A2-58B1-4E35-B4DF-81E11E537D20}"/>
    <cellStyle name="40% - Accent6 3 2 4 3 3" xfId="14274" xr:uid="{00000000-0005-0000-0000-0000BA150000}"/>
    <cellStyle name="40% - Accent6 3 2 4 3 4" xfId="31143" xr:uid="{03788DE3-FBD0-4D8B-86B1-400D0E07E69B}"/>
    <cellStyle name="40% - Accent6 3 2 4 4" xfId="18491" xr:uid="{00000000-0005-0000-0000-0000BB150000}"/>
    <cellStyle name="40% - Accent6 3 2 4 4 2" xfId="35360" xr:uid="{D4677BDF-C27C-496B-AD84-DF1D9FC96D20}"/>
    <cellStyle name="40% - Accent6 3 2 4 5" xfId="10056" xr:uid="{00000000-0005-0000-0000-0000BC150000}"/>
    <cellStyle name="40% - Accent6 3 2 4 6" xfId="26926" xr:uid="{13499A2F-21DE-4257-BF77-613B7EC2A4D2}"/>
    <cellStyle name="40% - Accent6 3 2 5" xfId="1945" xr:uid="{00000000-0005-0000-0000-0000BD150000}"/>
    <cellStyle name="40% - Accent6 3 2 5 2" xfId="4174" xr:uid="{00000000-0005-0000-0000-0000BE150000}"/>
    <cellStyle name="40% - Accent6 3 2 5 2 2" xfId="8397" xr:uid="{00000000-0005-0000-0000-0000BF150000}"/>
    <cellStyle name="40% - Accent6 3 2 5 2 2 2" xfId="25267" xr:uid="{00000000-0005-0000-0000-0000C0150000}"/>
    <cellStyle name="40% - Accent6 3 2 5 2 2 2 2" xfId="42135" xr:uid="{8D06DD5B-CE92-4674-8458-F5C11E7B6BCC}"/>
    <cellStyle name="40% - Accent6 3 2 5 2 2 3" xfId="16832" xr:uid="{00000000-0005-0000-0000-0000C1150000}"/>
    <cellStyle name="40% - Accent6 3 2 5 2 2 4" xfId="33701" xr:uid="{02C4F858-0051-4D9D-AF83-A089E89A088E}"/>
    <cellStyle name="40% - Accent6 3 2 5 2 3" xfId="21049" xr:uid="{00000000-0005-0000-0000-0000C2150000}"/>
    <cellStyle name="40% - Accent6 3 2 5 2 3 2" xfId="37918" xr:uid="{CA33F5B3-2750-4116-B9CD-CCD56536EA53}"/>
    <cellStyle name="40% - Accent6 3 2 5 2 4" xfId="12614" xr:uid="{00000000-0005-0000-0000-0000C3150000}"/>
    <cellStyle name="40% - Accent6 3 2 5 2 5" xfId="29484" xr:uid="{E5AECA2E-69FE-4BC9-8DB2-EF7A9882D257}"/>
    <cellStyle name="40% - Accent6 3 2 5 3" xfId="6252" xr:uid="{00000000-0005-0000-0000-0000C4150000}"/>
    <cellStyle name="40% - Accent6 3 2 5 3 2" xfId="23122" xr:uid="{00000000-0005-0000-0000-0000C5150000}"/>
    <cellStyle name="40% - Accent6 3 2 5 3 2 2" xfId="39990" xr:uid="{F652CFEB-C741-4A68-8C1C-5FFCA3A66C55}"/>
    <cellStyle name="40% - Accent6 3 2 5 3 3" xfId="14687" xr:uid="{00000000-0005-0000-0000-0000C6150000}"/>
    <cellStyle name="40% - Accent6 3 2 5 3 4" xfId="31556" xr:uid="{79BA771F-CA78-4996-9362-95F5C13CFAA0}"/>
    <cellStyle name="40% - Accent6 3 2 5 4" xfId="18904" xr:uid="{00000000-0005-0000-0000-0000C7150000}"/>
    <cellStyle name="40% - Accent6 3 2 5 4 2" xfId="35773" xr:uid="{C150D671-17DC-43B0-9A7D-9D1C1C0067C8}"/>
    <cellStyle name="40% - Accent6 3 2 5 5" xfId="10469" xr:uid="{00000000-0005-0000-0000-0000C8150000}"/>
    <cellStyle name="40% - Accent6 3 2 5 6" xfId="27339" xr:uid="{8A280714-3141-4703-8451-2E61CAAF2AE1}"/>
    <cellStyle name="40% - Accent6 3 2 6" xfId="2358" xr:uid="{00000000-0005-0000-0000-0000C9150000}"/>
    <cellStyle name="40% - Accent6 3 2 6 2" xfId="6665" xr:uid="{00000000-0005-0000-0000-0000CA150000}"/>
    <cellStyle name="40% - Accent6 3 2 6 2 2" xfId="23535" xr:uid="{00000000-0005-0000-0000-0000CB150000}"/>
    <cellStyle name="40% - Accent6 3 2 6 2 2 2" xfId="40403" xr:uid="{4B9193F1-D238-4ED2-BDBC-170055D5CCD2}"/>
    <cellStyle name="40% - Accent6 3 2 6 2 3" xfId="15100" xr:uid="{00000000-0005-0000-0000-0000CC150000}"/>
    <cellStyle name="40% - Accent6 3 2 6 2 4" xfId="31969" xr:uid="{86A58F09-86DE-4078-9E19-46F5F6AFCAD9}"/>
    <cellStyle name="40% - Accent6 3 2 6 3" xfId="19317" xr:uid="{00000000-0005-0000-0000-0000CD150000}"/>
    <cellStyle name="40% - Accent6 3 2 6 3 2" xfId="36186" xr:uid="{38C9F158-007B-4E94-BF54-CD4D300973AA}"/>
    <cellStyle name="40% - Accent6 3 2 6 4" xfId="10882" xr:uid="{00000000-0005-0000-0000-0000CE150000}"/>
    <cellStyle name="40% - Accent6 3 2 6 5" xfId="27752" xr:uid="{9083B72A-6804-43C5-939D-BE97F4B55934}"/>
    <cellStyle name="40% - Accent6 3 2 7" xfId="4599" xr:uid="{00000000-0005-0000-0000-0000CF150000}"/>
    <cellStyle name="40% - Accent6 3 2 7 2" xfId="21469" xr:uid="{00000000-0005-0000-0000-0000D0150000}"/>
    <cellStyle name="40% - Accent6 3 2 7 2 2" xfId="38337" xr:uid="{626F5DE4-1B5A-4020-8B0B-5D621B798644}"/>
    <cellStyle name="40% - Accent6 3 2 7 3" xfId="13034" xr:uid="{00000000-0005-0000-0000-0000D1150000}"/>
    <cellStyle name="40% - Accent6 3 2 7 4" xfId="29903" xr:uid="{8A81BA14-2404-4696-8984-FDAE497F2815}"/>
    <cellStyle name="40% - Accent6 3 2 8" xfId="17251" xr:uid="{00000000-0005-0000-0000-0000D2150000}"/>
    <cellStyle name="40% - Accent6 3 2 8 2" xfId="34120" xr:uid="{2CBCAFA5-7652-4EF7-A7AA-470A4E0FE02C}"/>
    <cellStyle name="40% - Accent6 3 2 9" xfId="8816" xr:uid="{00000000-0005-0000-0000-0000D3150000}"/>
    <cellStyle name="40% - Accent6 3 3" xfId="663" xr:uid="{00000000-0005-0000-0000-0000D4150000}"/>
    <cellStyle name="40% - Accent6 3 3 2" xfId="2934" xr:uid="{00000000-0005-0000-0000-0000D5150000}"/>
    <cellStyle name="40% - Accent6 3 3 2 2" xfId="7157" xr:uid="{00000000-0005-0000-0000-0000D6150000}"/>
    <cellStyle name="40% - Accent6 3 3 2 2 2" xfId="24027" xr:uid="{00000000-0005-0000-0000-0000D7150000}"/>
    <cellStyle name="40% - Accent6 3 3 2 2 2 2" xfId="40895" xr:uid="{D9472D6D-EED7-489A-BA1E-8E56DAF2B373}"/>
    <cellStyle name="40% - Accent6 3 3 2 2 3" xfId="15592" xr:uid="{00000000-0005-0000-0000-0000D8150000}"/>
    <cellStyle name="40% - Accent6 3 3 2 2 4" xfId="32461" xr:uid="{D12A9A16-5E04-4CD8-93EC-D625B0BBF42A}"/>
    <cellStyle name="40% - Accent6 3 3 2 3" xfId="19809" xr:uid="{00000000-0005-0000-0000-0000D9150000}"/>
    <cellStyle name="40% - Accent6 3 3 2 3 2" xfId="36678" xr:uid="{ECC0577B-69B5-48A5-8901-B2DC17C86A5A}"/>
    <cellStyle name="40% - Accent6 3 3 2 4" xfId="11374" xr:uid="{00000000-0005-0000-0000-0000DA150000}"/>
    <cellStyle name="40% - Accent6 3 3 2 5" xfId="28244" xr:uid="{B8547991-21EC-42AD-B988-DEEA0E572EA4}"/>
    <cellStyle name="40% - Accent6 3 3 3" xfId="5012" xr:uid="{00000000-0005-0000-0000-0000DB150000}"/>
    <cellStyle name="40% - Accent6 3 3 3 2" xfId="21882" xr:uid="{00000000-0005-0000-0000-0000DC150000}"/>
    <cellStyle name="40% - Accent6 3 3 3 2 2" xfId="38750" xr:uid="{B1D1EB2F-E59C-4EBA-B02E-04232845D5BE}"/>
    <cellStyle name="40% - Accent6 3 3 3 3" xfId="13447" xr:uid="{00000000-0005-0000-0000-0000DD150000}"/>
    <cellStyle name="40% - Accent6 3 3 3 4" xfId="30316" xr:uid="{9962943A-564A-4C2D-B138-1CD983B6A466}"/>
    <cellStyle name="40% - Accent6 3 3 4" xfId="17664" xr:uid="{00000000-0005-0000-0000-0000DE150000}"/>
    <cellStyle name="40% - Accent6 3 3 4 2" xfId="34533" xr:uid="{53FFAE6E-362B-497E-AF73-09C816A7740A}"/>
    <cellStyle name="40% - Accent6 3 3 5" xfId="9229" xr:uid="{00000000-0005-0000-0000-0000DF150000}"/>
    <cellStyle name="40% - Accent6 3 3 6" xfId="26099" xr:uid="{7AF4468C-339E-454A-8BEA-EE1CC50A3457}"/>
    <cellStyle name="40% - Accent6 3 4" xfId="1116" xr:uid="{00000000-0005-0000-0000-0000E0150000}"/>
    <cellStyle name="40% - Accent6 3 4 2" xfId="3347" xr:uid="{00000000-0005-0000-0000-0000E1150000}"/>
    <cellStyle name="40% - Accent6 3 4 2 2" xfId="7570" xr:uid="{00000000-0005-0000-0000-0000E2150000}"/>
    <cellStyle name="40% - Accent6 3 4 2 2 2" xfId="24440" xr:uid="{00000000-0005-0000-0000-0000E3150000}"/>
    <cellStyle name="40% - Accent6 3 4 2 2 2 2" xfId="41308" xr:uid="{122038B5-FC2B-4F64-B598-DC96D3A20CA2}"/>
    <cellStyle name="40% - Accent6 3 4 2 2 3" xfId="16005" xr:uid="{00000000-0005-0000-0000-0000E4150000}"/>
    <cellStyle name="40% - Accent6 3 4 2 2 4" xfId="32874" xr:uid="{6E77E3AE-CA3F-4A03-B77C-95DEF4073F86}"/>
    <cellStyle name="40% - Accent6 3 4 2 3" xfId="20222" xr:uid="{00000000-0005-0000-0000-0000E5150000}"/>
    <cellStyle name="40% - Accent6 3 4 2 3 2" xfId="37091" xr:uid="{45771E27-EEC9-4735-A6E5-8E81113DE57E}"/>
    <cellStyle name="40% - Accent6 3 4 2 4" xfId="11787" xr:uid="{00000000-0005-0000-0000-0000E6150000}"/>
    <cellStyle name="40% - Accent6 3 4 2 5" xfId="28657" xr:uid="{66548023-4B8C-4442-B9C8-30C9CF177969}"/>
    <cellStyle name="40% - Accent6 3 4 3" xfId="5425" xr:uid="{00000000-0005-0000-0000-0000E7150000}"/>
    <cellStyle name="40% - Accent6 3 4 3 2" xfId="22295" xr:uid="{00000000-0005-0000-0000-0000E8150000}"/>
    <cellStyle name="40% - Accent6 3 4 3 2 2" xfId="39163" xr:uid="{FB069E88-B9D8-49EB-9965-B825F06F71D2}"/>
    <cellStyle name="40% - Accent6 3 4 3 3" xfId="13860" xr:uid="{00000000-0005-0000-0000-0000E9150000}"/>
    <cellStyle name="40% - Accent6 3 4 3 4" xfId="30729" xr:uid="{93D66C4A-FC0D-403D-BAC6-ED591CAD8AFD}"/>
    <cellStyle name="40% - Accent6 3 4 4" xfId="18077" xr:uid="{00000000-0005-0000-0000-0000EA150000}"/>
    <cellStyle name="40% - Accent6 3 4 4 2" xfId="34946" xr:uid="{3162A103-1679-460B-9951-96956D1E4371}"/>
    <cellStyle name="40% - Accent6 3 4 5" xfId="9642" xr:uid="{00000000-0005-0000-0000-0000EB150000}"/>
    <cellStyle name="40% - Accent6 3 4 6" xfId="26512" xr:uid="{910B1633-0EC6-4290-86A0-24F51E5BBC2E}"/>
    <cellStyle name="40% - Accent6 3 5" xfId="1530" xr:uid="{00000000-0005-0000-0000-0000EC150000}"/>
    <cellStyle name="40% - Accent6 3 5 2" xfId="3760" xr:uid="{00000000-0005-0000-0000-0000ED150000}"/>
    <cellStyle name="40% - Accent6 3 5 2 2" xfId="7983" xr:uid="{00000000-0005-0000-0000-0000EE150000}"/>
    <cellStyle name="40% - Accent6 3 5 2 2 2" xfId="24853" xr:uid="{00000000-0005-0000-0000-0000EF150000}"/>
    <cellStyle name="40% - Accent6 3 5 2 2 2 2" xfId="41721" xr:uid="{D0F2B803-748B-43F2-87A4-ABB00B58F660}"/>
    <cellStyle name="40% - Accent6 3 5 2 2 3" xfId="16418" xr:uid="{00000000-0005-0000-0000-0000F0150000}"/>
    <cellStyle name="40% - Accent6 3 5 2 2 4" xfId="33287" xr:uid="{5CB504C2-8E45-47C7-B868-9A3B4AAB5051}"/>
    <cellStyle name="40% - Accent6 3 5 2 3" xfId="20635" xr:uid="{00000000-0005-0000-0000-0000F1150000}"/>
    <cellStyle name="40% - Accent6 3 5 2 3 2" xfId="37504" xr:uid="{868AB737-310C-4AF4-81E5-49F1F44D1385}"/>
    <cellStyle name="40% - Accent6 3 5 2 4" xfId="12200" xr:uid="{00000000-0005-0000-0000-0000F2150000}"/>
    <cellStyle name="40% - Accent6 3 5 2 5" xfId="29070" xr:uid="{A70BE6E6-4658-48EC-A333-41C3BB28F7A8}"/>
    <cellStyle name="40% - Accent6 3 5 3" xfId="5838" xr:uid="{00000000-0005-0000-0000-0000F3150000}"/>
    <cellStyle name="40% - Accent6 3 5 3 2" xfId="22708" xr:uid="{00000000-0005-0000-0000-0000F4150000}"/>
    <cellStyle name="40% - Accent6 3 5 3 2 2" xfId="39576" xr:uid="{D20BE1CF-FEC4-463E-A842-54CD0F436804}"/>
    <cellStyle name="40% - Accent6 3 5 3 3" xfId="14273" xr:uid="{00000000-0005-0000-0000-0000F5150000}"/>
    <cellStyle name="40% - Accent6 3 5 3 4" xfId="31142" xr:uid="{7A767A69-8EB5-4C86-8DB1-9973D303A1D4}"/>
    <cellStyle name="40% - Accent6 3 5 4" xfId="18490" xr:uid="{00000000-0005-0000-0000-0000F6150000}"/>
    <cellStyle name="40% - Accent6 3 5 4 2" xfId="35359" xr:uid="{79396DA7-A851-4B74-9896-2B8A1A729F9A}"/>
    <cellStyle name="40% - Accent6 3 5 5" xfId="10055" xr:uid="{00000000-0005-0000-0000-0000F7150000}"/>
    <cellStyle name="40% - Accent6 3 5 6" xfId="26925" xr:uid="{68DA4925-E640-41A8-94CA-FD80DA40C6D9}"/>
    <cellStyle name="40% - Accent6 3 6" xfId="1944" xr:uid="{00000000-0005-0000-0000-0000F8150000}"/>
    <cellStyle name="40% - Accent6 3 6 2" xfId="4173" xr:uid="{00000000-0005-0000-0000-0000F9150000}"/>
    <cellStyle name="40% - Accent6 3 6 2 2" xfId="8396" xr:uid="{00000000-0005-0000-0000-0000FA150000}"/>
    <cellStyle name="40% - Accent6 3 6 2 2 2" xfId="25266" xr:uid="{00000000-0005-0000-0000-0000FB150000}"/>
    <cellStyle name="40% - Accent6 3 6 2 2 2 2" xfId="42134" xr:uid="{F138D942-AA9A-4C68-B2F3-0E33B18B0507}"/>
    <cellStyle name="40% - Accent6 3 6 2 2 3" xfId="16831" xr:uid="{00000000-0005-0000-0000-0000FC150000}"/>
    <cellStyle name="40% - Accent6 3 6 2 2 4" xfId="33700" xr:uid="{F8CD02C6-C082-49F9-B18D-608E59B5B65B}"/>
    <cellStyle name="40% - Accent6 3 6 2 3" xfId="21048" xr:uid="{00000000-0005-0000-0000-0000FD150000}"/>
    <cellStyle name="40% - Accent6 3 6 2 3 2" xfId="37917" xr:uid="{9A86453C-724B-4F6C-AA72-1D8138BD7E9B}"/>
    <cellStyle name="40% - Accent6 3 6 2 4" xfId="12613" xr:uid="{00000000-0005-0000-0000-0000FE150000}"/>
    <cellStyle name="40% - Accent6 3 6 2 5" xfId="29483" xr:uid="{58EFEC6F-7101-46F1-86B0-48AD02BC04AF}"/>
    <cellStyle name="40% - Accent6 3 6 3" xfId="6251" xr:uid="{00000000-0005-0000-0000-0000FF150000}"/>
    <cellStyle name="40% - Accent6 3 6 3 2" xfId="23121" xr:uid="{00000000-0005-0000-0000-000000160000}"/>
    <cellStyle name="40% - Accent6 3 6 3 2 2" xfId="39989" xr:uid="{B71AB90A-3A6C-42FD-9562-04C9A93684C5}"/>
    <cellStyle name="40% - Accent6 3 6 3 3" xfId="14686" xr:uid="{00000000-0005-0000-0000-000001160000}"/>
    <cellStyle name="40% - Accent6 3 6 3 4" xfId="31555" xr:uid="{C32DB1A1-3E6A-4181-8A5C-12DC07C8F51F}"/>
    <cellStyle name="40% - Accent6 3 6 4" xfId="18903" xr:uid="{00000000-0005-0000-0000-000002160000}"/>
    <cellStyle name="40% - Accent6 3 6 4 2" xfId="35772" xr:uid="{4CA0ECF8-86E5-408D-9B90-246A952BD99F}"/>
    <cellStyle name="40% - Accent6 3 6 5" xfId="10468" xr:uid="{00000000-0005-0000-0000-000003160000}"/>
    <cellStyle name="40% - Accent6 3 6 6" xfId="27338" xr:uid="{1EE7AB84-92CA-4CE0-B3B9-4276569FFC94}"/>
    <cellStyle name="40% - Accent6 3 7" xfId="2357" xr:uid="{00000000-0005-0000-0000-000004160000}"/>
    <cellStyle name="40% - Accent6 3 7 2" xfId="6664" xr:uid="{00000000-0005-0000-0000-000005160000}"/>
    <cellStyle name="40% - Accent6 3 7 2 2" xfId="23534" xr:uid="{00000000-0005-0000-0000-000006160000}"/>
    <cellStyle name="40% - Accent6 3 7 2 2 2" xfId="40402" xr:uid="{23855393-6F97-4E5C-B93D-8B52BA0DE2EC}"/>
    <cellStyle name="40% - Accent6 3 7 2 3" xfId="15099" xr:uid="{00000000-0005-0000-0000-000007160000}"/>
    <cellStyle name="40% - Accent6 3 7 2 4" xfId="31968" xr:uid="{E7151F75-1FD8-412E-8D41-98AB2DC23E5C}"/>
    <cellStyle name="40% - Accent6 3 7 3" xfId="19316" xr:uid="{00000000-0005-0000-0000-000008160000}"/>
    <cellStyle name="40% - Accent6 3 7 3 2" xfId="36185" xr:uid="{DBB780A7-BA8C-467A-A9B9-AA6889193E8F}"/>
    <cellStyle name="40% - Accent6 3 7 4" xfId="10881" xr:uid="{00000000-0005-0000-0000-000009160000}"/>
    <cellStyle name="40% - Accent6 3 7 5" xfId="27751" xr:uid="{0FBAB027-D9A8-4A99-9EB2-E6873F822362}"/>
    <cellStyle name="40% - Accent6 3 8" xfId="4598" xr:uid="{00000000-0005-0000-0000-00000A160000}"/>
    <cellStyle name="40% - Accent6 3 8 2" xfId="21468" xr:uid="{00000000-0005-0000-0000-00000B160000}"/>
    <cellStyle name="40% - Accent6 3 8 2 2" xfId="38336" xr:uid="{B144F917-6971-4003-AED5-220E35FA870E}"/>
    <cellStyle name="40% - Accent6 3 8 3" xfId="13033" xr:uid="{00000000-0005-0000-0000-00000C160000}"/>
    <cellStyle name="40% - Accent6 3 8 4" xfId="29902" xr:uid="{C7CD667B-65A0-43D8-B2E0-42D080771410}"/>
    <cellStyle name="40% - Accent6 3 9" xfId="17250" xr:uid="{00000000-0005-0000-0000-00000D160000}"/>
    <cellStyle name="40% - Accent6 3 9 2" xfId="34119" xr:uid="{A085E611-3023-4369-8E43-12E0FB82C18E}"/>
    <cellStyle name="40% - Accent6 4" xfId="96" xr:uid="{00000000-0005-0000-0000-00000E160000}"/>
    <cellStyle name="40% - Accent6 4 10" xfId="25687" xr:uid="{BD8DD46A-5BC9-4F10-87BB-EE0E4C3E846F}"/>
    <cellStyle name="40% - Accent6 4 2" xfId="665" xr:uid="{00000000-0005-0000-0000-00000F160000}"/>
    <cellStyle name="40% - Accent6 4 2 2" xfId="2936" xr:uid="{00000000-0005-0000-0000-000010160000}"/>
    <cellStyle name="40% - Accent6 4 2 2 2" xfId="7159" xr:uid="{00000000-0005-0000-0000-000011160000}"/>
    <cellStyle name="40% - Accent6 4 2 2 2 2" xfId="24029" xr:uid="{00000000-0005-0000-0000-000012160000}"/>
    <cellStyle name="40% - Accent6 4 2 2 2 2 2" xfId="40897" xr:uid="{E36F09AC-5500-4186-BCC7-EF71E24A0FFB}"/>
    <cellStyle name="40% - Accent6 4 2 2 2 3" xfId="15594" xr:uid="{00000000-0005-0000-0000-000013160000}"/>
    <cellStyle name="40% - Accent6 4 2 2 2 4" xfId="32463" xr:uid="{E333DCFD-9EDA-46EE-93DF-002BBE6F0968}"/>
    <cellStyle name="40% - Accent6 4 2 2 3" xfId="19811" xr:uid="{00000000-0005-0000-0000-000014160000}"/>
    <cellStyle name="40% - Accent6 4 2 2 3 2" xfId="36680" xr:uid="{ADFC9AD7-64B8-488E-898A-C4EDB226B821}"/>
    <cellStyle name="40% - Accent6 4 2 2 4" xfId="11376" xr:uid="{00000000-0005-0000-0000-000015160000}"/>
    <cellStyle name="40% - Accent6 4 2 2 5" xfId="28246" xr:uid="{3F19AC4D-BBB9-4D3D-969A-2D76B425161A}"/>
    <cellStyle name="40% - Accent6 4 2 3" xfId="5014" xr:uid="{00000000-0005-0000-0000-000016160000}"/>
    <cellStyle name="40% - Accent6 4 2 3 2" xfId="21884" xr:uid="{00000000-0005-0000-0000-000017160000}"/>
    <cellStyle name="40% - Accent6 4 2 3 2 2" xfId="38752" xr:uid="{BABED707-3BC4-4469-AAA2-D28A2322892E}"/>
    <cellStyle name="40% - Accent6 4 2 3 3" xfId="13449" xr:uid="{00000000-0005-0000-0000-000018160000}"/>
    <cellStyle name="40% - Accent6 4 2 3 4" xfId="30318" xr:uid="{C879A2AE-B3D9-46E4-B991-FD371193FDA2}"/>
    <cellStyle name="40% - Accent6 4 2 4" xfId="17666" xr:uid="{00000000-0005-0000-0000-000019160000}"/>
    <cellStyle name="40% - Accent6 4 2 4 2" xfId="34535" xr:uid="{3853CD53-A47A-46FA-9979-257500AC2940}"/>
    <cellStyle name="40% - Accent6 4 2 5" xfId="9231" xr:uid="{00000000-0005-0000-0000-00001A160000}"/>
    <cellStyle name="40% - Accent6 4 2 6" xfId="26101" xr:uid="{63F6F509-5E55-44D5-B6DD-7C4118DDA621}"/>
    <cellStyle name="40% - Accent6 4 3" xfId="1118" xr:uid="{00000000-0005-0000-0000-00001B160000}"/>
    <cellStyle name="40% - Accent6 4 3 2" xfId="3349" xr:uid="{00000000-0005-0000-0000-00001C160000}"/>
    <cellStyle name="40% - Accent6 4 3 2 2" xfId="7572" xr:uid="{00000000-0005-0000-0000-00001D160000}"/>
    <cellStyle name="40% - Accent6 4 3 2 2 2" xfId="24442" xr:uid="{00000000-0005-0000-0000-00001E160000}"/>
    <cellStyle name="40% - Accent6 4 3 2 2 2 2" xfId="41310" xr:uid="{068DBFD3-5677-45D4-A378-AAC5809AE8AE}"/>
    <cellStyle name="40% - Accent6 4 3 2 2 3" xfId="16007" xr:uid="{00000000-0005-0000-0000-00001F160000}"/>
    <cellStyle name="40% - Accent6 4 3 2 2 4" xfId="32876" xr:uid="{4F8A2A67-A38E-432D-B1A1-CA5D6B62CA61}"/>
    <cellStyle name="40% - Accent6 4 3 2 3" xfId="20224" xr:uid="{00000000-0005-0000-0000-000020160000}"/>
    <cellStyle name="40% - Accent6 4 3 2 3 2" xfId="37093" xr:uid="{F6E8A9DD-FBFD-49BF-878F-14C14437D6E0}"/>
    <cellStyle name="40% - Accent6 4 3 2 4" xfId="11789" xr:uid="{00000000-0005-0000-0000-000021160000}"/>
    <cellStyle name="40% - Accent6 4 3 2 5" xfId="28659" xr:uid="{18AF0C75-161D-48B4-8F29-2425A106F0E2}"/>
    <cellStyle name="40% - Accent6 4 3 3" xfId="5427" xr:uid="{00000000-0005-0000-0000-000022160000}"/>
    <cellStyle name="40% - Accent6 4 3 3 2" xfId="22297" xr:uid="{00000000-0005-0000-0000-000023160000}"/>
    <cellStyle name="40% - Accent6 4 3 3 2 2" xfId="39165" xr:uid="{15927755-A936-482B-B8CC-3144691E0F84}"/>
    <cellStyle name="40% - Accent6 4 3 3 3" xfId="13862" xr:uid="{00000000-0005-0000-0000-000024160000}"/>
    <cellStyle name="40% - Accent6 4 3 3 4" xfId="30731" xr:uid="{75E9F2B2-DF56-490C-B837-075804FB77BF}"/>
    <cellStyle name="40% - Accent6 4 3 4" xfId="18079" xr:uid="{00000000-0005-0000-0000-000025160000}"/>
    <cellStyle name="40% - Accent6 4 3 4 2" xfId="34948" xr:uid="{5194D80D-209A-45BC-AC9E-0A913B8C5E48}"/>
    <cellStyle name="40% - Accent6 4 3 5" xfId="9644" xr:uid="{00000000-0005-0000-0000-000026160000}"/>
    <cellStyle name="40% - Accent6 4 3 6" xfId="26514" xr:uid="{DE0C327E-2B10-4113-B92F-048EC523DF4E}"/>
    <cellStyle name="40% - Accent6 4 4" xfId="1532" xr:uid="{00000000-0005-0000-0000-000027160000}"/>
    <cellStyle name="40% - Accent6 4 4 2" xfId="3762" xr:uid="{00000000-0005-0000-0000-000028160000}"/>
    <cellStyle name="40% - Accent6 4 4 2 2" xfId="7985" xr:uid="{00000000-0005-0000-0000-000029160000}"/>
    <cellStyle name="40% - Accent6 4 4 2 2 2" xfId="24855" xr:uid="{00000000-0005-0000-0000-00002A160000}"/>
    <cellStyle name="40% - Accent6 4 4 2 2 2 2" xfId="41723" xr:uid="{4627CF4A-B505-430E-B219-EA9D897A603E}"/>
    <cellStyle name="40% - Accent6 4 4 2 2 3" xfId="16420" xr:uid="{00000000-0005-0000-0000-00002B160000}"/>
    <cellStyle name="40% - Accent6 4 4 2 2 4" xfId="33289" xr:uid="{0451A7F8-CAD1-40E7-A226-5D93C624F42D}"/>
    <cellStyle name="40% - Accent6 4 4 2 3" xfId="20637" xr:uid="{00000000-0005-0000-0000-00002C160000}"/>
    <cellStyle name="40% - Accent6 4 4 2 3 2" xfId="37506" xr:uid="{0163D89D-4120-479F-84CC-2CD5E5F31A1B}"/>
    <cellStyle name="40% - Accent6 4 4 2 4" xfId="12202" xr:uid="{00000000-0005-0000-0000-00002D160000}"/>
    <cellStyle name="40% - Accent6 4 4 2 5" xfId="29072" xr:uid="{1E7501AB-987B-43D7-B853-53365BCA8E47}"/>
    <cellStyle name="40% - Accent6 4 4 3" xfId="5840" xr:uid="{00000000-0005-0000-0000-00002E160000}"/>
    <cellStyle name="40% - Accent6 4 4 3 2" xfId="22710" xr:uid="{00000000-0005-0000-0000-00002F160000}"/>
    <cellStyle name="40% - Accent6 4 4 3 2 2" xfId="39578" xr:uid="{D10707FE-91A0-4325-A6ED-4AA340F9FB20}"/>
    <cellStyle name="40% - Accent6 4 4 3 3" xfId="14275" xr:uid="{00000000-0005-0000-0000-000030160000}"/>
    <cellStyle name="40% - Accent6 4 4 3 4" xfId="31144" xr:uid="{7249BF91-D1F1-4BF2-809C-56920CFE9E8D}"/>
    <cellStyle name="40% - Accent6 4 4 4" xfId="18492" xr:uid="{00000000-0005-0000-0000-000031160000}"/>
    <cellStyle name="40% - Accent6 4 4 4 2" xfId="35361" xr:uid="{DFC7AEDF-E078-4A2E-B6AB-76C5C3681A07}"/>
    <cellStyle name="40% - Accent6 4 4 5" xfId="10057" xr:uid="{00000000-0005-0000-0000-000032160000}"/>
    <cellStyle name="40% - Accent6 4 4 6" xfId="26927" xr:uid="{7C2A61AD-0613-4DBE-A616-FF73528D4635}"/>
    <cellStyle name="40% - Accent6 4 5" xfId="1946" xr:uid="{00000000-0005-0000-0000-000033160000}"/>
    <cellStyle name="40% - Accent6 4 5 2" xfId="4175" xr:uid="{00000000-0005-0000-0000-000034160000}"/>
    <cellStyle name="40% - Accent6 4 5 2 2" xfId="8398" xr:uid="{00000000-0005-0000-0000-000035160000}"/>
    <cellStyle name="40% - Accent6 4 5 2 2 2" xfId="25268" xr:uid="{00000000-0005-0000-0000-000036160000}"/>
    <cellStyle name="40% - Accent6 4 5 2 2 2 2" xfId="42136" xr:uid="{7D2CCE47-46E9-410F-B073-4F31D9C88EAD}"/>
    <cellStyle name="40% - Accent6 4 5 2 2 3" xfId="16833" xr:uid="{00000000-0005-0000-0000-000037160000}"/>
    <cellStyle name="40% - Accent6 4 5 2 2 4" xfId="33702" xr:uid="{B4BAF9EA-65F3-4F4E-83D1-FBF06DA529D0}"/>
    <cellStyle name="40% - Accent6 4 5 2 3" xfId="21050" xr:uid="{00000000-0005-0000-0000-000038160000}"/>
    <cellStyle name="40% - Accent6 4 5 2 3 2" xfId="37919" xr:uid="{C9D5D715-00E7-4892-A0E1-E4E71EBFAE49}"/>
    <cellStyle name="40% - Accent6 4 5 2 4" xfId="12615" xr:uid="{00000000-0005-0000-0000-000039160000}"/>
    <cellStyle name="40% - Accent6 4 5 2 5" xfId="29485" xr:uid="{95346B98-15CF-4BDB-A1BA-BB9E19FD5F70}"/>
    <cellStyle name="40% - Accent6 4 5 3" xfId="6253" xr:uid="{00000000-0005-0000-0000-00003A160000}"/>
    <cellStyle name="40% - Accent6 4 5 3 2" xfId="23123" xr:uid="{00000000-0005-0000-0000-00003B160000}"/>
    <cellStyle name="40% - Accent6 4 5 3 2 2" xfId="39991" xr:uid="{D321B9FE-65E6-4A32-97F4-D907921998B2}"/>
    <cellStyle name="40% - Accent6 4 5 3 3" xfId="14688" xr:uid="{00000000-0005-0000-0000-00003C160000}"/>
    <cellStyle name="40% - Accent6 4 5 3 4" xfId="31557" xr:uid="{720E32FF-9A08-414C-B0D8-0C05D53A4A58}"/>
    <cellStyle name="40% - Accent6 4 5 4" xfId="18905" xr:uid="{00000000-0005-0000-0000-00003D160000}"/>
    <cellStyle name="40% - Accent6 4 5 4 2" xfId="35774" xr:uid="{2E5E42C2-379B-41B9-906C-CEC7313ECB02}"/>
    <cellStyle name="40% - Accent6 4 5 5" xfId="10470" xr:uid="{00000000-0005-0000-0000-00003E160000}"/>
    <cellStyle name="40% - Accent6 4 5 6" xfId="27340" xr:uid="{E6E87AB4-EFC5-47BB-86CA-7988A2D8BD1D}"/>
    <cellStyle name="40% - Accent6 4 6" xfId="2359" xr:uid="{00000000-0005-0000-0000-00003F160000}"/>
    <cellStyle name="40% - Accent6 4 6 2" xfId="6666" xr:uid="{00000000-0005-0000-0000-000040160000}"/>
    <cellStyle name="40% - Accent6 4 6 2 2" xfId="23536" xr:uid="{00000000-0005-0000-0000-000041160000}"/>
    <cellStyle name="40% - Accent6 4 6 2 2 2" xfId="40404" xr:uid="{A74A2BF5-06D6-48FF-AF0B-908C95D76C36}"/>
    <cellStyle name="40% - Accent6 4 6 2 3" xfId="15101" xr:uid="{00000000-0005-0000-0000-000042160000}"/>
    <cellStyle name="40% - Accent6 4 6 2 4" xfId="31970" xr:uid="{136B3F39-0BE0-4815-85D1-99C8A7438F59}"/>
    <cellStyle name="40% - Accent6 4 6 3" xfId="19318" xr:uid="{00000000-0005-0000-0000-000043160000}"/>
    <cellStyle name="40% - Accent6 4 6 3 2" xfId="36187" xr:uid="{ED6AFF31-8C0F-490F-81E3-5DE3A13FCC08}"/>
    <cellStyle name="40% - Accent6 4 6 4" xfId="10883" xr:uid="{00000000-0005-0000-0000-000044160000}"/>
    <cellStyle name="40% - Accent6 4 6 5" xfId="27753" xr:uid="{BB2C8BC3-7AF0-4752-A968-29F4BB545291}"/>
    <cellStyle name="40% - Accent6 4 7" xfId="4600" xr:uid="{00000000-0005-0000-0000-000045160000}"/>
    <cellStyle name="40% - Accent6 4 7 2" xfId="21470" xr:uid="{00000000-0005-0000-0000-000046160000}"/>
    <cellStyle name="40% - Accent6 4 7 2 2" xfId="38338" xr:uid="{044DFCB2-4646-4BF3-B66C-64856FE5F78E}"/>
    <cellStyle name="40% - Accent6 4 7 3" xfId="13035" xr:uid="{00000000-0005-0000-0000-000047160000}"/>
    <cellStyle name="40% - Accent6 4 7 4" xfId="29904" xr:uid="{7EAE5E1B-CE8B-460B-AD47-4DE7DF6EBAE8}"/>
    <cellStyle name="40% - Accent6 4 8" xfId="17252" xr:uid="{00000000-0005-0000-0000-000048160000}"/>
    <cellStyle name="40% - Accent6 4 8 2" xfId="34121" xr:uid="{BDF9E036-390B-411B-BBFC-C742058B87CE}"/>
    <cellStyle name="40% - Accent6 4 9" xfId="8817" xr:uid="{00000000-0005-0000-0000-000049160000}"/>
    <cellStyle name="40% - Accent6 5" xfId="658" xr:uid="{00000000-0005-0000-0000-00004A160000}"/>
    <cellStyle name="40% - Accent6 5 2" xfId="2929" xr:uid="{00000000-0005-0000-0000-00004B160000}"/>
    <cellStyle name="40% - Accent6 5 2 2" xfId="7152" xr:uid="{00000000-0005-0000-0000-00004C160000}"/>
    <cellStyle name="40% - Accent6 5 2 2 2" xfId="24022" xr:uid="{00000000-0005-0000-0000-00004D160000}"/>
    <cellStyle name="40% - Accent6 5 2 2 2 2" xfId="40890" xr:uid="{EED4CECA-1D29-46B3-92D4-FAECA72F12F7}"/>
    <cellStyle name="40% - Accent6 5 2 2 3" xfId="15587" xr:uid="{00000000-0005-0000-0000-00004E160000}"/>
    <cellStyle name="40% - Accent6 5 2 2 4" xfId="32456" xr:uid="{4B43492E-CFD2-46A3-A92D-042DAC7277C9}"/>
    <cellStyle name="40% - Accent6 5 2 3" xfId="19804" xr:uid="{00000000-0005-0000-0000-00004F160000}"/>
    <cellStyle name="40% - Accent6 5 2 3 2" xfId="36673" xr:uid="{292AC9BB-E6B2-4907-91AD-66AF2059920B}"/>
    <cellStyle name="40% - Accent6 5 2 4" xfId="11369" xr:uid="{00000000-0005-0000-0000-000050160000}"/>
    <cellStyle name="40% - Accent6 5 2 5" xfId="28239" xr:uid="{2121E886-6D0B-4718-80F1-8A99F76287B2}"/>
    <cellStyle name="40% - Accent6 5 3" xfId="5007" xr:uid="{00000000-0005-0000-0000-000051160000}"/>
    <cellStyle name="40% - Accent6 5 3 2" xfId="21877" xr:uid="{00000000-0005-0000-0000-000052160000}"/>
    <cellStyle name="40% - Accent6 5 3 2 2" xfId="38745" xr:uid="{2CCA53D0-6BAF-4564-B02E-60FE9F49B916}"/>
    <cellStyle name="40% - Accent6 5 3 3" xfId="13442" xr:uid="{00000000-0005-0000-0000-000053160000}"/>
    <cellStyle name="40% - Accent6 5 3 4" xfId="30311" xr:uid="{D58C2EDB-F4E3-4C95-897D-C9C4B80B2DBA}"/>
    <cellStyle name="40% - Accent6 5 4" xfId="17659" xr:uid="{00000000-0005-0000-0000-000054160000}"/>
    <cellStyle name="40% - Accent6 5 4 2" xfId="34528" xr:uid="{53EDC5E1-BEEB-4C09-9B87-0F1A5AFCD49F}"/>
    <cellStyle name="40% - Accent6 5 5" xfId="9224" xr:uid="{00000000-0005-0000-0000-000055160000}"/>
    <cellStyle name="40% - Accent6 5 6" xfId="26094" xr:uid="{57F7E136-FFAB-4111-BF64-ED352402C285}"/>
    <cellStyle name="40% - Accent6 6" xfId="1111" xr:uid="{00000000-0005-0000-0000-000056160000}"/>
    <cellStyle name="40% - Accent6 6 2" xfId="3342" xr:uid="{00000000-0005-0000-0000-000057160000}"/>
    <cellStyle name="40% - Accent6 6 2 2" xfId="7565" xr:uid="{00000000-0005-0000-0000-000058160000}"/>
    <cellStyle name="40% - Accent6 6 2 2 2" xfId="24435" xr:uid="{00000000-0005-0000-0000-000059160000}"/>
    <cellStyle name="40% - Accent6 6 2 2 2 2" xfId="41303" xr:uid="{5211C868-8C9C-4CF1-9B17-E9B728FB1E2E}"/>
    <cellStyle name="40% - Accent6 6 2 2 3" xfId="16000" xr:uid="{00000000-0005-0000-0000-00005A160000}"/>
    <cellStyle name="40% - Accent6 6 2 2 4" xfId="32869" xr:uid="{DA957163-6B3B-4110-8315-B8195413A4B4}"/>
    <cellStyle name="40% - Accent6 6 2 3" xfId="20217" xr:uid="{00000000-0005-0000-0000-00005B160000}"/>
    <cellStyle name="40% - Accent6 6 2 3 2" xfId="37086" xr:uid="{CD3EBE20-0042-42D3-BD60-8A953B8467C5}"/>
    <cellStyle name="40% - Accent6 6 2 4" xfId="11782" xr:uid="{00000000-0005-0000-0000-00005C160000}"/>
    <cellStyle name="40% - Accent6 6 2 5" xfId="28652" xr:uid="{57476716-6D14-4986-ACF0-E5BA172B07BA}"/>
    <cellStyle name="40% - Accent6 6 3" xfId="5420" xr:uid="{00000000-0005-0000-0000-00005D160000}"/>
    <cellStyle name="40% - Accent6 6 3 2" xfId="22290" xr:uid="{00000000-0005-0000-0000-00005E160000}"/>
    <cellStyle name="40% - Accent6 6 3 2 2" xfId="39158" xr:uid="{DE1D49C2-935B-4B77-9CF9-53C24DA6F028}"/>
    <cellStyle name="40% - Accent6 6 3 3" xfId="13855" xr:uid="{00000000-0005-0000-0000-00005F160000}"/>
    <cellStyle name="40% - Accent6 6 3 4" xfId="30724" xr:uid="{8766703A-64EA-40BC-AF3F-4E9A19CBB650}"/>
    <cellStyle name="40% - Accent6 6 4" xfId="18072" xr:uid="{00000000-0005-0000-0000-000060160000}"/>
    <cellStyle name="40% - Accent6 6 4 2" xfId="34941" xr:uid="{59073C6F-666C-4990-843F-2F7CD1896DE4}"/>
    <cellStyle name="40% - Accent6 6 5" xfId="9637" xr:uid="{00000000-0005-0000-0000-000061160000}"/>
    <cellStyle name="40% - Accent6 6 6" xfId="26507" xr:uid="{B3D4E9B6-FFCC-4205-BA17-A6C4E7110468}"/>
    <cellStyle name="40% - Accent6 7" xfId="1525" xr:uid="{00000000-0005-0000-0000-000062160000}"/>
    <cellStyle name="40% - Accent6 7 2" xfId="3755" xr:uid="{00000000-0005-0000-0000-000063160000}"/>
    <cellStyle name="40% - Accent6 7 2 2" xfId="7978" xr:uid="{00000000-0005-0000-0000-000064160000}"/>
    <cellStyle name="40% - Accent6 7 2 2 2" xfId="24848" xr:uid="{00000000-0005-0000-0000-000065160000}"/>
    <cellStyle name="40% - Accent6 7 2 2 2 2" xfId="41716" xr:uid="{7846B1E6-92A8-4438-9718-0CCE136F35EC}"/>
    <cellStyle name="40% - Accent6 7 2 2 3" xfId="16413" xr:uid="{00000000-0005-0000-0000-000066160000}"/>
    <cellStyle name="40% - Accent6 7 2 2 4" xfId="33282" xr:uid="{28B23042-E23E-4324-8828-128C1C85A187}"/>
    <cellStyle name="40% - Accent6 7 2 3" xfId="20630" xr:uid="{00000000-0005-0000-0000-000067160000}"/>
    <cellStyle name="40% - Accent6 7 2 3 2" xfId="37499" xr:uid="{496D3439-A314-4927-988C-D95B010084AB}"/>
    <cellStyle name="40% - Accent6 7 2 4" xfId="12195" xr:uid="{00000000-0005-0000-0000-000068160000}"/>
    <cellStyle name="40% - Accent6 7 2 5" xfId="29065" xr:uid="{9747BCBF-7F74-4936-8F0C-A3F465EFF35D}"/>
    <cellStyle name="40% - Accent6 7 3" xfId="5833" xr:uid="{00000000-0005-0000-0000-000069160000}"/>
    <cellStyle name="40% - Accent6 7 3 2" xfId="22703" xr:uid="{00000000-0005-0000-0000-00006A160000}"/>
    <cellStyle name="40% - Accent6 7 3 2 2" xfId="39571" xr:uid="{29BD765E-97A9-4DC7-9146-276E3E9F16B6}"/>
    <cellStyle name="40% - Accent6 7 3 3" xfId="14268" xr:uid="{00000000-0005-0000-0000-00006B160000}"/>
    <cellStyle name="40% - Accent6 7 3 4" xfId="31137" xr:uid="{F4CDB87D-0AD7-4066-8B9B-9A509284B8E0}"/>
    <cellStyle name="40% - Accent6 7 4" xfId="18485" xr:uid="{00000000-0005-0000-0000-00006C160000}"/>
    <cellStyle name="40% - Accent6 7 4 2" xfId="35354" xr:uid="{B5B1440E-6219-4E35-8CC2-1453FB1AEA6A}"/>
    <cellStyle name="40% - Accent6 7 5" xfId="10050" xr:uid="{00000000-0005-0000-0000-00006D160000}"/>
    <cellStyle name="40% - Accent6 7 6" xfId="26920" xr:uid="{450450F0-C122-4BD6-AFEB-3CE3AB9DC27E}"/>
    <cellStyle name="40% - Accent6 8" xfId="1939" xr:uid="{00000000-0005-0000-0000-00006E160000}"/>
    <cellStyle name="40% - Accent6 8 2" xfId="4168" xr:uid="{00000000-0005-0000-0000-00006F160000}"/>
    <cellStyle name="40% - Accent6 8 2 2" xfId="8391" xr:uid="{00000000-0005-0000-0000-000070160000}"/>
    <cellStyle name="40% - Accent6 8 2 2 2" xfId="25261" xr:uid="{00000000-0005-0000-0000-000071160000}"/>
    <cellStyle name="40% - Accent6 8 2 2 2 2" xfId="42129" xr:uid="{FF4F03A7-AEC3-48E6-B332-8BACE5FCC32A}"/>
    <cellStyle name="40% - Accent6 8 2 2 3" xfId="16826" xr:uid="{00000000-0005-0000-0000-000072160000}"/>
    <cellStyle name="40% - Accent6 8 2 2 4" xfId="33695" xr:uid="{41AE3CF8-CE1C-4723-8B69-1B45BA7C6517}"/>
    <cellStyle name="40% - Accent6 8 2 3" xfId="21043" xr:uid="{00000000-0005-0000-0000-000073160000}"/>
    <cellStyle name="40% - Accent6 8 2 3 2" xfId="37912" xr:uid="{228BFD79-01CA-4FFB-BAC3-27959EDC0F2E}"/>
    <cellStyle name="40% - Accent6 8 2 4" xfId="12608" xr:uid="{00000000-0005-0000-0000-000074160000}"/>
    <cellStyle name="40% - Accent6 8 2 5" xfId="29478" xr:uid="{047650F9-CB6D-4880-851C-BBD217F1E3E7}"/>
    <cellStyle name="40% - Accent6 8 3" xfId="6246" xr:uid="{00000000-0005-0000-0000-000075160000}"/>
    <cellStyle name="40% - Accent6 8 3 2" xfId="23116" xr:uid="{00000000-0005-0000-0000-000076160000}"/>
    <cellStyle name="40% - Accent6 8 3 2 2" xfId="39984" xr:uid="{8C50DB0F-53AA-485F-9DD0-F66CAE4527F2}"/>
    <cellStyle name="40% - Accent6 8 3 3" xfId="14681" xr:uid="{00000000-0005-0000-0000-000077160000}"/>
    <cellStyle name="40% - Accent6 8 3 4" xfId="31550" xr:uid="{89F55D51-1767-44A0-B2F1-3AC365569B2B}"/>
    <cellStyle name="40% - Accent6 8 4" xfId="18898" xr:uid="{00000000-0005-0000-0000-000078160000}"/>
    <cellStyle name="40% - Accent6 8 4 2" xfId="35767" xr:uid="{1A0A5233-0543-437D-A6CF-5E90C59DB5BB}"/>
    <cellStyle name="40% - Accent6 8 5" xfId="10463" xr:uid="{00000000-0005-0000-0000-000079160000}"/>
    <cellStyle name="40% - Accent6 8 6" xfId="27333" xr:uid="{B9E4497B-3159-4989-A72E-11DE55EB5713}"/>
    <cellStyle name="40% - Accent6 9" xfId="2352" xr:uid="{00000000-0005-0000-0000-00007A160000}"/>
    <cellStyle name="40% - Accent6 9 2" xfId="6659" xr:uid="{00000000-0005-0000-0000-00007B160000}"/>
    <cellStyle name="40% - Accent6 9 2 2" xfId="23529" xr:uid="{00000000-0005-0000-0000-00007C160000}"/>
    <cellStyle name="40% - Accent6 9 2 2 2" xfId="40397" xr:uid="{44980527-CFD7-4170-A100-9A37B94CBE57}"/>
    <cellStyle name="40% - Accent6 9 2 3" xfId="15094" xr:uid="{00000000-0005-0000-0000-00007D160000}"/>
    <cellStyle name="40% - Accent6 9 2 4" xfId="31963" xr:uid="{9F229327-7157-4524-A554-B4F101453FBD}"/>
    <cellStyle name="40% - Accent6 9 3" xfId="19311" xr:uid="{00000000-0005-0000-0000-00007E160000}"/>
    <cellStyle name="40% - Accent6 9 3 2" xfId="36180" xr:uid="{363E29DF-B55D-4BDF-9BEE-D299A9F89741}"/>
    <cellStyle name="40% - Accent6 9 4" xfId="10876" xr:uid="{00000000-0005-0000-0000-00007F160000}"/>
    <cellStyle name="40% - Accent6 9 5" xfId="27746" xr:uid="{EEAA62E0-7654-40BD-90EE-28CF45D464BD}"/>
    <cellStyle name="60% - Accent1" xfId="97" builtinId="32" customBuiltin="1"/>
    <cellStyle name="60% - Accent1 2" xfId="98" xr:uid="{00000000-0005-0000-0000-000081160000}"/>
    <cellStyle name="60% - Accent2" xfId="99" builtinId="36" customBuiltin="1"/>
    <cellStyle name="60% - Accent3" xfId="100" builtinId="40" customBuiltin="1"/>
    <cellStyle name="60% - Accent3 2" xfId="101" xr:uid="{00000000-0005-0000-0000-000084160000}"/>
    <cellStyle name="60% - Accent4" xfId="102" builtinId="44" customBuiltin="1"/>
    <cellStyle name="60% - Accent4 2" xfId="103" xr:uid="{00000000-0005-0000-0000-000086160000}"/>
    <cellStyle name="60% - Accent5" xfId="104" builtinId="48" customBuiltin="1"/>
    <cellStyle name="60% - Accent6" xfId="105" builtinId="52" customBuiltin="1"/>
    <cellStyle name="60% - Accent6 2" xfId="106" xr:uid="{00000000-0005-0000-0000-000089160000}"/>
    <cellStyle name="Accent1" xfId="107" builtinId="29" customBuiltin="1"/>
    <cellStyle name="Accent1 2" xfId="108" xr:uid="{00000000-0005-0000-0000-00008B160000}"/>
    <cellStyle name="Accent2" xfId="109" builtinId="33" customBuiltin="1"/>
    <cellStyle name="Accent2 2" xfId="110" xr:uid="{00000000-0005-0000-0000-00008D160000}"/>
    <cellStyle name="Accent3" xfId="111" builtinId="37" customBuiltin="1"/>
    <cellStyle name="Accent3 2" xfId="112" xr:uid="{00000000-0005-0000-0000-00008F160000}"/>
    <cellStyle name="Accent4" xfId="113" builtinId="41" customBuiltin="1"/>
    <cellStyle name="Accent4 2" xfId="114" xr:uid="{00000000-0005-0000-0000-000091160000}"/>
    <cellStyle name="Accent5" xfId="115" builtinId="45" customBuiltin="1"/>
    <cellStyle name="Accent6" xfId="116" builtinId="49" customBuiltin="1"/>
    <cellStyle name="Bad" xfId="117" builtinId="27" customBuiltin="1"/>
    <cellStyle name="Bad 2" xfId="118" xr:uid="{00000000-0005-0000-0000-000095160000}"/>
    <cellStyle name="Calculation" xfId="119" builtinId="22" customBuiltin="1"/>
    <cellStyle name="Calculation 2" xfId="120" xr:uid="{00000000-0005-0000-0000-000097160000}"/>
    <cellStyle name="Check Cell" xfId="121" builtinId="23" customBuiltin="1"/>
    <cellStyle name="Comma" xfId="4504" builtinId="3"/>
    <cellStyle name="Comma 2" xfId="122" xr:uid="{00000000-0005-0000-0000-00009A160000}"/>
    <cellStyle name="Comma 2 2" xfId="123" xr:uid="{00000000-0005-0000-0000-00009B160000}"/>
    <cellStyle name="Comma 3" xfId="124" xr:uid="{00000000-0005-0000-0000-00009C160000}"/>
    <cellStyle name="Comma 4" xfId="125" xr:uid="{00000000-0005-0000-0000-00009D160000}"/>
    <cellStyle name="Comma 4 2" xfId="126" xr:uid="{00000000-0005-0000-0000-00009E160000}"/>
    <cellStyle name="Comma 4 2 2" xfId="127" xr:uid="{00000000-0005-0000-0000-00009F160000}"/>
    <cellStyle name="Comma 4 2 2 2" xfId="128" xr:uid="{00000000-0005-0000-0000-0000A0160000}"/>
    <cellStyle name="Comma 4 2 2 2 10" xfId="2760" xr:uid="{00000000-0005-0000-0000-0000A1160000}"/>
    <cellStyle name="Comma 4 2 2 2 10 2" xfId="6984" xr:uid="{00000000-0005-0000-0000-0000A2160000}"/>
    <cellStyle name="Comma 4 2 2 2 10 2 2" xfId="23854" xr:uid="{00000000-0005-0000-0000-0000A3160000}"/>
    <cellStyle name="Comma 4 2 2 2 10 2 2 2" xfId="40722" xr:uid="{86A6146C-3879-4F81-9EC9-A85600FBD704}"/>
    <cellStyle name="Comma 4 2 2 2 10 2 3" xfId="15419" xr:uid="{00000000-0005-0000-0000-0000A4160000}"/>
    <cellStyle name="Comma 4 2 2 2 10 2 4" xfId="32288" xr:uid="{E826B4A4-FDFE-4227-A39A-297A12B7B845}"/>
    <cellStyle name="Comma 4 2 2 2 10 3" xfId="19636" xr:uid="{00000000-0005-0000-0000-0000A5160000}"/>
    <cellStyle name="Comma 4 2 2 2 10 3 2" xfId="36505" xr:uid="{44A8F05E-E155-4431-9E82-8D1258E0B2B0}"/>
    <cellStyle name="Comma 4 2 2 2 10 4" xfId="11201" xr:uid="{00000000-0005-0000-0000-0000A6160000}"/>
    <cellStyle name="Comma 4 2 2 2 10 5" xfId="28071" xr:uid="{2376E232-D1FD-45F1-8463-A11B5B08B337}"/>
    <cellStyle name="Comma 4 2 2 2 11" xfId="4601" xr:uid="{00000000-0005-0000-0000-0000A7160000}"/>
    <cellStyle name="Comma 4 2 2 2 11 2" xfId="21471" xr:uid="{00000000-0005-0000-0000-0000A8160000}"/>
    <cellStyle name="Comma 4 2 2 2 11 2 2" xfId="38339" xr:uid="{B48ADB31-5051-4124-BC34-CA5BCEBF7121}"/>
    <cellStyle name="Comma 4 2 2 2 11 3" xfId="13036" xr:uid="{00000000-0005-0000-0000-0000A9160000}"/>
    <cellStyle name="Comma 4 2 2 2 11 4" xfId="29905" xr:uid="{B7D5AF5A-A02C-42F4-880F-21C304FE55CB}"/>
    <cellStyle name="Comma 4 2 2 2 12" xfId="17253" xr:uid="{00000000-0005-0000-0000-0000AA160000}"/>
    <cellStyle name="Comma 4 2 2 2 12 2" xfId="34122" xr:uid="{716B9900-F708-4860-A631-63BECB39E4DD}"/>
    <cellStyle name="Comma 4 2 2 2 13" xfId="8818" xr:uid="{00000000-0005-0000-0000-0000AB160000}"/>
    <cellStyle name="Comma 4 2 2 2 14" xfId="25688" xr:uid="{6E4FE556-3BF3-4B96-B8EF-65F34FAFC332}"/>
    <cellStyle name="Comma 4 2 2 2 2" xfId="129" xr:uid="{00000000-0005-0000-0000-0000AC160000}"/>
    <cellStyle name="Comma 4 2 2 2 2 10" xfId="4602" xr:uid="{00000000-0005-0000-0000-0000AD160000}"/>
    <cellStyle name="Comma 4 2 2 2 2 10 2" xfId="21472" xr:uid="{00000000-0005-0000-0000-0000AE160000}"/>
    <cellStyle name="Comma 4 2 2 2 2 10 2 2" xfId="38340" xr:uid="{FE56F638-36F2-43BC-A8C8-FCAD9D589A4F}"/>
    <cellStyle name="Comma 4 2 2 2 2 10 3" xfId="13037" xr:uid="{00000000-0005-0000-0000-0000AF160000}"/>
    <cellStyle name="Comma 4 2 2 2 2 10 4" xfId="29906" xr:uid="{C6A55DD3-97DD-4A5B-842D-2B4FB2CF49E2}"/>
    <cellStyle name="Comma 4 2 2 2 2 11" xfId="17254" xr:uid="{00000000-0005-0000-0000-0000B0160000}"/>
    <cellStyle name="Comma 4 2 2 2 2 11 2" xfId="34123" xr:uid="{1141CCA2-2E40-405A-AD6F-05D4CFA82E08}"/>
    <cellStyle name="Comma 4 2 2 2 2 12" xfId="8819" xr:uid="{00000000-0005-0000-0000-0000B1160000}"/>
    <cellStyle name="Comma 4 2 2 2 2 13" xfId="25689" xr:uid="{54C269A3-BEC4-4151-8AE6-236ADDAD2C4A}"/>
    <cellStyle name="Comma 4 2 2 2 2 2" xfId="130" xr:uid="{00000000-0005-0000-0000-0000B2160000}"/>
    <cellStyle name="Comma 4 2 2 2 2 2 10" xfId="17255" xr:uid="{00000000-0005-0000-0000-0000B3160000}"/>
    <cellStyle name="Comma 4 2 2 2 2 2 10 2" xfId="34124" xr:uid="{B4BB4E6A-2695-449B-8115-7C6943694E90}"/>
    <cellStyle name="Comma 4 2 2 2 2 2 11" xfId="8820" xr:uid="{00000000-0005-0000-0000-0000B4160000}"/>
    <cellStyle name="Comma 4 2 2 2 2 2 12" xfId="25690" xr:uid="{71AD8B77-2174-4F75-AE54-FB177A9B8C1B}"/>
    <cellStyle name="Comma 4 2 2 2 2 2 2" xfId="668" xr:uid="{00000000-0005-0000-0000-0000B5160000}"/>
    <cellStyle name="Comma 4 2 2 2 2 2 2 2" xfId="2939" xr:uid="{00000000-0005-0000-0000-0000B6160000}"/>
    <cellStyle name="Comma 4 2 2 2 2 2 2 2 2" xfId="7162" xr:uid="{00000000-0005-0000-0000-0000B7160000}"/>
    <cellStyle name="Comma 4 2 2 2 2 2 2 2 2 2" xfId="24032" xr:uid="{00000000-0005-0000-0000-0000B8160000}"/>
    <cellStyle name="Comma 4 2 2 2 2 2 2 2 2 2 2" xfId="40900" xr:uid="{7BB2755B-C56F-43DA-AB4D-00A5F4C9C05F}"/>
    <cellStyle name="Comma 4 2 2 2 2 2 2 2 2 3" xfId="15597" xr:uid="{00000000-0005-0000-0000-0000B9160000}"/>
    <cellStyle name="Comma 4 2 2 2 2 2 2 2 2 4" xfId="32466" xr:uid="{12272D9E-7284-4985-83FB-8686B9322F40}"/>
    <cellStyle name="Comma 4 2 2 2 2 2 2 2 3" xfId="19814" xr:uid="{00000000-0005-0000-0000-0000BA160000}"/>
    <cellStyle name="Comma 4 2 2 2 2 2 2 2 3 2" xfId="36683" xr:uid="{C12F4A11-D1B0-4558-A938-27F8572032C1}"/>
    <cellStyle name="Comma 4 2 2 2 2 2 2 2 4" xfId="11379" xr:uid="{00000000-0005-0000-0000-0000BB160000}"/>
    <cellStyle name="Comma 4 2 2 2 2 2 2 2 5" xfId="28249" xr:uid="{C4125869-A865-4849-9B8B-F7577CEDD843}"/>
    <cellStyle name="Comma 4 2 2 2 2 2 2 3" xfId="5017" xr:uid="{00000000-0005-0000-0000-0000BC160000}"/>
    <cellStyle name="Comma 4 2 2 2 2 2 2 3 2" xfId="21887" xr:uid="{00000000-0005-0000-0000-0000BD160000}"/>
    <cellStyle name="Comma 4 2 2 2 2 2 2 3 2 2" xfId="38755" xr:uid="{F1492480-66BB-4761-850F-6C692F6931F9}"/>
    <cellStyle name="Comma 4 2 2 2 2 2 2 3 3" xfId="13452" xr:uid="{00000000-0005-0000-0000-0000BE160000}"/>
    <cellStyle name="Comma 4 2 2 2 2 2 2 3 4" xfId="30321" xr:uid="{4FAD70FD-0BD5-41D9-9687-FBBEBE02CFAA}"/>
    <cellStyle name="Comma 4 2 2 2 2 2 2 4" xfId="17669" xr:uid="{00000000-0005-0000-0000-0000BF160000}"/>
    <cellStyle name="Comma 4 2 2 2 2 2 2 4 2" xfId="34538" xr:uid="{4278A206-F3FB-4906-8516-C41752DEC769}"/>
    <cellStyle name="Comma 4 2 2 2 2 2 2 5" xfId="9234" xr:uid="{00000000-0005-0000-0000-0000C0160000}"/>
    <cellStyle name="Comma 4 2 2 2 2 2 2 6" xfId="26104" xr:uid="{EC81E137-A0B3-409E-9DEC-88988697E509}"/>
    <cellStyle name="Comma 4 2 2 2 2 2 3" xfId="1121" xr:uid="{00000000-0005-0000-0000-0000C1160000}"/>
    <cellStyle name="Comma 4 2 2 2 2 2 3 2" xfId="3352" xr:uid="{00000000-0005-0000-0000-0000C2160000}"/>
    <cellStyle name="Comma 4 2 2 2 2 2 3 2 2" xfId="7575" xr:uid="{00000000-0005-0000-0000-0000C3160000}"/>
    <cellStyle name="Comma 4 2 2 2 2 2 3 2 2 2" xfId="24445" xr:uid="{00000000-0005-0000-0000-0000C4160000}"/>
    <cellStyle name="Comma 4 2 2 2 2 2 3 2 2 2 2" xfId="41313" xr:uid="{232E1E22-EDA9-4C4C-B756-8D846C5D4B6E}"/>
    <cellStyle name="Comma 4 2 2 2 2 2 3 2 2 3" xfId="16010" xr:uid="{00000000-0005-0000-0000-0000C5160000}"/>
    <cellStyle name="Comma 4 2 2 2 2 2 3 2 2 4" xfId="32879" xr:uid="{930A9AC6-1735-4E88-B3FF-14B1D07CDE79}"/>
    <cellStyle name="Comma 4 2 2 2 2 2 3 2 3" xfId="20227" xr:uid="{00000000-0005-0000-0000-0000C6160000}"/>
    <cellStyle name="Comma 4 2 2 2 2 2 3 2 3 2" xfId="37096" xr:uid="{C16CFF77-BB8B-49CF-9D6B-B2B8A52AF0DC}"/>
    <cellStyle name="Comma 4 2 2 2 2 2 3 2 4" xfId="11792" xr:uid="{00000000-0005-0000-0000-0000C7160000}"/>
    <cellStyle name="Comma 4 2 2 2 2 2 3 2 5" xfId="28662" xr:uid="{60397984-6313-4256-B0C0-3364834D6FF5}"/>
    <cellStyle name="Comma 4 2 2 2 2 2 3 3" xfId="5430" xr:uid="{00000000-0005-0000-0000-0000C8160000}"/>
    <cellStyle name="Comma 4 2 2 2 2 2 3 3 2" xfId="22300" xr:uid="{00000000-0005-0000-0000-0000C9160000}"/>
    <cellStyle name="Comma 4 2 2 2 2 2 3 3 2 2" xfId="39168" xr:uid="{73714C6E-EC30-4814-A558-20BF5A4D4F36}"/>
    <cellStyle name="Comma 4 2 2 2 2 2 3 3 3" xfId="13865" xr:uid="{00000000-0005-0000-0000-0000CA160000}"/>
    <cellStyle name="Comma 4 2 2 2 2 2 3 3 4" xfId="30734" xr:uid="{5ABE3CA1-FC36-4133-B995-3BA2615AD827}"/>
    <cellStyle name="Comma 4 2 2 2 2 2 3 4" xfId="18082" xr:uid="{00000000-0005-0000-0000-0000CB160000}"/>
    <cellStyle name="Comma 4 2 2 2 2 2 3 4 2" xfId="34951" xr:uid="{ACE273BA-F70B-48DF-B845-77526C9C89DA}"/>
    <cellStyle name="Comma 4 2 2 2 2 2 3 5" xfId="9647" xr:uid="{00000000-0005-0000-0000-0000CC160000}"/>
    <cellStyle name="Comma 4 2 2 2 2 2 3 6" xfId="26517" xr:uid="{30419F4B-3B4E-402D-B6BB-C1B8CBE1B313}"/>
    <cellStyle name="Comma 4 2 2 2 2 2 4" xfId="1535" xr:uid="{00000000-0005-0000-0000-0000CD160000}"/>
    <cellStyle name="Comma 4 2 2 2 2 2 4 2" xfId="3765" xr:uid="{00000000-0005-0000-0000-0000CE160000}"/>
    <cellStyle name="Comma 4 2 2 2 2 2 4 2 2" xfId="7988" xr:uid="{00000000-0005-0000-0000-0000CF160000}"/>
    <cellStyle name="Comma 4 2 2 2 2 2 4 2 2 2" xfId="24858" xr:uid="{00000000-0005-0000-0000-0000D0160000}"/>
    <cellStyle name="Comma 4 2 2 2 2 2 4 2 2 2 2" xfId="41726" xr:uid="{71A9AC0A-D24B-474B-A0DC-F67B7CF215FB}"/>
    <cellStyle name="Comma 4 2 2 2 2 2 4 2 2 3" xfId="16423" xr:uid="{00000000-0005-0000-0000-0000D1160000}"/>
    <cellStyle name="Comma 4 2 2 2 2 2 4 2 2 4" xfId="33292" xr:uid="{D084AA43-0ECF-4321-89F2-EE70F9273F47}"/>
    <cellStyle name="Comma 4 2 2 2 2 2 4 2 3" xfId="20640" xr:uid="{00000000-0005-0000-0000-0000D2160000}"/>
    <cellStyle name="Comma 4 2 2 2 2 2 4 2 3 2" xfId="37509" xr:uid="{5D0D2859-B1C0-4379-9AB4-1B8F3D925B3F}"/>
    <cellStyle name="Comma 4 2 2 2 2 2 4 2 4" xfId="12205" xr:uid="{00000000-0005-0000-0000-0000D3160000}"/>
    <cellStyle name="Comma 4 2 2 2 2 2 4 2 5" xfId="29075" xr:uid="{FEFAFA4F-94A5-45BE-AEDF-B355F90198F9}"/>
    <cellStyle name="Comma 4 2 2 2 2 2 4 3" xfId="5843" xr:uid="{00000000-0005-0000-0000-0000D4160000}"/>
    <cellStyle name="Comma 4 2 2 2 2 2 4 3 2" xfId="22713" xr:uid="{00000000-0005-0000-0000-0000D5160000}"/>
    <cellStyle name="Comma 4 2 2 2 2 2 4 3 2 2" xfId="39581" xr:uid="{4C335CF1-5BD5-408F-AACA-5B376FF1DCE4}"/>
    <cellStyle name="Comma 4 2 2 2 2 2 4 3 3" xfId="14278" xr:uid="{00000000-0005-0000-0000-0000D6160000}"/>
    <cellStyle name="Comma 4 2 2 2 2 2 4 3 4" xfId="31147" xr:uid="{53C802E6-93D2-498D-A382-4943CD92024B}"/>
    <cellStyle name="Comma 4 2 2 2 2 2 4 4" xfId="18495" xr:uid="{00000000-0005-0000-0000-0000D7160000}"/>
    <cellStyle name="Comma 4 2 2 2 2 2 4 4 2" xfId="35364" xr:uid="{29530546-FE20-41D7-8A40-36E5F8696130}"/>
    <cellStyle name="Comma 4 2 2 2 2 2 4 5" xfId="10060" xr:uid="{00000000-0005-0000-0000-0000D8160000}"/>
    <cellStyle name="Comma 4 2 2 2 2 2 4 6" xfId="26930" xr:uid="{0EA03273-7B21-4C20-8491-89CA7A5D0982}"/>
    <cellStyle name="Comma 4 2 2 2 2 2 5" xfId="1949" xr:uid="{00000000-0005-0000-0000-0000D9160000}"/>
    <cellStyle name="Comma 4 2 2 2 2 2 5 2" xfId="4178" xr:uid="{00000000-0005-0000-0000-0000DA160000}"/>
    <cellStyle name="Comma 4 2 2 2 2 2 5 2 2" xfId="8401" xr:uid="{00000000-0005-0000-0000-0000DB160000}"/>
    <cellStyle name="Comma 4 2 2 2 2 2 5 2 2 2" xfId="25271" xr:uid="{00000000-0005-0000-0000-0000DC160000}"/>
    <cellStyle name="Comma 4 2 2 2 2 2 5 2 2 2 2" xfId="42139" xr:uid="{5259FD50-299B-498B-9800-F81FE305D07C}"/>
    <cellStyle name="Comma 4 2 2 2 2 2 5 2 2 3" xfId="16836" xr:uid="{00000000-0005-0000-0000-0000DD160000}"/>
    <cellStyle name="Comma 4 2 2 2 2 2 5 2 2 4" xfId="33705" xr:uid="{93151B62-E49C-4DF0-AC34-5251924288E8}"/>
    <cellStyle name="Comma 4 2 2 2 2 2 5 2 3" xfId="21053" xr:uid="{00000000-0005-0000-0000-0000DE160000}"/>
    <cellStyle name="Comma 4 2 2 2 2 2 5 2 3 2" xfId="37922" xr:uid="{831208A5-C0AD-4BA6-982E-55B2412952CE}"/>
    <cellStyle name="Comma 4 2 2 2 2 2 5 2 4" xfId="12618" xr:uid="{00000000-0005-0000-0000-0000DF160000}"/>
    <cellStyle name="Comma 4 2 2 2 2 2 5 2 5" xfId="29488" xr:uid="{39C2CC20-2E1B-441A-8812-18B044D116F6}"/>
    <cellStyle name="Comma 4 2 2 2 2 2 5 3" xfId="6256" xr:uid="{00000000-0005-0000-0000-0000E0160000}"/>
    <cellStyle name="Comma 4 2 2 2 2 2 5 3 2" xfId="23126" xr:uid="{00000000-0005-0000-0000-0000E1160000}"/>
    <cellStyle name="Comma 4 2 2 2 2 2 5 3 2 2" xfId="39994" xr:uid="{007BD43A-5DB5-41AC-85F9-6CF683ADC4DD}"/>
    <cellStyle name="Comma 4 2 2 2 2 2 5 3 3" xfId="14691" xr:uid="{00000000-0005-0000-0000-0000E2160000}"/>
    <cellStyle name="Comma 4 2 2 2 2 2 5 3 4" xfId="31560" xr:uid="{AE78A837-1B4C-4844-9074-03195C7FED9C}"/>
    <cellStyle name="Comma 4 2 2 2 2 2 5 4" xfId="18908" xr:uid="{00000000-0005-0000-0000-0000E3160000}"/>
    <cellStyle name="Comma 4 2 2 2 2 2 5 4 2" xfId="35777" xr:uid="{F18ED37D-F135-44E9-BB05-B78AF2E5F614}"/>
    <cellStyle name="Comma 4 2 2 2 2 2 5 5" xfId="10473" xr:uid="{00000000-0005-0000-0000-0000E4160000}"/>
    <cellStyle name="Comma 4 2 2 2 2 2 5 6" xfId="27343" xr:uid="{DAC4D0AC-C111-48E7-9237-9F977E05FAB8}"/>
    <cellStyle name="Comma 4 2 2 2 2 2 6" xfId="2384" xr:uid="{00000000-0005-0000-0000-0000E5160000}"/>
    <cellStyle name="Comma 4 2 2 2 2 2 6 2" xfId="6669" xr:uid="{00000000-0005-0000-0000-0000E6160000}"/>
    <cellStyle name="Comma 4 2 2 2 2 2 6 2 2" xfId="23539" xr:uid="{00000000-0005-0000-0000-0000E7160000}"/>
    <cellStyle name="Comma 4 2 2 2 2 2 6 2 2 2" xfId="40407" xr:uid="{34F3BB61-6DC3-4665-98AB-5342F33E46FC}"/>
    <cellStyle name="Comma 4 2 2 2 2 2 6 2 3" xfId="15104" xr:uid="{00000000-0005-0000-0000-0000E8160000}"/>
    <cellStyle name="Comma 4 2 2 2 2 2 6 2 4" xfId="31973" xr:uid="{872E6213-62B6-46E5-95D3-0ED2DDA3BE33}"/>
    <cellStyle name="Comma 4 2 2 2 2 2 6 3" xfId="19321" xr:uid="{00000000-0005-0000-0000-0000E9160000}"/>
    <cellStyle name="Comma 4 2 2 2 2 2 6 3 2" xfId="36190" xr:uid="{E24C126E-FCCD-4EFE-9990-6C5AEE7FF9CF}"/>
    <cellStyle name="Comma 4 2 2 2 2 2 6 4" xfId="10886" xr:uid="{00000000-0005-0000-0000-0000EA160000}"/>
    <cellStyle name="Comma 4 2 2 2 2 2 6 5" xfId="27756" xr:uid="{23654B27-D5DE-418B-B2DA-BA44BB6EEF96}"/>
    <cellStyle name="Comma 4 2 2 2 2 2 7" xfId="2379" xr:uid="{00000000-0005-0000-0000-0000EB160000}"/>
    <cellStyle name="Comma 4 2 2 2 2 2 8" xfId="2762" xr:uid="{00000000-0005-0000-0000-0000EC160000}"/>
    <cellStyle name="Comma 4 2 2 2 2 2 8 2" xfId="6986" xr:uid="{00000000-0005-0000-0000-0000ED160000}"/>
    <cellStyle name="Comma 4 2 2 2 2 2 8 2 2" xfId="23856" xr:uid="{00000000-0005-0000-0000-0000EE160000}"/>
    <cellStyle name="Comma 4 2 2 2 2 2 8 2 2 2" xfId="40724" xr:uid="{EECC80FC-038F-47CD-98FB-D8D8D78F26D2}"/>
    <cellStyle name="Comma 4 2 2 2 2 2 8 2 3" xfId="15421" xr:uid="{00000000-0005-0000-0000-0000EF160000}"/>
    <cellStyle name="Comma 4 2 2 2 2 2 8 2 4" xfId="32290" xr:uid="{9CA79EA3-DF59-4E01-B8D1-8C4178BA82B6}"/>
    <cellStyle name="Comma 4 2 2 2 2 2 8 3" xfId="19638" xr:uid="{00000000-0005-0000-0000-0000F0160000}"/>
    <cellStyle name="Comma 4 2 2 2 2 2 8 3 2" xfId="36507" xr:uid="{FA1B4BD8-6467-488B-8783-8C9E8712934E}"/>
    <cellStyle name="Comma 4 2 2 2 2 2 8 4" xfId="11203" xr:uid="{00000000-0005-0000-0000-0000F1160000}"/>
    <cellStyle name="Comma 4 2 2 2 2 2 8 5" xfId="28073" xr:uid="{D6DC78FE-BF7D-4708-9E09-1DAE52B008DB}"/>
    <cellStyle name="Comma 4 2 2 2 2 2 9" xfId="4603" xr:uid="{00000000-0005-0000-0000-0000F2160000}"/>
    <cellStyle name="Comma 4 2 2 2 2 2 9 2" xfId="21473" xr:uid="{00000000-0005-0000-0000-0000F3160000}"/>
    <cellStyle name="Comma 4 2 2 2 2 2 9 2 2" xfId="38341" xr:uid="{81E267CB-7512-4A40-A98A-B8131BC44DBB}"/>
    <cellStyle name="Comma 4 2 2 2 2 2 9 3" xfId="13038" xr:uid="{00000000-0005-0000-0000-0000F4160000}"/>
    <cellStyle name="Comma 4 2 2 2 2 2 9 4" xfId="29907" xr:uid="{CC99730B-6BA6-45EA-862A-2DEA0761CDDB}"/>
    <cellStyle name="Comma 4 2 2 2 2 3" xfId="667" xr:uid="{00000000-0005-0000-0000-0000F5160000}"/>
    <cellStyle name="Comma 4 2 2 2 2 3 2" xfId="2938" xr:uid="{00000000-0005-0000-0000-0000F6160000}"/>
    <cellStyle name="Comma 4 2 2 2 2 3 2 2" xfId="7161" xr:uid="{00000000-0005-0000-0000-0000F7160000}"/>
    <cellStyle name="Comma 4 2 2 2 2 3 2 2 2" xfId="24031" xr:uid="{00000000-0005-0000-0000-0000F8160000}"/>
    <cellStyle name="Comma 4 2 2 2 2 3 2 2 2 2" xfId="40899" xr:uid="{37FE1687-22FE-4151-BB6D-ACAD0ED87140}"/>
    <cellStyle name="Comma 4 2 2 2 2 3 2 2 3" xfId="15596" xr:uid="{00000000-0005-0000-0000-0000F9160000}"/>
    <cellStyle name="Comma 4 2 2 2 2 3 2 2 4" xfId="32465" xr:uid="{93BCB39D-2953-461A-8D3D-32ACEFBD8DC9}"/>
    <cellStyle name="Comma 4 2 2 2 2 3 2 3" xfId="19813" xr:uid="{00000000-0005-0000-0000-0000FA160000}"/>
    <cellStyle name="Comma 4 2 2 2 2 3 2 3 2" xfId="36682" xr:uid="{94D10BE2-92E3-4896-BFB3-9573D2FCE3F2}"/>
    <cellStyle name="Comma 4 2 2 2 2 3 2 4" xfId="11378" xr:uid="{00000000-0005-0000-0000-0000FB160000}"/>
    <cellStyle name="Comma 4 2 2 2 2 3 2 5" xfId="28248" xr:uid="{8276282B-9745-44B6-B15F-889D1E87025B}"/>
    <cellStyle name="Comma 4 2 2 2 2 3 3" xfId="5016" xr:uid="{00000000-0005-0000-0000-0000FC160000}"/>
    <cellStyle name="Comma 4 2 2 2 2 3 3 2" xfId="21886" xr:uid="{00000000-0005-0000-0000-0000FD160000}"/>
    <cellStyle name="Comma 4 2 2 2 2 3 3 2 2" xfId="38754" xr:uid="{1E985C54-9C01-427F-955E-3D14B37EF8E1}"/>
    <cellStyle name="Comma 4 2 2 2 2 3 3 3" xfId="13451" xr:uid="{00000000-0005-0000-0000-0000FE160000}"/>
    <cellStyle name="Comma 4 2 2 2 2 3 3 4" xfId="30320" xr:uid="{8BB2F35D-E2CE-4F28-ADD5-37ACB8C4C7C0}"/>
    <cellStyle name="Comma 4 2 2 2 2 3 4" xfId="17668" xr:uid="{00000000-0005-0000-0000-0000FF160000}"/>
    <cellStyle name="Comma 4 2 2 2 2 3 4 2" xfId="34537" xr:uid="{DDA0BA21-7C74-4E75-8A86-C6567EBF4FA2}"/>
    <cellStyle name="Comma 4 2 2 2 2 3 5" xfId="9233" xr:uid="{00000000-0005-0000-0000-000000170000}"/>
    <cellStyle name="Comma 4 2 2 2 2 3 6" xfId="26103" xr:uid="{627B5C36-06BD-42D1-A167-2FDEA94FF112}"/>
    <cellStyle name="Comma 4 2 2 2 2 4" xfId="1120" xr:uid="{00000000-0005-0000-0000-000001170000}"/>
    <cellStyle name="Comma 4 2 2 2 2 4 2" xfId="3351" xr:uid="{00000000-0005-0000-0000-000002170000}"/>
    <cellStyle name="Comma 4 2 2 2 2 4 2 2" xfId="7574" xr:uid="{00000000-0005-0000-0000-000003170000}"/>
    <cellStyle name="Comma 4 2 2 2 2 4 2 2 2" xfId="24444" xr:uid="{00000000-0005-0000-0000-000004170000}"/>
    <cellStyle name="Comma 4 2 2 2 2 4 2 2 2 2" xfId="41312" xr:uid="{5E8906BB-07C2-45ED-A562-2CF948D6D337}"/>
    <cellStyle name="Comma 4 2 2 2 2 4 2 2 3" xfId="16009" xr:uid="{00000000-0005-0000-0000-000005170000}"/>
    <cellStyle name="Comma 4 2 2 2 2 4 2 2 4" xfId="32878" xr:uid="{EA8B3F10-70F7-4039-B8F3-6C84DD883903}"/>
    <cellStyle name="Comma 4 2 2 2 2 4 2 3" xfId="20226" xr:uid="{00000000-0005-0000-0000-000006170000}"/>
    <cellStyle name="Comma 4 2 2 2 2 4 2 3 2" xfId="37095" xr:uid="{171CFE2E-E9B4-4111-8016-F7C6C5D86E81}"/>
    <cellStyle name="Comma 4 2 2 2 2 4 2 4" xfId="11791" xr:uid="{00000000-0005-0000-0000-000007170000}"/>
    <cellStyle name="Comma 4 2 2 2 2 4 2 5" xfId="28661" xr:uid="{A63BEF92-F312-4C96-A1A5-5420C4245187}"/>
    <cellStyle name="Comma 4 2 2 2 2 4 3" xfId="5429" xr:uid="{00000000-0005-0000-0000-000008170000}"/>
    <cellStyle name="Comma 4 2 2 2 2 4 3 2" xfId="22299" xr:uid="{00000000-0005-0000-0000-000009170000}"/>
    <cellStyle name="Comma 4 2 2 2 2 4 3 2 2" xfId="39167" xr:uid="{C4D0DFD3-2B52-4381-8715-446E01FDB7F1}"/>
    <cellStyle name="Comma 4 2 2 2 2 4 3 3" xfId="13864" xr:uid="{00000000-0005-0000-0000-00000A170000}"/>
    <cellStyle name="Comma 4 2 2 2 2 4 3 4" xfId="30733" xr:uid="{B643EF9A-F244-48E7-82FC-2D055B9657E7}"/>
    <cellStyle name="Comma 4 2 2 2 2 4 4" xfId="18081" xr:uid="{00000000-0005-0000-0000-00000B170000}"/>
    <cellStyle name="Comma 4 2 2 2 2 4 4 2" xfId="34950" xr:uid="{D20B2293-7D4A-4A64-94FE-B562E7EF3211}"/>
    <cellStyle name="Comma 4 2 2 2 2 4 5" xfId="9646" xr:uid="{00000000-0005-0000-0000-00000C170000}"/>
    <cellStyle name="Comma 4 2 2 2 2 4 6" xfId="26516" xr:uid="{09685662-E0A7-4F1C-8A38-6647C59D2293}"/>
    <cellStyle name="Comma 4 2 2 2 2 5" xfId="1534" xr:uid="{00000000-0005-0000-0000-00000D170000}"/>
    <cellStyle name="Comma 4 2 2 2 2 5 2" xfId="3764" xr:uid="{00000000-0005-0000-0000-00000E170000}"/>
    <cellStyle name="Comma 4 2 2 2 2 5 2 2" xfId="7987" xr:uid="{00000000-0005-0000-0000-00000F170000}"/>
    <cellStyle name="Comma 4 2 2 2 2 5 2 2 2" xfId="24857" xr:uid="{00000000-0005-0000-0000-000010170000}"/>
    <cellStyle name="Comma 4 2 2 2 2 5 2 2 2 2" xfId="41725" xr:uid="{B3673E7C-156D-4AC4-9E77-D4FCBFA4706E}"/>
    <cellStyle name="Comma 4 2 2 2 2 5 2 2 3" xfId="16422" xr:uid="{00000000-0005-0000-0000-000011170000}"/>
    <cellStyle name="Comma 4 2 2 2 2 5 2 2 4" xfId="33291" xr:uid="{0003D884-5AE7-4B66-ADC1-2F3F337714CA}"/>
    <cellStyle name="Comma 4 2 2 2 2 5 2 3" xfId="20639" xr:uid="{00000000-0005-0000-0000-000012170000}"/>
    <cellStyle name="Comma 4 2 2 2 2 5 2 3 2" xfId="37508" xr:uid="{B5F6FC31-A26D-46EC-9883-00A94E7D9DB3}"/>
    <cellStyle name="Comma 4 2 2 2 2 5 2 4" xfId="12204" xr:uid="{00000000-0005-0000-0000-000013170000}"/>
    <cellStyle name="Comma 4 2 2 2 2 5 2 5" xfId="29074" xr:uid="{1E13F748-0076-4929-8208-C5AD62A62A04}"/>
    <cellStyle name="Comma 4 2 2 2 2 5 3" xfId="5842" xr:uid="{00000000-0005-0000-0000-000014170000}"/>
    <cellStyle name="Comma 4 2 2 2 2 5 3 2" xfId="22712" xr:uid="{00000000-0005-0000-0000-000015170000}"/>
    <cellStyle name="Comma 4 2 2 2 2 5 3 2 2" xfId="39580" xr:uid="{A029A8EE-24BA-4C03-96CC-49A9598F7FE5}"/>
    <cellStyle name="Comma 4 2 2 2 2 5 3 3" xfId="14277" xr:uid="{00000000-0005-0000-0000-000016170000}"/>
    <cellStyle name="Comma 4 2 2 2 2 5 3 4" xfId="31146" xr:uid="{2C411B94-6B11-4201-8604-E6FC8548FDB3}"/>
    <cellStyle name="Comma 4 2 2 2 2 5 4" xfId="18494" xr:uid="{00000000-0005-0000-0000-000017170000}"/>
    <cellStyle name="Comma 4 2 2 2 2 5 4 2" xfId="35363" xr:uid="{935FAF93-1FDB-4F1E-89B7-1F4ED807A3E3}"/>
    <cellStyle name="Comma 4 2 2 2 2 5 5" xfId="10059" xr:uid="{00000000-0005-0000-0000-000018170000}"/>
    <cellStyle name="Comma 4 2 2 2 2 5 6" xfId="26929" xr:uid="{02010828-77BB-4F15-B461-B172A2A47279}"/>
    <cellStyle name="Comma 4 2 2 2 2 6" xfId="1948" xr:uid="{00000000-0005-0000-0000-000019170000}"/>
    <cellStyle name="Comma 4 2 2 2 2 6 2" xfId="4177" xr:uid="{00000000-0005-0000-0000-00001A170000}"/>
    <cellStyle name="Comma 4 2 2 2 2 6 2 2" xfId="8400" xr:uid="{00000000-0005-0000-0000-00001B170000}"/>
    <cellStyle name="Comma 4 2 2 2 2 6 2 2 2" xfId="25270" xr:uid="{00000000-0005-0000-0000-00001C170000}"/>
    <cellStyle name="Comma 4 2 2 2 2 6 2 2 2 2" xfId="42138" xr:uid="{92A1063E-0B7A-4D02-9F0D-2BDAB6F7AEEB}"/>
    <cellStyle name="Comma 4 2 2 2 2 6 2 2 3" xfId="16835" xr:uid="{00000000-0005-0000-0000-00001D170000}"/>
    <cellStyle name="Comma 4 2 2 2 2 6 2 2 4" xfId="33704" xr:uid="{D7200DCB-F45A-4290-B762-D7BA2D28FFA0}"/>
    <cellStyle name="Comma 4 2 2 2 2 6 2 3" xfId="21052" xr:uid="{00000000-0005-0000-0000-00001E170000}"/>
    <cellStyle name="Comma 4 2 2 2 2 6 2 3 2" xfId="37921" xr:uid="{3897F43E-7979-4DBB-B934-20B256CEEEC0}"/>
    <cellStyle name="Comma 4 2 2 2 2 6 2 4" xfId="12617" xr:uid="{00000000-0005-0000-0000-00001F170000}"/>
    <cellStyle name="Comma 4 2 2 2 2 6 2 5" xfId="29487" xr:uid="{469994AF-444D-4E4B-9B42-C71C50E5612A}"/>
    <cellStyle name="Comma 4 2 2 2 2 6 3" xfId="6255" xr:uid="{00000000-0005-0000-0000-000020170000}"/>
    <cellStyle name="Comma 4 2 2 2 2 6 3 2" xfId="23125" xr:uid="{00000000-0005-0000-0000-000021170000}"/>
    <cellStyle name="Comma 4 2 2 2 2 6 3 2 2" xfId="39993" xr:uid="{71F6A038-399F-4D17-81DE-BEB1537D623A}"/>
    <cellStyle name="Comma 4 2 2 2 2 6 3 3" xfId="14690" xr:uid="{00000000-0005-0000-0000-000022170000}"/>
    <cellStyle name="Comma 4 2 2 2 2 6 3 4" xfId="31559" xr:uid="{623F6A65-A7A3-47A9-82F9-3ABD8AC04A4D}"/>
    <cellStyle name="Comma 4 2 2 2 2 6 4" xfId="18907" xr:uid="{00000000-0005-0000-0000-000023170000}"/>
    <cellStyle name="Comma 4 2 2 2 2 6 4 2" xfId="35776" xr:uid="{4C3EC0A2-9E8A-4CFB-A03B-9F8768A19130}"/>
    <cellStyle name="Comma 4 2 2 2 2 6 5" xfId="10472" xr:uid="{00000000-0005-0000-0000-000024170000}"/>
    <cellStyle name="Comma 4 2 2 2 2 6 6" xfId="27342" xr:uid="{44D31E65-740A-428A-9DDC-44299FE9E2B6}"/>
    <cellStyle name="Comma 4 2 2 2 2 7" xfId="2383" xr:uid="{00000000-0005-0000-0000-000025170000}"/>
    <cellStyle name="Comma 4 2 2 2 2 7 2" xfId="6668" xr:uid="{00000000-0005-0000-0000-000026170000}"/>
    <cellStyle name="Comma 4 2 2 2 2 7 2 2" xfId="23538" xr:uid="{00000000-0005-0000-0000-000027170000}"/>
    <cellStyle name="Comma 4 2 2 2 2 7 2 2 2" xfId="40406" xr:uid="{224CF352-F88F-4EB4-920E-0182CE274710}"/>
    <cellStyle name="Comma 4 2 2 2 2 7 2 3" xfId="15103" xr:uid="{00000000-0005-0000-0000-000028170000}"/>
    <cellStyle name="Comma 4 2 2 2 2 7 2 4" xfId="31972" xr:uid="{35F30088-0A7E-4BD2-A889-0A03AD9095A1}"/>
    <cellStyle name="Comma 4 2 2 2 2 7 3" xfId="19320" xr:uid="{00000000-0005-0000-0000-000029170000}"/>
    <cellStyle name="Comma 4 2 2 2 2 7 3 2" xfId="36189" xr:uid="{97A6AC9C-D859-4650-8841-1ADB52CB313F}"/>
    <cellStyle name="Comma 4 2 2 2 2 7 4" xfId="10885" xr:uid="{00000000-0005-0000-0000-00002A170000}"/>
    <cellStyle name="Comma 4 2 2 2 2 7 5" xfId="27755" xr:uid="{2CE10997-A779-4F31-BDBA-36662F84D44A}"/>
    <cellStyle name="Comma 4 2 2 2 2 8" xfId="2380" xr:uid="{00000000-0005-0000-0000-00002B170000}"/>
    <cellStyle name="Comma 4 2 2 2 2 9" xfId="2761" xr:uid="{00000000-0005-0000-0000-00002C170000}"/>
    <cellStyle name="Comma 4 2 2 2 2 9 2" xfId="6985" xr:uid="{00000000-0005-0000-0000-00002D170000}"/>
    <cellStyle name="Comma 4 2 2 2 2 9 2 2" xfId="23855" xr:uid="{00000000-0005-0000-0000-00002E170000}"/>
    <cellStyle name="Comma 4 2 2 2 2 9 2 2 2" xfId="40723" xr:uid="{C5238753-585F-44BE-91EC-0A39B3B74079}"/>
    <cellStyle name="Comma 4 2 2 2 2 9 2 3" xfId="15420" xr:uid="{00000000-0005-0000-0000-00002F170000}"/>
    <cellStyle name="Comma 4 2 2 2 2 9 2 4" xfId="32289" xr:uid="{664F9753-45DA-45B7-A035-8BA239F2E499}"/>
    <cellStyle name="Comma 4 2 2 2 2 9 3" xfId="19637" xr:uid="{00000000-0005-0000-0000-000030170000}"/>
    <cellStyle name="Comma 4 2 2 2 2 9 3 2" xfId="36506" xr:uid="{EE950B5E-7B20-40DF-96AE-22F0EEDEA724}"/>
    <cellStyle name="Comma 4 2 2 2 2 9 4" xfId="11202" xr:uid="{00000000-0005-0000-0000-000031170000}"/>
    <cellStyle name="Comma 4 2 2 2 2 9 5" xfId="28072" xr:uid="{AB911BF4-1679-411E-94F2-778F65AFD91A}"/>
    <cellStyle name="Comma 4 2 2 2 3" xfId="131" xr:uid="{00000000-0005-0000-0000-000032170000}"/>
    <cellStyle name="Comma 4 2 2 2 3 10" xfId="17256" xr:uid="{00000000-0005-0000-0000-000033170000}"/>
    <cellStyle name="Comma 4 2 2 2 3 10 2" xfId="34125" xr:uid="{6A658C68-5BB0-4A4C-897B-2A583E00D20B}"/>
    <cellStyle name="Comma 4 2 2 2 3 11" xfId="8821" xr:uid="{00000000-0005-0000-0000-000034170000}"/>
    <cellStyle name="Comma 4 2 2 2 3 12" xfId="25691" xr:uid="{25F5396D-A662-4078-850B-EAF477929E9F}"/>
    <cellStyle name="Comma 4 2 2 2 3 2" xfId="669" xr:uid="{00000000-0005-0000-0000-000035170000}"/>
    <cellStyle name="Comma 4 2 2 2 3 2 2" xfId="2940" xr:uid="{00000000-0005-0000-0000-000036170000}"/>
    <cellStyle name="Comma 4 2 2 2 3 2 2 2" xfId="7163" xr:uid="{00000000-0005-0000-0000-000037170000}"/>
    <cellStyle name="Comma 4 2 2 2 3 2 2 2 2" xfId="24033" xr:uid="{00000000-0005-0000-0000-000038170000}"/>
    <cellStyle name="Comma 4 2 2 2 3 2 2 2 2 2" xfId="40901" xr:uid="{AB63478F-FC1A-4A6C-8099-168EE30B6709}"/>
    <cellStyle name="Comma 4 2 2 2 3 2 2 2 3" xfId="15598" xr:uid="{00000000-0005-0000-0000-000039170000}"/>
    <cellStyle name="Comma 4 2 2 2 3 2 2 2 4" xfId="32467" xr:uid="{210695F0-584A-4E5A-A5A4-7B5A844B0DE5}"/>
    <cellStyle name="Comma 4 2 2 2 3 2 2 3" xfId="19815" xr:uid="{00000000-0005-0000-0000-00003A170000}"/>
    <cellStyle name="Comma 4 2 2 2 3 2 2 3 2" xfId="36684" xr:uid="{DDF8359E-60AE-480B-9D7C-A2BD1695AFB1}"/>
    <cellStyle name="Comma 4 2 2 2 3 2 2 4" xfId="11380" xr:uid="{00000000-0005-0000-0000-00003B170000}"/>
    <cellStyle name="Comma 4 2 2 2 3 2 2 5" xfId="28250" xr:uid="{FE21A7AF-D02C-41A6-B553-279430DF8B66}"/>
    <cellStyle name="Comma 4 2 2 2 3 2 3" xfId="5018" xr:uid="{00000000-0005-0000-0000-00003C170000}"/>
    <cellStyle name="Comma 4 2 2 2 3 2 3 2" xfId="21888" xr:uid="{00000000-0005-0000-0000-00003D170000}"/>
    <cellStyle name="Comma 4 2 2 2 3 2 3 2 2" xfId="38756" xr:uid="{63AD5D51-58C2-48F4-9459-D824FF4EADA4}"/>
    <cellStyle name="Comma 4 2 2 2 3 2 3 3" xfId="13453" xr:uid="{00000000-0005-0000-0000-00003E170000}"/>
    <cellStyle name="Comma 4 2 2 2 3 2 3 4" xfId="30322" xr:uid="{F4790FA8-0C48-4064-8549-E96BBF785EF7}"/>
    <cellStyle name="Comma 4 2 2 2 3 2 4" xfId="17670" xr:uid="{00000000-0005-0000-0000-00003F170000}"/>
    <cellStyle name="Comma 4 2 2 2 3 2 4 2" xfId="34539" xr:uid="{6D8F193F-41C8-47DB-A074-5EF25D2D80F9}"/>
    <cellStyle name="Comma 4 2 2 2 3 2 5" xfId="9235" xr:uid="{00000000-0005-0000-0000-000040170000}"/>
    <cellStyle name="Comma 4 2 2 2 3 2 6" xfId="26105" xr:uid="{FA16F7E3-6AF2-4D6C-9350-4C14A96A99B1}"/>
    <cellStyle name="Comma 4 2 2 2 3 3" xfId="1122" xr:uid="{00000000-0005-0000-0000-000041170000}"/>
    <cellStyle name="Comma 4 2 2 2 3 3 2" xfId="3353" xr:uid="{00000000-0005-0000-0000-000042170000}"/>
    <cellStyle name="Comma 4 2 2 2 3 3 2 2" xfId="7576" xr:uid="{00000000-0005-0000-0000-000043170000}"/>
    <cellStyle name="Comma 4 2 2 2 3 3 2 2 2" xfId="24446" xr:uid="{00000000-0005-0000-0000-000044170000}"/>
    <cellStyle name="Comma 4 2 2 2 3 3 2 2 2 2" xfId="41314" xr:uid="{99E84F6D-7127-4F85-92E7-A0A9A4E3EE21}"/>
    <cellStyle name="Comma 4 2 2 2 3 3 2 2 3" xfId="16011" xr:uid="{00000000-0005-0000-0000-000045170000}"/>
    <cellStyle name="Comma 4 2 2 2 3 3 2 2 4" xfId="32880" xr:uid="{CCCF7F58-8D96-4763-8CA4-507424B13B6B}"/>
    <cellStyle name="Comma 4 2 2 2 3 3 2 3" xfId="20228" xr:uid="{00000000-0005-0000-0000-000046170000}"/>
    <cellStyle name="Comma 4 2 2 2 3 3 2 3 2" xfId="37097" xr:uid="{7174C8AC-1556-4003-8607-7915470005A0}"/>
    <cellStyle name="Comma 4 2 2 2 3 3 2 4" xfId="11793" xr:uid="{00000000-0005-0000-0000-000047170000}"/>
    <cellStyle name="Comma 4 2 2 2 3 3 2 5" xfId="28663" xr:uid="{35C3B2FD-3477-4F49-B7EB-C551F617200D}"/>
    <cellStyle name="Comma 4 2 2 2 3 3 3" xfId="5431" xr:uid="{00000000-0005-0000-0000-000048170000}"/>
    <cellStyle name="Comma 4 2 2 2 3 3 3 2" xfId="22301" xr:uid="{00000000-0005-0000-0000-000049170000}"/>
    <cellStyle name="Comma 4 2 2 2 3 3 3 2 2" xfId="39169" xr:uid="{9BF051FE-B4E3-4129-AB17-EC5E9CBDF371}"/>
    <cellStyle name="Comma 4 2 2 2 3 3 3 3" xfId="13866" xr:uid="{00000000-0005-0000-0000-00004A170000}"/>
    <cellStyle name="Comma 4 2 2 2 3 3 3 4" xfId="30735" xr:uid="{48282773-D6F6-4C5D-9B88-97C616E6BD08}"/>
    <cellStyle name="Comma 4 2 2 2 3 3 4" xfId="18083" xr:uid="{00000000-0005-0000-0000-00004B170000}"/>
    <cellStyle name="Comma 4 2 2 2 3 3 4 2" xfId="34952" xr:uid="{AD2A8810-D2DC-46E2-9D8C-3B7F9A23C54B}"/>
    <cellStyle name="Comma 4 2 2 2 3 3 5" xfId="9648" xr:uid="{00000000-0005-0000-0000-00004C170000}"/>
    <cellStyle name="Comma 4 2 2 2 3 3 6" xfId="26518" xr:uid="{8D1F9252-6E9E-4781-BDBF-E606A6F4854F}"/>
    <cellStyle name="Comma 4 2 2 2 3 4" xfId="1536" xr:uid="{00000000-0005-0000-0000-00004D170000}"/>
    <cellStyle name="Comma 4 2 2 2 3 4 2" xfId="3766" xr:uid="{00000000-0005-0000-0000-00004E170000}"/>
    <cellStyle name="Comma 4 2 2 2 3 4 2 2" xfId="7989" xr:uid="{00000000-0005-0000-0000-00004F170000}"/>
    <cellStyle name="Comma 4 2 2 2 3 4 2 2 2" xfId="24859" xr:uid="{00000000-0005-0000-0000-000050170000}"/>
    <cellStyle name="Comma 4 2 2 2 3 4 2 2 2 2" xfId="41727" xr:uid="{61129DC3-616F-4147-B713-84B6708501D0}"/>
    <cellStyle name="Comma 4 2 2 2 3 4 2 2 3" xfId="16424" xr:uid="{00000000-0005-0000-0000-000051170000}"/>
    <cellStyle name="Comma 4 2 2 2 3 4 2 2 4" xfId="33293" xr:uid="{DCA9EA26-5188-4B85-9F7D-499FEB1E04EC}"/>
    <cellStyle name="Comma 4 2 2 2 3 4 2 3" xfId="20641" xr:uid="{00000000-0005-0000-0000-000052170000}"/>
    <cellStyle name="Comma 4 2 2 2 3 4 2 3 2" xfId="37510" xr:uid="{813E0715-B03D-4D92-932B-D51AB5F87C91}"/>
    <cellStyle name="Comma 4 2 2 2 3 4 2 4" xfId="12206" xr:uid="{00000000-0005-0000-0000-000053170000}"/>
    <cellStyle name="Comma 4 2 2 2 3 4 2 5" xfId="29076" xr:uid="{CAA0FEF6-9775-44AD-8005-FA4FE0DABF2B}"/>
    <cellStyle name="Comma 4 2 2 2 3 4 3" xfId="5844" xr:uid="{00000000-0005-0000-0000-000054170000}"/>
    <cellStyle name="Comma 4 2 2 2 3 4 3 2" xfId="22714" xr:uid="{00000000-0005-0000-0000-000055170000}"/>
    <cellStyle name="Comma 4 2 2 2 3 4 3 2 2" xfId="39582" xr:uid="{0DD718C6-F2B7-486D-B78C-1815517611CD}"/>
    <cellStyle name="Comma 4 2 2 2 3 4 3 3" xfId="14279" xr:uid="{00000000-0005-0000-0000-000056170000}"/>
    <cellStyle name="Comma 4 2 2 2 3 4 3 4" xfId="31148" xr:uid="{FAD1E2E8-54DB-40A6-B408-FB9809CDEE4F}"/>
    <cellStyle name="Comma 4 2 2 2 3 4 4" xfId="18496" xr:uid="{00000000-0005-0000-0000-000057170000}"/>
    <cellStyle name="Comma 4 2 2 2 3 4 4 2" xfId="35365" xr:uid="{2818EBDB-3EF7-4351-860D-762E68079733}"/>
    <cellStyle name="Comma 4 2 2 2 3 4 5" xfId="10061" xr:uid="{00000000-0005-0000-0000-000058170000}"/>
    <cellStyle name="Comma 4 2 2 2 3 4 6" xfId="26931" xr:uid="{4250240D-3C73-4744-810E-FC02D453BB34}"/>
    <cellStyle name="Comma 4 2 2 2 3 5" xfId="1950" xr:uid="{00000000-0005-0000-0000-000059170000}"/>
    <cellStyle name="Comma 4 2 2 2 3 5 2" xfId="4179" xr:uid="{00000000-0005-0000-0000-00005A170000}"/>
    <cellStyle name="Comma 4 2 2 2 3 5 2 2" xfId="8402" xr:uid="{00000000-0005-0000-0000-00005B170000}"/>
    <cellStyle name="Comma 4 2 2 2 3 5 2 2 2" xfId="25272" xr:uid="{00000000-0005-0000-0000-00005C170000}"/>
    <cellStyle name="Comma 4 2 2 2 3 5 2 2 2 2" xfId="42140" xr:uid="{06DCE253-CB79-4ECB-BA95-763C580D2514}"/>
    <cellStyle name="Comma 4 2 2 2 3 5 2 2 3" xfId="16837" xr:uid="{00000000-0005-0000-0000-00005D170000}"/>
    <cellStyle name="Comma 4 2 2 2 3 5 2 2 4" xfId="33706" xr:uid="{E8FF72C1-15C1-4955-810B-3C9F7D5A3BCD}"/>
    <cellStyle name="Comma 4 2 2 2 3 5 2 3" xfId="21054" xr:uid="{00000000-0005-0000-0000-00005E170000}"/>
    <cellStyle name="Comma 4 2 2 2 3 5 2 3 2" xfId="37923" xr:uid="{A2188243-297E-44E4-AA00-3AC136F80B9F}"/>
    <cellStyle name="Comma 4 2 2 2 3 5 2 4" xfId="12619" xr:uid="{00000000-0005-0000-0000-00005F170000}"/>
    <cellStyle name="Comma 4 2 2 2 3 5 2 5" xfId="29489" xr:uid="{AA104E91-99CA-430E-8867-A37D4029F860}"/>
    <cellStyle name="Comma 4 2 2 2 3 5 3" xfId="6257" xr:uid="{00000000-0005-0000-0000-000060170000}"/>
    <cellStyle name="Comma 4 2 2 2 3 5 3 2" xfId="23127" xr:uid="{00000000-0005-0000-0000-000061170000}"/>
    <cellStyle name="Comma 4 2 2 2 3 5 3 2 2" xfId="39995" xr:uid="{D3EE6A11-6DFA-4216-86FC-5C387C7C638B}"/>
    <cellStyle name="Comma 4 2 2 2 3 5 3 3" xfId="14692" xr:uid="{00000000-0005-0000-0000-000062170000}"/>
    <cellStyle name="Comma 4 2 2 2 3 5 3 4" xfId="31561" xr:uid="{36669134-B0F8-4687-A47C-AA0BF0CAB2AD}"/>
    <cellStyle name="Comma 4 2 2 2 3 5 4" xfId="18909" xr:uid="{00000000-0005-0000-0000-000063170000}"/>
    <cellStyle name="Comma 4 2 2 2 3 5 4 2" xfId="35778" xr:uid="{9A4D0929-9A7E-4133-A1F5-DE8EC3A037A2}"/>
    <cellStyle name="Comma 4 2 2 2 3 5 5" xfId="10474" xr:uid="{00000000-0005-0000-0000-000064170000}"/>
    <cellStyle name="Comma 4 2 2 2 3 5 6" xfId="27344" xr:uid="{426D138B-027C-4315-8873-88D02AFD2A06}"/>
    <cellStyle name="Comma 4 2 2 2 3 6" xfId="2385" xr:uid="{00000000-0005-0000-0000-000065170000}"/>
    <cellStyle name="Comma 4 2 2 2 3 6 2" xfId="6670" xr:uid="{00000000-0005-0000-0000-000066170000}"/>
    <cellStyle name="Comma 4 2 2 2 3 6 2 2" xfId="23540" xr:uid="{00000000-0005-0000-0000-000067170000}"/>
    <cellStyle name="Comma 4 2 2 2 3 6 2 2 2" xfId="40408" xr:uid="{0B64D5C2-0383-4573-8D40-C2E1E0C90DA2}"/>
    <cellStyle name="Comma 4 2 2 2 3 6 2 3" xfId="15105" xr:uid="{00000000-0005-0000-0000-000068170000}"/>
    <cellStyle name="Comma 4 2 2 2 3 6 2 4" xfId="31974" xr:uid="{20DA25C2-CB7B-4442-A8B7-9A8AAA7DD3DD}"/>
    <cellStyle name="Comma 4 2 2 2 3 6 3" xfId="19322" xr:uid="{00000000-0005-0000-0000-000069170000}"/>
    <cellStyle name="Comma 4 2 2 2 3 6 3 2" xfId="36191" xr:uid="{4F51A09A-172E-4695-A96A-D0CFCC08763C}"/>
    <cellStyle name="Comma 4 2 2 2 3 6 4" xfId="10887" xr:uid="{00000000-0005-0000-0000-00006A170000}"/>
    <cellStyle name="Comma 4 2 2 2 3 6 5" xfId="27757" xr:uid="{6302DCF0-0391-4290-AB10-326A2AB96C87}"/>
    <cellStyle name="Comma 4 2 2 2 3 7" xfId="2378" xr:uid="{00000000-0005-0000-0000-00006B170000}"/>
    <cellStyle name="Comma 4 2 2 2 3 8" xfId="2763" xr:uid="{00000000-0005-0000-0000-00006C170000}"/>
    <cellStyle name="Comma 4 2 2 2 3 8 2" xfId="6987" xr:uid="{00000000-0005-0000-0000-00006D170000}"/>
    <cellStyle name="Comma 4 2 2 2 3 8 2 2" xfId="23857" xr:uid="{00000000-0005-0000-0000-00006E170000}"/>
    <cellStyle name="Comma 4 2 2 2 3 8 2 2 2" xfId="40725" xr:uid="{FE85D013-B2EE-45EA-85AA-56A24CF70962}"/>
    <cellStyle name="Comma 4 2 2 2 3 8 2 3" xfId="15422" xr:uid="{00000000-0005-0000-0000-00006F170000}"/>
    <cellStyle name="Comma 4 2 2 2 3 8 2 4" xfId="32291" xr:uid="{00332B49-58A5-442B-A1B2-D93F77892323}"/>
    <cellStyle name="Comma 4 2 2 2 3 8 3" xfId="19639" xr:uid="{00000000-0005-0000-0000-000070170000}"/>
    <cellStyle name="Comma 4 2 2 2 3 8 3 2" xfId="36508" xr:uid="{A4E047F6-EC58-4C05-B40F-1F5299F8CFF8}"/>
    <cellStyle name="Comma 4 2 2 2 3 8 4" xfId="11204" xr:uid="{00000000-0005-0000-0000-000071170000}"/>
    <cellStyle name="Comma 4 2 2 2 3 8 5" xfId="28074" xr:uid="{223567AF-0570-40F5-A06A-2D00F38CBD7D}"/>
    <cellStyle name="Comma 4 2 2 2 3 9" xfId="4604" xr:uid="{00000000-0005-0000-0000-000072170000}"/>
    <cellStyle name="Comma 4 2 2 2 3 9 2" xfId="21474" xr:uid="{00000000-0005-0000-0000-000073170000}"/>
    <cellStyle name="Comma 4 2 2 2 3 9 2 2" xfId="38342" xr:uid="{1C20C0AA-B5E3-4F7B-A72A-11A7251D526E}"/>
    <cellStyle name="Comma 4 2 2 2 3 9 3" xfId="13039" xr:uid="{00000000-0005-0000-0000-000074170000}"/>
    <cellStyle name="Comma 4 2 2 2 3 9 4" xfId="29908" xr:uid="{54A0B822-F0AE-4279-800F-AD9462643A43}"/>
    <cellStyle name="Comma 4 2 2 2 4" xfId="666" xr:uid="{00000000-0005-0000-0000-000075170000}"/>
    <cellStyle name="Comma 4 2 2 2 4 2" xfId="2937" xr:uid="{00000000-0005-0000-0000-000076170000}"/>
    <cellStyle name="Comma 4 2 2 2 4 2 2" xfId="7160" xr:uid="{00000000-0005-0000-0000-000077170000}"/>
    <cellStyle name="Comma 4 2 2 2 4 2 2 2" xfId="24030" xr:uid="{00000000-0005-0000-0000-000078170000}"/>
    <cellStyle name="Comma 4 2 2 2 4 2 2 2 2" xfId="40898" xr:uid="{E29EF85A-1C02-4DB7-9255-DCC4748CF24F}"/>
    <cellStyle name="Comma 4 2 2 2 4 2 2 3" xfId="15595" xr:uid="{00000000-0005-0000-0000-000079170000}"/>
    <cellStyle name="Comma 4 2 2 2 4 2 2 4" xfId="32464" xr:uid="{F0376B2C-2AC7-4C77-82B3-970BC1D454E3}"/>
    <cellStyle name="Comma 4 2 2 2 4 2 3" xfId="19812" xr:uid="{00000000-0005-0000-0000-00007A170000}"/>
    <cellStyle name="Comma 4 2 2 2 4 2 3 2" xfId="36681" xr:uid="{4E3F0569-BB2E-4CFD-BD12-AE65EE77323B}"/>
    <cellStyle name="Comma 4 2 2 2 4 2 4" xfId="11377" xr:uid="{00000000-0005-0000-0000-00007B170000}"/>
    <cellStyle name="Comma 4 2 2 2 4 2 5" xfId="28247" xr:uid="{19DDF4CD-0EEF-4538-832A-ECFFCAA07E11}"/>
    <cellStyle name="Comma 4 2 2 2 4 3" xfId="5015" xr:uid="{00000000-0005-0000-0000-00007C170000}"/>
    <cellStyle name="Comma 4 2 2 2 4 3 2" xfId="21885" xr:uid="{00000000-0005-0000-0000-00007D170000}"/>
    <cellStyle name="Comma 4 2 2 2 4 3 2 2" xfId="38753" xr:uid="{E7A6D564-58A9-44CC-9E98-E1B0D20F83B9}"/>
    <cellStyle name="Comma 4 2 2 2 4 3 3" xfId="13450" xr:uid="{00000000-0005-0000-0000-00007E170000}"/>
    <cellStyle name="Comma 4 2 2 2 4 3 4" xfId="30319" xr:uid="{6515EA76-2BD3-4982-9EA4-C7CC3BCD82CA}"/>
    <cellStyle name="Comma 4 2 2 2 4 4" xfId="17667" xr:uid="{00000000-0005-0000-0000-00007F170000}"/>
    <cellStyle name="Comma 4 2 2 2 4 4 2" xfId="34536" xr:uid="{D30C97D8-66F5-4CCC-871E-A26DBC480D81}"/>
    <cellStyle name="Comma 4 2 2 2 4 5" xfId="9232" xr:uid="{00000000-0005-0000-0000-000080170000}"/>
    <cellStyle name="Comma 4 2 2 2 4 6" xfId="26102" xr:uid="{EC4DD54D-F459-4AD1-888A-1C34F521ECE8}"/>
    <cellStyle name="Comma 4 2 2 2 5" xfId="1119" xr:uid="{00000000-0005-0000-0000-000081170000}"/>
    <cellStyle name="Comma 4 2 2 2 5 2" xfId="3350" xr:uid="{00000000-0005-0000-0000-000082170000}"/>
    <cellStyle name="Comma 4 2 2 2 5 2 2" xfId="7573" xr:uid="{00000000-0005-0000-0000-000083170000}"/>
    <cellStyle name="Comma 4 2 2 2 5 2 2 2" xfId="24443" xr:uid="{00000000-0005-0000-0000-000084170000}"/>
    <cellStyle name="Comma 4 2 2 2 5 2 2 2 2" xfId="41311" xr:uid="{35700E0F-60D1-4454-9D92-25CF3B5FB8C2}"/>
    <cellStyle name="Comma 4 2 2 2 5 2 2 3" xfId="16008" xr:uid="{00000000-0005-0000-0000-000085170000}"/>
    <cellStyle name="Comma 4 2 2 2 5 2 2 4" xfId="32877" xr:uid="{4EBCA7E1-AE38-40E4-8EFC-07EF43BA1A19}"/>
    <cellStyle name="Comma 4 2 2 2 5 2 3" xfId="20225" xr:uid="{00000000-0005-0000-0000-000086170000}"/>
    <cellStyle name="Comma 4 2 2 2 5 2 3 2" xfId="37094" xr:uid="{88E315F1-1A01-4CB7-9909-17910FA3C93C}"/>
    <cellStyle name="Comma 4 2 2 2 5 2 4" xfId="11790" xr:uid="{00000000-0005-0000-0000-000087170000}"/>
    <cellStyle name="Comma 4 2 2 2 5 2 5" xfId="28660" xr:uid="{51CDF31E-8D3A-4B1F-B8DE-EB8604924E1F}"/>
    <cellStyle name="Comma 4 2 2 2 5 3" xfId="5428" xr:uid="{00000000-0005-0000-0000-000088170000}"/>
    <cellStyle name="Comma 4 2 2 2 5 3 2" xfId="22298" xr:uid="{00000000-0005-0000-0000-000089170000}"/>
    <cellStyle name="Comma 4 2 2 2 5 3 2 2" xfId="39166" xr:uid="{1A467A64-5A07-4D01-8CE6-270EFBE128CA}"/>
    <cellStyle name="Comma 4 2 2 2 5 3 3" xfId="13863" xr:uid="{00000000-0005-0000-0000-00008A170000}"/>
    <cellStyle name="Comma 4 2 2 2 5 3 4" xfId="30732" xr:uid="{916C5DB4-7DDE-466B-8DB9-80CA9E760C25}"/>
    <cellStyle name="Comma 4 2 2 2 5 4" xfId="18080" xr:uid="{00000000-0005-0000-0000-00008B170000}"/>
    <cellStyle name="Comma 4 2 2 2 5 4 2" xfId="34949" xr:uid="{C1DA9F8E-BEB4-4940-A0CA-37C9DB8A8D06}"/>
    <cellStyle name="Comma 4 2 2 2 5 5" xfId="9645" xr:uid="{00000000-0005-0000-0000-00008C170000}"/>
    <cellStyle name="Comma 4 2 2 2 5 6" xfId="26515" xr:uid="{8740FB03-DC61-4F0C-90A3-2183C900CE4D}"/>
    <cellStyle name="Comma 4 2 2 2 6" xfId="1533" xr:uid="{00000000-0005-0000-0000-00008D170000}"/>
    <cellStyle name="Comma 4 2 2 2 6 2" xfId="3763" xr:uid="{00000000-0005-0000-0000-00008E170000}"/>
    <cellStyle name="Comma 4 2 2 2 6 2 2" xfId="7986" xr:uid="{00000000-0005-0000-0000-00008F170000}"/>
    <cellStyle name="Comma 4 2 2 2 6 2 2 2" xfId="24856" xr:uid="{00000000-0005-0000-0000-000090170000}"/>
    <cellStyle name="Comma 4 2 2 2 6 2 2 2 2" xfId="41724" xr:uid="{FD8F3F58-8A22-47E7-A0A2-6A513C3D7FA6}"/>
    <cellStyle name="Comma 4 2 2 2 6 2 2 3" xfId="16421" xr:uid="{00000000-0005-0000-0000-000091170000}"/>
    <cellStyle name="Comma 4 2 2 2 6 2 2 4" xfId="33290" xr:uid="{EA63F377-1C9A-4606-B712-0F7C684FFB68}"/>
    <cellStyle name="Comma 4 2 2 2 6 2 3" xfId="20638" xr:uid="{00000000-0005-0000-0000-000092170000}"/>
    <cellStyle name="Comma 4 2 2 2 6 2 3 2" xfId="37507" xr:uid="{F192465D-1C39-4F23-BFA2-E8BD07A525A1}"/>
    <cellStyle name="Comma 4 2 2 2 6 2 4" xfId="12203" xr:uid="{00000000-0005-0000-0000-000093170000}"/>
    <cellStyle name="Comma 4 2 2 2 6 2 5" xfId="29073" xr:uid="{55A359B4-ADAF-4970-9F41-2A5B9E61F2A4}"/>
    <cellStyle name="Comma 4 2 2 2 6 3" xfId="5841" xr:uid="{00000000-0005-0000-0000-000094170000}"/>
    <cellStyle name="Comma 4 2 2 2 6 3 2" xfId="22711" xr:uid="{00000000-0005-0000-0000-000095170000}"/>
    <cellStyle name="Comma 4 2 2 2 6 3 2 2" xfId="39579" xr:uid="{15C5E4D1-32D2-4C6D-B3FA-89C8F98FEA14}"/>
    <cellStyle name="Comma 4 2 2 2 6 3 3" xfId="14276" xr:uid="{00000000-0005-0000-0000-000096170000}"/>
    <cellStyle name="Comma 4 2 2 2 6 3 4" xfId="31145" xr:uid="{925FD0FE-F43F-45A7-A47A-81AFBB003DB1}"/>
    <cellStyle name="Comma 4 2 2 2 6 4" xfId="18493" xr:uid="{00000000-0005-0000-0000-000097170000}"/>
    <cellStyle name="Comma 4 2 2 2 6 4 2" xfId="35362" xr:uid="{049BE930-29E1-49C0-9A23-EE17B27102BE}"/>
    <cellStyle name="Comma 4 2 2 2 6 5" xfId="10058" xr:uid="{00000000-0005-0000-0000-000098170000}"/>
    <cellStyle name="Comma 4 2 2 2 6 6" xfId="26928" xr:uid="{DA7777F3-8D69-4825-B0F2-BC84F09D80AF}"/>
    <cellStyle name="Comma 4 2 2 2 7" xfId="1947" xr:uid="{00000000-0005-0000-0000-000099170000}"/>
    <cellStyle name="Comma 4 2 2 2 7 2" xfId="4176" xr:uid="{00000000-0005-0000-0000-00009A170000}"/>
    <cellStyle name="Comma 4 2 2 2 7 2 2" xfId="8399" xr:uid="{00000000-0005-0000-0000-00009B170000}"/>
    <cellStyle name="Comma 4 2 2 2 7 2 2 2" xfId="25269" xr:uid="{00000000-0005-0000-0000-00009C170000}"/>
    <cellStyle name="Comma 4 2 2 2 7 2 2 2 2" xfId="42137" xr:uid="{2403A9EF-6C4A-4307-9C4F-A0C07AA477EE}"/>
    <cellStyle name="Comma 4 2 2 2 7 2 2 3" xfId="16834" xr:uid="{00000000-0005-0000-0000-00009D170000}"/>
    <cellStyle name="Comma 4 2 2 2 7 2 2 4" xfId="33703" xr:uid="{3D637E2B-B977-45FC-8DEA-717DC9D41ABA}"/>
    <cellStyle name="Comma 4 2 2 2 7 2 3" xfId="21051" xr:uid="{00000000-0005-0000-0000-00009E170000}"/>
    <cellStyle name="Comma 4 2 2 2 7 2 3 2" xfId="37920" xr:uid="{DB7544A3-F82A-4EF1-A675-43ADB013641B}"/>
    <cellStyle name="Comma 4 2 2 2 7 2 4" xfId="12616" xr:uid="{00000000-0005-0000-0000-00009F170000}"/>
    <cellStyle name="Comma 4 2 2 2 7 2 5" xfId="29486" xr:uid="{3FF55677-91C6-45B4-A6E4-137EC25651B9}"/>
    <cellStyle name="Comma 4 2 2 2 7 3" xfId="6254" xr:uid="{00000000-0005-0000-0000-0000A0170000}"/>
    <cellStyle name="Comma 4 2 2 2 7 3 2" xfId="23124" xr:uid="{00000000-0005-0000-0000-0000A1170000}"/>
    <cellStyle name="Comma 4 2 2 2 7 3 2 2" xfId="39992" xr:uid="{7C66A85F-D62E-4B4A-95E4-212486A2450C}"/>
    <cellStyle name="Comma 4 2 2 2 7 3 3" xfId="14689" xr:uid="{00000000-0005-0000-0000-0000A2170000}"/>
    <cellStyle name="Comma 4 2 2 2 7 3 4" xfId="31558" xr:uid="{8F58EEEF-472C-4352-ABF4-4D21817B6000}"/>
    <cellStyle name="Comma 4 2 2 2 7 4" xfId="18906" xr:uid="{00000000-0005-0000-0000-0000A3170000}"/>
    <cellStyle name="Comma 4 2 2 2 7 4 2" xfId="35775" xr:uid="{301CBD51-5A74-41E4-9754-ADE42CCA79CE}"/>
    <cellStyle name="Comma 4 2 2 2 7 5" xfId="10471" xr:uid="{00000000-0005-0000-0000-0000A4170000}"/>
    <cellStyle name="Comma 4 2 2 2 7 6" xfId="27341" xr:uid="{6FD381F1-3319-45F2-AFB7-2CA16D5BE6F2}"/>
    <cellStyle name="Comma 4 2 2 2 8" xfId="2382" xr:uid="{00000000-0005-0000-0000-0000A5170000}"/>
    <cellStyle name="Comma 4 2 2 2 8 2" xfId="6667" xr:uid="{00000000-0005-0000-0000-0000A6170000}"/>
    <cellStyle name="Comma 4 2 2 2 8 2 2" xfId="23537" xr:uid="{00000000-0005-0000-0000-0000A7170000}"/>
    <cellStyle name="Comma 4 2 2 2 8 2 2 2" xfId="40405" xr:uid="{9BFDEA9D-94F7-4997-A678-980AD632AD5A}"/>
    <cellStyle name="Comma 4 2 2 2 8 2 3" xfId="15102" xr:uid="{00000000-0005-0000-0000-0000A8170000}"/>
    <cellStyle name="Comma 4 2 2 2 8 2 4" xfId="31971" xr:uid="{6D7EC9D7-8026-42ED-997E-B07056680A44}"/>
    <cellStyle name="Comma 4 2 2 2 8 3" xfId="19319" xr:uid="{00000000-0005-0000-0000-0000A9170000}"/>
    <cellStyle name="Comma 4 2 2 2 8 3 2" xfId="36188" xr:uid="{95E1BAF3-83E2-457F-BACB-4B2225539C72}"/>
    <cellStyle name="Comma 4 2 2 2 8 4" xfId="10884" xr:uid="{00000000-0005-0000-0000-0000AA170000}"/>
    <cellStyle name="Comma 4 2 2 2 8 5" xfId="27754" xr:uid="{665B1E01-570C-4E54-9B9B-04EFF616FB14}"/>
    <cellStyle name="Comma 4 2 2 2 9" xfId="2381" xr:uid="{00000000-0005-0000-0000-0000AB170000}"/>
    <cellStyle name="Comma 4 2 2 3" xfId="132" xr:uid="{00000000-0005-0000-0000-0000AC170000}"/>
    <cellStyle name="Comma 4 2 2 3 10" xfId="4605" xr:uid="{00000000-0005-0000-0000-0000AD170000}"/>
    <cellStyle name="Comma 4 2 2 3 10 2" xfId="21475" xr:uid="{00000000-0005-0000-0000-0000AE170000}"/>
    <cellStyle name="Comma 4 2 2 3 10 2 2" xfId="38343" xr:uid="{22FDAC51-4E17-4529-BC96-634F7328489F}"/>
    <cellStyle name="Comma 4 2 2 3 10 3" xfId="13040" xr:uid="{00000000-0005-0000-0000-0000AF170000}"/>
    <cellStyle name="Comma 4 2 2 3 10 4" xfId="29909" xr:uid="{EFDDEF5D-8788-4D29-93BE-49C8BB4EB99F}"/>
    <cellStyle name="Comma 4 2 2 3 11" xfId="17257" xr:uid="{00000000-0005-0000-0000-0000B0170000}"/>
    <cellStyle name="Comma 4 2 2 3 11 2" xfId="34126" xr:uid="{D76B5479-8620-4EAA-A720-E969D2BFAE51}"/>
    <cellStyle name="Comma 4 2 2 3 12" xfId="8822" xr:uid="{00000000-0005-0000-0000-0000B1170000}"/>
    <cellStyle name="Comma 4 2 2 3 13" xfId="25692" xr:uid="{85D4E9DA-838B-4535-91B7-510F2C7C78D9}"/>
    <cellStyle name="Comma 4 2 2 3 2" xfId="133" xr:uid="{00000000-0005-0000-0000-0000B2170000}"/>
    <cellStyle name="Comma 4 2 2 3 2 10" xfId="17258" xr:uid="{00000000-0005-0000-0000-0000B3170000}"/>
    <cellStyle name="Comma 4 2 2 3 2 10 2" xfId="34127" xr:uid="{A4CE837B-9CCE-4E2D-B601-0BC218A0F7C5}"/>
    <cellStyle name="Comma 4 2 2 3 2 11" xfId="8823" xr:uid="{00000000-0005-0000-0000-0000B4170000}"/>
    <cellStyle name="Comma 4 2 2 3 2 12" xfId="25693" xr:uid="{21EEB622-3FF9-4143-BA9D-C036FA9287DC}"/>
    <cellStyle name="Comma 4 2 2 3 2 2" xfId="671" xr:uid="{00000000-0005-0000-0000-0000B5170000}"/>
    <cellStyle name="Comma 4 2 2 3 2 2 2" xfId="2942" xr:uid="{00000000-0005-0000-0000-0000B6170000}"/>
    <cellStyle name="Comma 4 2 2 3 2 2 2 2" xfId="7165" xr:uid="{00000000-0005-0000-0000-0000B7170000}"/>
    <cellStyle name="Comma 4 2 2 3 2 2 2 2 2" xfId="24035" xr:uid="{00000000-0005-0000-0000-0000B8170000}"/>
    <cellStyle name="Comma 4 2 2 3 2 2 2 2 2 2" xfId="40903" xr:uid="{1C84D4B7-F06D-4D22-9987-07166C3478B7}"/>
    <cellStyle name="Comma 4 2 2 3 2 2 2 2 3" xfId="15600" xr:uid="{00000000-0005-0000-0000-0000B9170000}"/>
    <cellStyle name="Comma 4 2 2 3 2 2 2 2 4" xfId="32469" xr:uid="{AF446F31-9BD5-4398-8A0D-AAE21E1577F8}"/>
    <cellStyle name="Comma 4 2 2 3 2 2 2 3" xfId="19817" xr:uid="{00000000-0005-0000-0000-0000BA170000}"/>
    <cellStyle name="Comma 4 2 2 3 2 2 2 3 2" xfId="36686" xr:uid="{3B06B4CD-5090-4CBD-8F76-E16714DF9567}"/>
    <cellStyle name="Comma 4 2 2 3 2 2 2 4" xfId="11382" xr:uid="{00000000-0005-0000-0000-0000BB170000}"/>
    <cellStyle name="Comma 4 2 2 3 2 2 2 5" xfId="28252" xr:uid="{026E9B8A-A6A4-4A6A-8DED-26135615E78F}"/>
    <cellStyle name="Comma 4 2 2 3 2 2 3" xfId="5020" xr:uid="{00000000-0005-0000-0000-0000BC170000}"/>
    <cellStyle name="Comma 4 2 2 3 2 2 3 2" xfId="21890" xr:uid="{00000000-0005-0000-0000-0000BD170000}"/>
    <cellStyle name="Comma 4 2 2 3 2 2 3 2 2" xfId="38758" xr:uid="{CE0D6CE0-F871-4F76-B541-92A9325ACD0B}"/>
    <cellStyle name="Comma 4 2 2 3 2 2 3 3" xfId="13455" xr:uid="{00000000-0005-0000-0000-0000BE170000}"/>
    <cellStyle name="Comma 4 2 2 3 2 2 3 4" xfId="30324" xr:uid="{B2268D13-CCC5-4E3A-854B-7C59B0613F0F}"/>
    <cellStyle name="Comma 4 2 2 3 2 2 4" xfId="17672" xr:uid="{00000000-0005-0000-0000-0000BF170000}"/>
    <cellStyle name="Comma 4 2 2 3 2 2 4 2" xfId="34541" xr:uid="{8C20A53F-3104-4DA7-891D-B76ABE9B2A77}"/>
    <cellStyle name="Comma 4 2 2 3 2 2 5" xfId="9237" xr:uid="{00000000-0005-0000-0000-0000C0170000}"/>
    <cellStyle name="Comma 4 2 2 3 2 2 6" xfId="26107" xr:uid="{7D8F9B3C-2D5F-4AAB-BA59-6FF4EF219FF2}"/>
    <cellStyle name="Comma 4 2 2 3 2 3" xfId="1124" xr:uid="{00000000-0005-0000-0000-0000C1170000}"/>
    <cellStyle name="Comma 4 2 2 3 2 3 2" xfId="3355" xr:uid="{00000000-0005-0000-0000-0000C2170000}"/>
    <cellStyle name="Comma 4 2 2 3 2 3 2 2" xfId="7578" xr:uid="{00000000-0005-0000-0000-0000C3170000}"/>
    <cellStyle name="Comma 4 2 2 3 2 3 2 2 2" xfId="24448" xr:uid="{00000000-0005-0000-0000-0000C4170000}"/>
    <cellStyle name="Comma 4 2 2 3 2 3 2 2 2 2" xfId="41316" xr:uid="{E8FDB3D8-1AB3-4CE8-8BEF-43097E0E73E9}"/>
    <cellStyle name="Comma 4 2 2 3 2 3 2 2 3" xfId="16013" xr:uid="{00000000-0005-0000-0000-0000C5170000}"/>
    <cellStyle name="Comma 4 2 2 3 2 3 2 2 4" xfId="32882" xr:uid="{AB805D66-6B6E-4DF0-8E1F-E10F6515C660}"/>
    <cellStyle name="Comma 4 2 2 3 2 3 2 3" xfId="20230" xr:uid="{00000000-0005-0000-0000-0000C6170000}"/>
    <cellStyle name="Comma 4 2 2 3 2 3 2 3 2" xfId="37099" xr:uid="{43E163F5-D316-4FC4-A47D-88F327E3BEE6}"/>
    <cellStyle name="Comma 4 2 2 3 2 3 2 4" xfId="11795" xr:uid="{00000000-0005-0000-0000-0000C7170000}"/>
    <cellStyle name="Comma 4 2 2 3 2 3 2 5" xfId="28665" xr:uid="{A52C27A9-10F5-4B66-A2AE-593C4A1BFA53}"/>
    <cellStyle name="Comma 4 2 2 3 2 3 3" xfId="5433" xr:uid="{00000000-0005-0000-0000-0000C8170000}"/>
    <cellStyle name="Comma 4 2 2 3 2 3 3 2" xfId="22303" xr:uid="{00000000-0005-0000-0000-0000C9170000}"/>
    <cellStyle name="Comma 4 2 2 3 2 3 3 2 2" xfId="39171" xr:uid="{198479DA-B44E-4408-9A53-B78463BE0E7A}"/>
    <cellStyle name="Comma 4 2 2 3 2 3 3 3" xfId="13868" xr:uid="{00000000-0005-0000-0000-0000CA170000}"/>
    <cellStyle name="Comma 4 2 2 3 2 3 3 4" xfId="30737" xr:uid="{4DE840DB-3652-4EDE-BA7E-E436A25AB049}"/>
    <cellStyle name="Comma 4 2 2 3 2 3 4" xfId="18085" xr:uid="{00000000-0005-0000-0000-0000CB170000}"/>
    <cellStyle name="Comma 4 2 2 3 2 3 4 2" xfId="34954" xr:uid="{75948BDD-A938-45B5-9DEC-7D3E917DE7F4}"/>
    <cellStyle name="Comma 4 2 2 3 2 3 5" xfId="9650" xr:uid="{00000000-0005-0000-0000-0000CC170000}"/>
    <cellStyle name="Comma 4 2 2 3 2 3 6" xfId="26520" xr:uid="{BB290E35-5671-48F9-8ED2-BECE35FBE658}"/>
    <cellStyle name="Comma 4 2 2 3 2 4" xfId="1538" xr:uid="{00000000-0005-0000-0000-0000CD170000}"/>
    <cellStyle name="Comma 4 2 2 3 2 4 2" xfId="3768" xr:uid="{00000000-0005-0000-0000-0000CE170000}"/>
    <cellStyle name="Comma 4 2 2 3 2 4 2 2" xfId="7991" xr:uid="{00000000-0005-0000-0000-0000CF170000}"/>
    <cellStyle name="Comma 4 2 2 3 2 4 2 2 2" xfId="24861" xr:uid="{00000000-0005-0000-0000-0000D0170000}"/>
    <cellStyle name="Comma 4 2 2 3 2 4 2 2 2 2" xfId="41729" xr:uid="{5CCE24A7-25DA-4735-8E69-0C3C98B1D90E}"/>
    <cellStyle name="Comma 4 2 2 3 2 4 2 2 3" xfId="16426" xr:uid="{00000000-0005-0000-0000-0000D1170000}"/>
    <cellStyle name="Comma 4 2 2 3 2 4 2 2 4" xfId="33295" xr:uid="{C3C4EB57-B314-4A83-B5C8-743266A40BA4}"/>
    <cellStyle name="Comma 4 2 2 3 2 4 2 3" xfId="20643" xr:uid="{00000000-0005-0000-0000-0000D2170000}"/>
    <cellStyle name="Comma 4 2 2 3 2 4 2 3 2" xfId="37512" xr:uid="{E33CDFC5-6AA4-4A23-BA05-B67DCAA1D28F}"/>
    <cellStyle name="Comma 4 2 2 3 2 4 2 4" xfId="12208" xr:uid="{00000000-0005-0000-0000-0000D3170000}"/>
    <cellStyle name="Comma 4 2 2 3 2 4 2 5" xfId="29078" xr:uid="{1BEAC162-8AFA-4A0C-89EB-9A009CFB05FC}"/>
    <cellStyle name="Comma 4 2 2 3 2 4 3" xfId="5846" xr:uid="{00000000-0005-0000-0000-0000D4170000}"/>
    <cellStyle name="Comma 4 2 2 3 2 4 3 2" xfId="22716" xr:uid="{00000000-0005-0000-0000-0000D5170000}"/>
    <cellStyle name="Comma 4 2 2 3 2 4 3 2 2" xfId="39584" xr:uid="{FD4EC8FD-C172-40FA-B8A9-1B60C6BCD0BB}"/>
    <cellStyle name="Comma 4 2 2 3 2 4 3 3" xfId="14281" xr:uid="{00000000-0005-0000-0000-0000D6170000}"/>
    <cellStyle name="Comma 4 2 2 3 2 4 3 4" xfId="31150" xr:uid="{A92DEFAF-D4EF-4B5F-B239-B0EBF85E25E1}"/>
    <cellStyle name="Comma 4 2 2 3 2 4 4" xfId="18498" xr:uid="{00000000-0005-0000-0000-0000D7170000}"/>
    <cellStyle name="Comma 4 2 2 3 2 4 4 2" xfId="35367" xr:uid="{D3452FF2-B0E3-4CF9-8574-56EC76448A4D}"/>
    <cellStyle name="Comma 4 2 2 3 2 4 5" xfId="10063" xr:uid="{00000000-0005-0000-0000-0000D8170000}"/>
    <cellStyle name="Comma 4 2 2 3 2 4 6" xfId="26933" xr:uid="{0D5454BF-9B58-431B-9779-E8EC28E67808}"/>
    <cellStyle name="Comma 4 2 2 3 2 5" xfId="1952" xr:uid="{00000000-0005-0000-0000-0000D9170000}"/>
    <cellStyle name="Comma 4 2 2 3 2 5 2" xfId="4181" xr:uid="{00000000-0005-0000-0000-0000DA170000}"/>
    <cellStyle name="Comma 4 2 2 3 2 5 2 2" xfId="8404" xr:uid="{00000000-0005-0000-0000-0000DB170000}"/>
    <cellStyle name="Comma 4 2 2 3 2 5 2 2 2" xfId="25274" xr:uid="{00000000-0005-0000-0000-0000DC170000}"/>
    <cellStyle name="Comma 4 2 2 3 2 5 2 2 2 2" xfId="42142" xr:uid="{893C06CC-6994-4E8B-90CD-C97EE4A5216A}"/>
    <cellStyle name="Comma 4 2 2 3 2 5 2 2 3" xfId="16839" xr:uid="{00000000-0005-0000-0000-0000DD170000}"/>
    <cellStyle name="Comma 4 2 2 3 2 5 2 2 4" xfId="33708" xr:uid="{A83DD380-3F72-4919-BACE-DAFCF57630FF}"/>
    <cellStyle name="Comma 4 2 2 3 2 5 2 3" xfId="21056" xr:uid="{00000000-0005-0000-0000-0000DE170000}"/>
    <cellStyle name="Comma 4 2 2 3 2 5 2 3 2" xfId="37925" xr:uid="{C021428C-F4E5-4E80-9288-0EFE063653F4}"/>
    <cellStyle name="Comma 4 2 2 3 2 5 2 4" xfId="12621" xr:uid="{00000000-0005-0000-0000-0000DF170000}"/>
    <cellStyle name="Comma 4 2 2 3 2 5 2 5" xfId="29491" xr:uid="{B5D06234-38E5-448E-A712-9D932CA27953}"/>
    <cellStyle name="Comma 4 2 2 3 2 5 3" xfId="6259" xr:uid="{00000000-0005-0000-0000-0000E0170000}"/>
    <cellStyle name="Comma 4 2 2 3 2 5 3 2" xfId="23129" xr:uid="{00000000-0005-0000-0000-0000E1170000}"/>
    <cellStyle name="Comma 4 2 2 3 2 5 3 2 2" xfId="39997" xr:uid="{A699D1A3-D7F6-469D-A7FF-A1376036A7E1}"/>
    <cellStyle name="Comma 4 2 2 3 2 5 3 3" xfId="14694" xr:uid="{00000000-0005-0000-0000-0000E2170000}"/>
    <cellStyle name="Comma 4 2 2 3 2 5 3 4" xfId="31563" xr:uid="{DD183412-77D4-47AB-A133-7B1A9928CC06}"/>
    <cellStyle name="Comma 4 2 2 3 2 5 4" xfId="18911" xr:uid="{00000000-0005-0000-0000-0000E3170000}"/>
    <cellStyle name="Comma 4 2 2 3 2 5 4 2" xfId="35780" xr:uid="{2FB72018-1E5D-49D5-AD86-EB03A15BA247}"/>
    <cellStyle name="Comma 4 2 2 3 2 5 5" xfId="10476" xr:uid="{00000000-0005-0000-0000-0000E4170000}"/>
    <cellStyle name="Comma 4 2 2 3 2 5 6" xfId="27346" xr:uid="{4BCDDF2B-168D-4B34-A027-BD6061D28B76}"/>
    <cellStyle name="Comma 4 2 2 3 2 6" xfId="2387" xr:uid="{00000000-0005-0000-0000-0000E5170000}"/>
    <cellStyle name="Comma 4 2 2 3 2 6 2" xfId="6672" xr:uid="{00000000-0005-0000-0000-0000E6170000}"/>
    <cellStyle name="Comma 4 2 2 3 2 6 2 2" xfId="23542" xr:uid="{00000000-0005-0000-0000-0000E7170000}"/>
    <cellStyle name="Comma 4 2 2 3 2 6 2 2 2" xfId="40410" xr:uid="{F46F8A16-49F8-4E20-90A9-69EAA88A4BC3}"/>
    <cellStyle name="Comma 4 2 2 3 2 6 2 3" xfId="15107" xr:uid="{00000000-0005-0000-0000-0000E8170000}"/>
    <cellStyle name="Comma 4 2 2 3 2 6 2 4" xfId="31976" xr:uid="{45E7E489-5262-4572-B038-0A9D39AADA27}"/>
    <cellStyle name="Comma 4 2 2 3 2 6 3" xfId="19324" xr:uid="{00000000-0005-0000-0000-0000E9170000}"/>
    <cellStyle name="Comma 4 2 2 3 2 6 3 2" xfId="36193" xr:uid="{2C251884-178C-47B8-B0FE-40BDC7BA4043}"/>
    <cellStyle name="Comma 4 2 2 3 2 6 4" xfId="10889" xr:uid="{00000000-0005-0000-0000-0000EA170000}"/>
    <cellStyle name="Comma 4 2 2 3 2 6 5" xfId="27759" xr:uid="{2CF6339D-AF65-4B0F-A7A7-E14864347141}"/>
    <cellStyle name="Comma 4 2 2 3 2 7" xfId="2376" xr:uid="{00000000-0005-0000-0000-0000EB170000}"/>
    <cellStyle name="Comma 4 2 2 3 2 8" xfId="2765" xr:uid="{00000000-0005-0000-0000-0000EC170000}"/>
    <cellStyle name="Comma 4 2 2 3 2 8 2" xfId="6989" xr:uid="{00000000-0005-0000-0000-0000ED170000}"/>
    <cellStyle name="Comma 4 2 2 3 2 8 2 2" xfId="23859" xr:uid="{00000000-0005-0000-0000-0000EE170000}"/>
    <cellStyle name="Comma 4 2 2 3 2 8 2 2 2" xfId="40727" xr:uid="{610170F5-F2F3-4A0D-8519-63F4D0D99955}"/>
    <cellStyle name="Comma 4 2 2 3 2 8 2 3" xfId="15424" xr:uid="{00000000-0005-0000-0000-0000EF170000}"/>
    <cellStyle name="Comma 4 2 2 3 2 8 2 4" xfId="32293" xr:uid="{9C316155-1ADC-46D2-A4DD-E4C20069C2F6}"/>
    <cellStyle name="Comma 4 2 2 3 2 8 3" xfId="19641" xr:uid="{00000000-0005-0000-0000-0000F0170000}"/>
    <cellStyle name="Comma 4 2 2 3 2 8 3 2" xfId="36510" xr:uid="{FB8CB25D-F5DF-4E12-A3D4-8ABCD2D5373D}"/>
    <cellStyle name="Comma 4 2 2 3 2 8 4" xfId="11206" xr:uid="{00000000-0005-0000-0000-0000F1170000}"/>
    <cellStyle name="Comma 4 2 2 3 2 8 5" xfId="28076" xr:uid="{CEAD7FE8-38AB-4566-87A0-1764D58D3C53}"/>
    <cellStyle name="Comma 4 2 2 3 2 9" xfId="4606" xr:uid="{00000000-0005-0000-0000-0000F2170000}"/>
    <cellStyle name="Comma 4 2 2 3 2 9 2" xfId="21476" xr:uid="{00000000-0005-0000-0000-0000F3170000}"/>
    <cellStyle name="Comma 4 2 2 3 2 9 2 2" xfId="38344" xr:uid="{9F6977EE-5413-416A-BE95-587895961B09}"/>
    <cellStyle name="Comma 4 2 2 3 2 9 3" xfId="13041" xr:uid="{00000000-0005-0000-0000-0000F4170000}"/>
    <cellStyle name="Comma 4 2 2 3 2 9 4" xfId="29910" xr:uid="{B8E65253-1FA3-4FEB-AAF5-3628A10F3646}"/>
    <cellStyle name="Comma 4 2 2 3 3" xfId="670" xr:uid="{00000000-0005-0000-0000-0000F5170000}"/>
    <cellStyle name="Comma 4 2 2 3 3 2" xfId="2941" xr:uid="{00000000-0005-0000-0000-0000F6170000}"/>
    <cellStyle name="Comma 4 2 2 3 3 2 2" xfId="7164" xr:uid="{00000000-0005-0000-0000-0000F7170000}"/>
    <cellStyle name="Comma 4 2 2 3 3 2 2 2" xfId="24034" xr:uid="{00000000-0005-0000-0000-0000F8170000}"/>
    <cellStyle name="Comma 4 2 2 3 3 2 2 2 2" xfId="40902" xr:uid="{B8D886AA-6613-42E6-B5D0-2B8944DD79D1}"/>
    <cellStyle name="Comma 4 2 2 3 3 2 2 3" xfId="15599" xr:uid="{00000000-0005-0000-0000-0000F9170000}"/>
    <cellStyle name="Comma 4 2 2 3 3 2 2 4" xfId="32468" xr:uid="{7EB34119-0007-4372-BF45-2172233A9C22}"/>
    <cellStyle name="Comma 4 2 2 3 3 2 3" xfId="19816" xr:uid="{00000000-0005-0000-0000-0000FA170000}"/>
    <cellStyle name="Comma 4 2 2 3 3 2 3 2" xfId="36685" xr:uid="{6802B39A-6973-4631-A60A-5FEE40AF4AD1}"/>
    <cellStyle name="Comma 4 2 2 3 3 2 4" xfId="11381" xr:uid="{00000000-0005-0000-0000-0000FB170000}"/>
    <cellStyle name="Comma 4 2 2 3 3 2 5" xfId="28251" xr:uid="{18539BCB-9DA2-41C8-A7AE-96913C1DF685}"/>
    <cellStyle name="Comma 4 2 2 3 3 3" xfId="5019" xr:uid="{00000000-0005-0000-0000-0000FC170000}"/>
    <cellStyle name="Comma 4 2 2 3 3 3 2" xfId="21889" xr:uid="{00000000-0005-0000-0000-0000FD170000}"/>
    <cellStyle name="Comma 4 2 2 3 3 3 2 2" xfId="38757" xr:uid="{C122992E-2A40-4574-A56F-0C3FFB2DB81A}"/>
    <cellStyle name="Comma 4 2 2 3 3 3 3" xfId="13454" xr:uid="{00000000-0005-0000-0000-0000FE170000}"/>
    <cellStyle name="Comma 4 2 2 3 3 3 4" xfId="30323" xr:uid="{AA6641FF-CF23-4C2A-9441-D6E240A3070C}"/>
    <cellStyle name="Comma 4 2 2 3 3 4" xfId="17671" xr:uid="{00000000-0005-0000-0000-0000FF170000}"/>
    <cellStyle name="Comma 4 2 2 3 3 4 2" xfId="34540" xr:uid="{A63D3C01-824A-46B7-87D9-20ED50DA95EB}"/>
    <cellStyle name="Comma 4 2 2 3 3 5" xfId="9236" xr:uid="{00000000-0005-0000-0000-000000180000}"/>
    <cellStyle name="Comma 4 2 2 3 3 6" xfId="26106" xr:uid="{30D3C68F-84BD-492A-AD82-F19215CBA8E8}"/>
    <cellStyle name="Comma 4 2 2 3 4" xfId="1123" xr:uid="{00000000-0005-0000-0000-000001180000}"/>
    <cellStyle name="Comma 4 2 2 3 4 2" xfId="3354" xr:uid="{00000000-0005-0000-0000-000002180000}"/>
    <cellStyle name="Comma 4 2 2 3 4 2 2" xfId="7577" xr:uid="{00000000-0005-0000-0000-000003180000}"/>
    <cellStyle name="Comma 4 2 2 3 4 2 2 2" xfId="24447" xr:uid="{00000000-0005-0000-0000-000004180000}"/>
    <cellStyle name="Comma 4 2 2 3 4 2 2 2 2" xfId="41315" xr:uid="{EA92DF8A-3543-48CB-ABA1-F87484444B70}"/>
    <cellStyle name="Comma 4 2 2 3 4 2 2 3" xfId="16012" xr:uid="{00000000-0005-0000-0000-000005180000}"/>
    <cellStyle name="Comma 4 2 2 3 4 2 2 4" xfId="32881" xr:uid="{9AA9898C-D31C-4176-8F72-07E8A735B42E}"/>
    <cellStyle name="Comma 4 2 2 3 4 2 3" xfId="20229" xr:uid="{00000000-0005-0000-0000-000006180000}"/>
    <cellStyle name="Comma 4 2 2 3 4 2 3 2" xfId="37098" xr:uid="{A2135306-0F16-4518-B4BB-5C89AAF76F2B}"/>
    <cellStyle name="Comma 4 2 2 3 4 2 4" xfId="11794" xr:uid="{00000000-0005-0000-0000-000007180000}"/>
    <cellStyle name="Comma 4 2 2 3 4 2 5" xfId="28664" xr:uid="{99A40448-A93C-426B-926C-9568A7BB977C}"/>
    <cellStyle name="Comma 4 2 2 3 4 3" xfId="5432" xr:uid="{00000000-0005-0000-0000-000008180000}"/>
    <cellStyle name="Comma 4 2 2 3 4 3 2" xfId="22302" xr:uid="{00000000-0005-0000-0000-000009180000}"/>
    <cellStyle name="Comma 4 2 2 3 4 3 2 2" xfId="39170" xr:uid="{B4EB1353-84C8-4289-B459-359F701CDD6C}"/>
    <cellStyle name="Comma 4 2 2 3 4 3 3" xfId="13867" xr:uid="{00000000-0005-0000-0000-00000A180000}"/>
    <cellStyle name="Comma 4 2 2 3 4 3 4" xfId="30736" xr:uid="{1E20D13D-2402-472D-AAE2-0546C7316431}"/>
    <cellStyle name="Comma 4 2 2 3 4 4" xfId="18084" xr:uid="{00000000-0005-0000-0000-00000B180000}"/>
    <cellStyle name="Comma 4 2 2 3 4 4 2" xfId="34953" xr:uid="{8B1A1C88-91E5-404B-87E8-B81830C4BFAD}"/>
    <cellStyle name="Comma 4 2 2 3 4 5" xfId="9649" xr:uid="{00000000-0005-0000-0000-00000C180000}"/>
    <cellStyle name="Comma 4 2 2 3 4 6" xfId="26519" xr:uid="{41D2D4BD-16C8-4598-BE91-AB63DD27AD69}"/>
    <cellStyle name="Comma 4 2 2 3 5" xfId="1537" xr:uid="{00000000-0005-0000-0000-00000D180000}"/>
    <cellStyle name="Comma 4 2 2 3 5 2" xfId="3767" xr:uid="{00000000-0005-0000-0000-00000E180000}"/>
    <cellStyle name="Comma 4 2 2 3 5 2 2" xfId="7990" xr:uid="{00000000-0005-0000-0000-00000F180000}"/>
    <cellStyle name="Comma 4 2 2 3 5 2 2 2" xfId="24860" xr:uid="{00000000-0005-0000-0000-000010180000}"/>
    <cellStyle name="Comma 4 2 2 3 5 2 2 2 2" xfId="41728" xr:uid="{98B7B1EF-7EAA-456C-A87A-24C2BF5FCD2A}"/>
    <cellStyle name="Comma 4 2 2 3 5 2 2 3" xfId="16425" xr:uid="{00000000-0005-0000-0000-000011180000}"/>
    <cellStyle name="Comma 4 2 2 3 5 2 2 4" xfId="33294" xr:uid="{BDEC7C54-E056-495E-849A-0AC9ACE9A96F}"/>
    <cellStyle name="Comma 4 2 2 3 5 2 3" xfId="20642" xr:uid="{00000000-0005-0000-0000-000012180000}"/>
    <cellStyle name="Comma 4 2 2 3 5 2 3 2" xfId="37511" xr:uid="{0C0AF7B4-31FD-45E1-BE37-9AF2E4493BCA}"/>
    <cellStyle name="Comma 4 2 2 3 5 2 4" xfId="12207" xr:uid="{00000000-0005-0000-0000-000013180000}"/>
    <cellStyle name="Comma 4 2 2 3 5 2 5" xfId="29077" xr:uid="{DE976A29-58A0-4CA8-8D91-5F735FD5C636}"/>
    <cellStyle name="Comma 4 2 2 3 5 3" xfId="5845" xr:uid="{00000000-0005-0000-0000-000014180000}"/>
    <cellStyle name="Comma 4 2 2 3 5 3 2" xfId="22715" xr:uid="{00000000-0005-0000-0000-000015180000}"/>
    <cellStyle name="Comma 4 2 2 3 5 3 2 2" xfId="39583" xr:uid="{0E280D86-02DD-4A63-9F7E-0EE80B55A5D7}"/>
    <cellStyle name="Comma 4 2 2 3 5 3 3" xfId="14280" xr:uid="{00000000-0005-0000-0000-000016180000}"/>
    <cellStyle name="Comma 4 2 2 3 5 3 4" xfId="31149" xr:uid="{7A0D419D-536E-463E-B912-EECB64F5084D}"/>
    <cellStyle name="Comma 4 2 2 3 5 4" xfId="18497" xr:uid="{00000000-0005-0000-0000-000017180000}"/>
    <cellStyle name="Comma 4 2 2 3 5 4 2" xfId="35366" xr:uid="{96497C4F-CC63-4744-9505-DAB2D48C418B}"/>
    <cellStyle name="Comma 4 2 2 3 5 5" xfId="10062" xr:uid="{00000000-0005-0000-0000-000018180000}"/>
    <cellStyle name="Comma 4 2 2 3 5 6" xfId="26932" xr:uid="{7F513FBC-B94D-4265-A35F-CA41DF68CCB0}"/>
    <cellStyle name="Comma 4 2 2 3 6" xfId="1951" xr:uid="{00000000-0005-0000-0000-000019180000}"/>
    <cellStyle name="Comma 4 2 2 3 6 2" xfId="4180" xr:uid="{00000000-0005-0000-0000-00001A180000}"/>
    <cellStyle name="Comma 4 2 2 3 6 2 2" xfId="8403" xr:uid="{00000000-0005-0000-0000-00001B180000}"/>
    <cellStyle name="Comma 4 2 2 3 6 2 2 2" xfId="25273" xr:uid="{00000000-0005-0000-0000-00001C180000}"/>
    <cellStyle name="Comma 4 2 2 3 6 2 2 2 2" xfId="42141" xr:uid="{E76DE00F-7FA6-4FFE-B8DD-9078806E79D2}"/>
    <cellStyle name="Comma 4 2 2 3 6 2 2 3" xfId="16838" xr:uid="{00000000-0005-0000-0000-00001D180000}"/>
    <cellStyle name="Comma 4 2 2 3 6 2 2 4" xfId="33707" xr:uid="{6D40CD89-ACAA-4036-A8DA-63AF291EE9C9}"/>
    <cellStyle name="Comma 4 2 2 3 6 2 3" xfId="21055" xr:uid="{00000000-0005-0000-0000-00001E180000}"/>
    <cellStyle name="Comma 4 2 2 3 6 2 3 2" xfId="37924" xr:uid="{1DBF0075-71E1-49A6-82AC-C7F25A45F282}"/>
    <cellStyle name="Comma 4 2 2 3 6 2 4" xfId="12620" xr:uid="{00000000-0005-0000-0000-00001F180000}"/>
    <cellStyle name="Comma 4 2 2 3 6 2 5" xfId="29490" xr:uid="{E388058E-BE68-4CFB-89C9-9001812E0418}"/>
    <cellStyle name="Comma 4 2 2 3 6 3" xfId="6258" xr:uid="{00000000-0005-0000-0000-000020180000}"/>
    <cellStyle name="Comma 4 2 2 3 6 3 2" xfId="23128" xr:uid="{00000000-0005-0000-0000-000021180000}"/>
    <cellStyle name="Comma 4 2 2 3 6 3 2 2" xfId="39996" xr:uid="{DCDD5C39-C687-4802-ABBC-DF2FE202F21F}"/>
    <cellStyle name="Comma 4 2 2 3 6 3 3" xfId="14693" xr:uid="{00000000-0005-0000-0000-000022180000}"/>
    <cellStyle name="Comma 4 2 2 3 6 3 4" xfId="31562" xr:uid="{D40EF3E2-0D4B-4F70-9517-F9D3CF6610D1}"/>
    <cellStyle name="Comma 4 2 2 3 6 4" xfId="18910" xr:uid="{00000000-0005-0000-0000-000023180000}"/>
    <cellStyle name="Comma 4 2 2 3 6 4 2" xfId="35779" xr:uid="{26A03D74-C34E-42D4-973E-05B899ED667A}"/>
    <cellStyle name="Comma 4 2 2 3 6 5" xfId="10475" xr:uid="{00000000-0005-0000-0000-000024180000}"/>
    <cellStyle name="Comma 4 2 2 3 6 6" xfId="27345" xr:uid="{CD3F276C-EE10-448C-8285-8CC7935D9852}"/>
    <cellStyle name="Comma 4 2 2 3 7" xfId="2386" xr:uid="{00000000-0005-0000-0000-000025180000}"/>
    <cellStyle name="Comma 4 2 2 3 7 2" xfId="6671" xr:uid="{00000000-0005-0000-0000-000026180000}"/>
    <cellStyle name="Comma 4 2 2 3 7 2 2" xfId="23541" xr:uid="{00000000-0005-0000-0000-000027180000}"/>
    <cellStyle name="Comma 4 2 2 3 7 2 2 2" xfId="40409" xr:uid="{4694B9B9-AA82-44FA-9A6B-DEC630D7B5ED}"/>
    <cellStyle name="Comma 4 2 2 3 7 2 3" xfId="15106" xr:uid="{00000000-0005-0000-0000-000028180000}"/>
    <cellStyle name="Comma 4 2 2 3 7 2 4" xfId="31975" xr:uid="{CBA3970D-055D-40D2-9573-8E965DFA7FCA}"/>
    <cellStyle name="Comma 4 2 2 3 7 3" xfId="19323" xr:uid="{00000000-0005-0000-0000-000029180000}"/>
    <cellStyle name="Comma 4 2 2 3 7 3 2" xfId="36192" xr:uid="{195D0F70-7D69-47CB-82CF-9220FB9D9752}"/>
    <cellStyle name="Comma 4 2 2 3 7 4" xfId="10888" xr:uid="{00000000-0005-0000-0000-00002A180000}"/>
    <cellStyle name="Comma 4 2 2 3 7 5" xfId="27758" xr:uid="{8B432C8B-CEC5-45EA-B9B0-C9449C4792D4}"/>
    <cellStyle name="Comma 4 2 2 3 8" xfId="2377" xr:uid="{00000000-0005-0000-0000-00002B180000}"/>
    <cellStyle name="Comma 4 2 2 3 9" xfId="2764" xr:uid="{00000000-0005-0000-0000-00002C180000}"/>
    <cellStyle name="Comma 4 2 2 3 9 2" xfId="6988" xr:uid="{00000000-0005-0000-0000-00002D180000}"/>
    <cellStyle name="Comma 4 2 2 3 9 2 2" xfId="23858" xr:uid="{00000000-0005-0000-0000-00002E180000}"/>
    <cellStyle name="Comma 4 2 2 3 9 2 2 2" xfId="40726" xr:uid="{6DC99E53-EAD8-4E24-BA12-3EE6CBCC6D71}"/>
    <cellStyle name="Comma 4 2 2 3 9 2 3" xfId="15423" xr:uid="{00000000-0005-0000-0000-00002F180000}"/>
    <cellStyle name="Comma 4 2 2 3 9 2 4" xfId="32292" xr:uid="{F0C2D04F-CF21-4656-B1C0-952623B80EA8}"/>
    <cellStyle name="Comma 4 2 2 3 9 3" xfId="19640" xr:uid="{00000000-0005-0000-0000-000030180000}"/>
    <cellStyle name="Comma 4 2 2 3 9 3 2" xfId="36509" xr:uid="{6542B1E1-2A1F-47AE-BC31-70D5EE1D262A}"/>
    <cellStyle name="Comma 4 2 2 3 9 4" xfId="11205" xr:uid="{00000000-0005-0000-0000-000031180000}"/>
    <cellStyle name="Comma 4 2 2 3 9 5" xfId="28075" xr:uid="{4E0E5454-81C1-40FA-BFC3-F6F9D506A5F9}"/>
    <cellStyle name="Comma 4 2 2 4" xfId="134" xr:uid="{00000000-0005-0000-0000-000032180000}"/>
    <cellStyle name="Comma 4 2 2 4 10" xfId="17259" xr:uid="{00000000-0005-0000-0000-000033180000}"/>
    <cellStyle name="Comma 4 2 2 4 10 2" xfId="34128" xr:uid="{179F1B09-2D05-435D-8814-59F3A82D0B1F}"/>
    <cellStyle name="Comma 4 2 2 4 11" xfId="8824" xr:uid="{00000000-0005-0000-0000-000034180000}"/>
    <cellStyle name="Comma 4 2 2 4 12" xfId="25694" xr:uid="{C28012B5-43E3-4FE2-99B4-E3C87FFC5772}"/>
    <cellStyle name="Comma 4 2 2 4 2" xfId="672" xr:uid="{00000000-0005-0000-0000-000035180000}"/>
    <cellStyle name="Comma 4 2 2 4 2 2" xfId="2943" xr:uid="{00000000-0005-0000-0000-000036180000}"/>
    <cellStyle name="Comma 4 2 2 4 2 2 2" xfId="7166" xr:uid="{00000000-0005-0000-0000-000037180000}"/>
    <cellStyle name="Comma 4 2 2 4 2 2 2 2" xfId="24036" xr:uid="{00000000-0005-0000-0000-000038180000}"/>
    <cellStyle name="Comma 4 2 2 4 2 2 2 2 2" xfId="40904" xr:uid="{7FF5558A-4209-48F0-A9C3-FDCEAA2DB18D}"/>
    <cellStyle name="Comma 4 2 2 4 2 2 2 3" xfId="15601" xr:uid="{00000000-0005-0000-0000-000039180000}"/>
    <cellStyle name="Comma 4 2 2 4 2 2 2 4" xfId="32470" xr:uid="{C0E3E29E-7F63-45D5-B8F7-0F86AB1BAEA0}"/>
    <cellStyle name="Comma 4 2 2 4 2 2 3" xfId="19818" xr:uid="{00000000-0005-0000-0000-00003A180000}"/>
    <cellStyle name="Comma 4 2 2 4 2 2 3 2" xfId="36687" xr:uid="{C0C110AD-B4EE-4369-A35A-42FAE8EBE252}"/>
    <cellStyle name="Comma 4 2 2 4 2 2 4" xfId="11383" xr:uid="{00000000-0005-0000-0000-00003B180000}"/>
    <cellStyle name="Comma 4 2 2 4 2 2 5" xfId="28253" xr:uid="{281EADF5-37F3-417A-A37E-B6FEBF4F59DF}"/>
    <cellStyle name="Comma 4 2 2 4 2 3" xfId="5021" xr:uid="{00000000-0005-0000-0000-00003C180000}"/>
    <cellStyle name="Comma 4 2 2 4 2 3 2" xfId="21891" xr:uid="{00000000-0005-0000-0000-00003D180000}"/>
    <cellStyle name="Comma 4 2 2 4 2 3 2 2" xfId="38759" xr:uid="{BDAE16EB-4401-4EC3-92E2-DBB3F7F52380}"/>
    <cellStyle name="Comma 4 2 2 4 2 3 3" xfId="13456" xr:uid="{00000000-0005-0000-0000-00003E180000}"/>
    <cellStyle name="Comma 4 2 2 4 2 3 4" xfId="30325" xr:uid="{55E64840-5215-4F7F-BF19-128C8639C9DA}"/>
    <cellStyle name="Comma 4 2 2 4 2 4" xfId="17673" xr:uid="{00000000-0005-0000-0000-00003F180000}"/>
    <cellStyle name="Comma 4 2 2 4 2 4 2" xfId="34542" xr:uid="{51C49752-AAAD-4521-A838-936AD5907E1B}"/>
    <cellStyle name="Comma 4 2 2 4 2 5" xfId="9238" xr:uid="{00000000-0005-0000-0000-000040180000}"/>
    <cellStyle name="Comma 4 2 2 4 2 6" xfId="26108" xr:uid="{371F4AF9-1099-46F4-9B6A-4A7CDDAA5735}"/>
    <cellStyle name="Comma 4 2 2 4 3" xfId="1125" xr:uid="{00000000-0005-0000-0000-000041180000}"/>
    <cellStyle name="Comma 4 2 2 4 3 2" xfId="3356" xr:uid="{00000000-0005-0000-0000-000042180000}"/>
    <cellStyle name="Comma 4 2 2 4 3 2 2" xfId="7579" xr:uid="{00000000-0005-0000-0000-000043180000}"/>
    <cellStyle name="Comma 4 2 2 4 3 2 2 2" xfId="24449" xr:uid="{00000000-0005-0000-0000-000044180000}"/>
    <cellStyle name="Comma 4 2 2 4 3 2 2 2 2" xfId="41317" xr:uid="{3F5AF269-2BD2-46E2-9845-FB05480B8811}"/>
    <cellStyle name="Comma 4 2 2 4 3 2 2 3" xfId="16014" xr:uid="{00000000-0005-0000-0000-000045180000}"/>
    <cellStyle name="Comma 4 2 2 4 3 2 2 4" xfId="32883" xr:uid="{9459A2B1-73CE-41F2-8C7A-264C92CD2ADB}"/>
    <cellStyle name="Comma 4 2 2 4 3 2 3" xfId="20231" xr:uid="{00000000-0005-0000-0000-000046180000}"/>
    <cellStyle name="Comma 4 2 2 4 3 2 3 2" xfId="37100" xr:uid="{0A4EA7B7-DC13-4C70-9451-A544C422C44A}"/>
    <cellStyle name="Comma 4 2 2 4 3 2 4" xfId="11796" xr:uid="{00000000-0005-0000-0000-000047180000}"/>
    <cellStyle name="Comma 4 2 2 4 3 2 5" xfId="28666" xr:uid="{9914D221-932E-4092-9295-7BBDD7F14A11}"/>
    <cellStyle name="Comma 4 2 2 4 3 3" xfId="5434" xr:uid="{00000000-0005-0000-0000-000048180000}"/>
    <cellStyle name="Comma 4 2 2 4 3 3 2" xfId="22304" xr:uid="{00000000-0005-0000-0000-000049180000}"/>
    <cellStyle name="Comma 4 2 2 4 3 3 2 2" xfId="39172" xr:uid="{1EA190D1-2A92-4926-BE3B-A0992F5CC2C8}"/>
    <cellStyle name="Comma 4 2 2 4 3 3 3" xfId="13869" xr:uid="{00000000-0005-0000-0000-00004A180000}"/>
    <cellStyle name="Comma 4 2 2 4 3 3 4" xfId="30738" xr:uid="{5FBE18E5-23D1-4E94-9A09-F451BC16F6EC}"/>
    <cellStyle name="Comma 4 2 2 4 3 4" xfId="18086" xr:uid="{00000000-0005-0000-0000-00004B180000}"/>
    <cellStyle name="Comma 4 2 2 4 3 4 2" xfId="34955" xr:uid="{98EC8B84-60FD-4DF2-B404-6022730C89D7}"/>
    <cellStyle name="Comma 4 2 2 4 3 5" xfId="9651" xr:uid="{00000000-0005-0000-0000-00004C180000}"/>
    <cellStyle name="Comma 4 2 2 4 3 6" xfId="26521" xr:uid="{D534D582-0B11-425D-84E0-687AE9634664}"/>
    <cellStyle name="Comma 4 2 2 4 4" xfId="1539" xr:uid="{00000000-0005-0000-0000-00004D180000}"/>
    <cellStyle name="Comma 4 2 2 4 4 2" xfId="3769" xr:uid="{00000000-0005-0000-0000-00004E180000}"/>
    <cellStyle name="Comma 4 2 2 4 4 2 2" xfId="7992" xr:uid="{00000000-0005-0000-0000-00004F180000}"/>
    <cellStyle name="Comma 4 2 2 4 4 2 2 2" xfId="24862" xr:uid="{00000000-0005-0000-0000-000050180000}"/>
    <cellStyle name="Comma 4 2 2 4 4 2 2 2 2" xfId="41730" xr:uid="{37E011F7-E4CE-473A-AAF4-06646D92F17E}"/>
    <cellStyle name="Comma 4 2 2 4 4 2 2 3" xfId="16427" xr:uid="{00000000-0005-0000-0000-000051180000}"/>
    <cellStyle name="Comma 4 2 2 4 4 2 2 4" xfId="33296" xr:uid="{29FE4162-5FF9-4993-B8D9-27FC1548B36D}"/>
    <cellStyle name="Comma 4 2 2 4 4 2 3" xfId="20644" xr:uid="{00000000-0005-0000-0000-000052180000}"/>
    <cellStyle name="Comma 4 2 2 4 4 2 3 2" xfId="37513" xr:uid="{1E1D32EF-6B67-40D6-B97F-76F5542721F0}"/>
    <cellStyle name="Comma 4 2 2 4 4 2 4" xfId="12209" xr:uid="{00000000-0005-0000-0000-000053180000}"/>
    <cellStyle name="Comma 4 2 2 4 4 2 5" xfId="29079" xr:uid="{5E8EF91F-1040-461A-9260-AC50F30B7435}"/>
    <cellStyle name="Comma 4 2 2 4 4 3" xfId="5847" xr:uid="{00000000-0005-0000-0000-000054180000}"/>
    <cellStyle name="Comma 4 2 2 4 4 3 2" xfId="22717" xr:uid="{00000000-0005-0000-0000-000055180000}"/>
    <cellStyle name="Comma 4 2 2 4 4 3 2 2" xfId="39585" xr:uid="{D5CEAA55-12DA-46A4-BCFC-1B74708D679C}"/>
    <cellStyle name="Comma 4 2 2 4 4 3 3" xfId="14282" xr:uid="{00000000-0005-0000-0000-000056180000}"/>
    <cellStyle name="Comma 4 2 2 4 4 3 4" xfId="31151" xr:uid="{867C0789-8B89-4035-9366-F2C7B13F2CE2}"/>
    <cellStyle name="Comma 4 2 2 4 4 4" xfId="18499" xr:uid="{00000000-0005-0000-0000-000057180000}"/>
    <cellStyle name="Comma 4 2 2 4 4 4 2" xfId="35368" xr:uid="{8CADA266-8E72-43CE-98CE-74AB09ED0DA4}"/>
    <cellStyle name="Comma 4 2 2 4 4 5" xfId="10064" xr:uid="{00000000-0005-0000-0000-000058180000}"/>
    <cellStyle name="Comma 4 2 2 4 4 6" xfId="26934" xr:uid="{7BDEB083-4AD6-4E40-AFFB-79881ED23CB6}"/>
    <cellStyle name="Comma 4 2 2 4 5" xfId="1953" xr:uid="{00000000-0005-0000-0000-000059180000}"/>
    <cellStyle name="Comma 4 2 2 4 5 2" xfId="4182" xr:uid="{00000000-0005-0000-0000-00005A180000}"/>
    <cellStyle name="Comma 4 2 2 4 5 2 2" xfId="8405" xr:uid="{00000000-0005-0000-0000-00005B180000}"/>
    <cellStyle name="Comma 4 2 2 4 5 2 2 2" xfId="25275" xr:uid="{00000000-0005-0000-0000-00005C180000}"/>
    <cellStyle name="Comma 4 2 2 4 5 2 2 2 2" xfId="42143" xr:uid="{4E9BB7B4-D67A-4A9E-BD1A-A3F9C513E796}"/>
    <cellStyle name="Comma 4 2 2 4 5 2 2 3" xfId="16840" xr:uid="{00000000-0005-0000-0000-00005D180000}"/>
    <cellStyle name="Comma 4 2 2 4 5 2 2 4" xfId="33709" xr:uid="{2FECD225-1D75-4340-B04D-66E9ABACD658}"/>
    <cellStyle name="Comma 4 2 2 4 5 2 3" xfId="21057" xr:uid="{00000000-0005-0000-0000-00005E180000}"/>
    <cellStyle name="Comma 4 2 2 4 5 2 3 2" xfId="37926" xr:uid="{2D317EA4-8A1C-430C-B3C1-C1A005A2AF70}"/>
    <cellStyle name="Comma 4 2 2 4 5 2 4" xfId="12622" xr:uid="{00000000-0005-0000-0000-00005F180000}"/>
    <cellStyle name="Comma 4 2 2 4 5 2 5" xfId="29492" xr:uid="{19C5F94C-A7FC-4485-91C9-2BC9C38198FC}"/>
    <cellStyle name="Comma 4 2 2 4 5 3" xfId="6260" xr:uid="{00000000-0005-0000-0000-000060180000}"/>
    <cellStyle name="Comma 4 2 2 4 5 3 2" xfId="23130" xr:uid="{00000000-0005-0000-0000-000061180000}"/>
    <cellStyle name="Comma 4 2 2 4 5 3 2 2" xfId="39998" xr:uid="{B9028E1D-9B69-4C07-B720-E67EDB9508BE}"/>
    <cellStyle name="Comma 4 2 2 4 5 3 3" xfId="14695" xr:uid="{00000000-0005-0000-0000-000062180000}"/>
    <cellStyle name="Comma 4 2 2 4 5 3 4" xfId="31564" xr:uid="{4533CF92-2E28-429C-B35C-B0446EF9C0F0}"/>
    <cellStyle name="Comma 4 2 2 4 5 4" xfId="18912" xr:uid="{00000000-0005-0000-0000-000063180000}"/>
    <cellStyle name="Comma 4 2 2 4 5 4 2" xfId="35781" xr:uid="{98423D88-ED1A-4AAF-92E9-348782BBA0DE}"/>
    <cellStyle name="Comma 4 2 2 4 5 5" xfId="10477" xr:uid="{00000000-0005-0000-0000-000064180000}"/>
    <cellStyle name="Comma 4 2 2 4 5 6" xfId="27347" xr:uid="{C4477472-7FCC-41A0-8AF9-82B23C7DBC82}"/>
    <cellStyle name="Comma 4 2 2 4 6" xfId="2388" xr:uid="{00000000-0005-0000-0000-000065180000}"/>
    <cellStyle name="Comma 4 2 2 4 6 2" xfId="6673" xr:uid="{00000000-0005-0000-0000-000066180000}"/>
    <cellStyle name="Comma 4 2 2 4 6 2 2" xfId="23543" xr:uid="{00000000-0005-0000-0000-000067180000}"/>
    <cellStyle name="Comma 4 2 2 4 6 2 2 2" xfId="40411" xr:uid="{99400881-F135-4C81-A31A-2FFB952A5883}"/>
    <cellStyle name="Comma 4 2 2 4 6 2 3" xfId="15108" xr:uid="{00000000-0005-0000-0000-000068180000}"/>
    <cellStyle name="Comma 4 2 2 4 6 2 4" xfId="31977" xr:uid="{CD046FEC-4D5F-4A47-B9A9-1CD4247DF59F}"/>
    <cellStyle name="Comma 4 2 2 4 6 3" xfId="19325" xr:uid="{00000000-0005-0000-0000-000069180000}"/>
    <cellStyle name="Comma 4 2 2 4 6 3 2" xfId="36194" xr:uid="{51B49484-8D72-407F-AA86-BA5EA78A3E83}"/>
    <cellStyle name="Comma 4 2 2 4 6 4" xfId="10890" xr:uid="{00000000-0005-0000-0000-00006A180000}"/>
    <cellStyle name="Comma 4 2 2 4 6 5" xfId="27760" xr:uid="{19A8BAEB-3642-4B3A-A3F3-E851DC4857F2}"/>
    <cellStyle name="Comma 4 2 2 4 7" xfId="2375" xr:uid="{00000000-0005-0000-0000-00006B180000}"/>
    <cellStyle name="Comma 4 2 2 4 8" xfId="2766" xr:uid="{00000000-0005-0000-0000-00006C180000}"/>
    <cellStyle name="Comma 4 2 2 4 8 2" xfId="6990" xr:uid="{00000000-0005-0000-0000-00006D180000}"/>
    <cellStyle name="Comma 4 2 2 4 8 2 2" xfId="23860" xr:uid="{00000000-0005-0000-0000-00006E180000}"/>
    <cellStyle name="Comma 4 2 2 4 8 2 2 2" xfId="40728" xr:uid="{C0D13995-5FE2-42D6-B6A4-FBCD1560B55D}"/>
    <cellStyle name="Comma 4 2 2 4 8 2 3" xfId="15425" xr:uid="{00000000-0005-0000-0000-00006F180000}"/>
    <cellStyle name="Comma 4 2 2 4 8 2 4" xfId="32294" xr:uid="{168FDA12-39C0-444E-9192-255E729B2242}"/>
    <cellStyle name="Comma 4 2 2 4 8 3" xfId="19642" xr:uid="{00000000-0005-0000-0000-000070180000}"/>
    <cellStyle name="Comma 4 2 2 4 8 3 2" xfId="36511" xr:uid="{3F296AA5-235F-48D8-AD1E-75BBF551CA4F}"/>
    <cellStyle name="Comma 4 2 2 4 8 4" xfId="11207" xr:uid="{00000000-0005-0000-0000-000071180000}"/>
    <cellStyle name="Comma 4 2 2 4 8 5" xfId="28077" xr:uid="{A844F199-4386-4E2C-976B-758993D70EB1}"/>
    <cellStyle name="Comma 4 2 2 4 9" xfId="4607" xr:uid="{00000000-0005-0000-0000-000072180000}"/>
    <cellStyle name="Comma 4 2 2 4 9 2" xfId="21477" xr:uid="{00000000-0005-0000-0000-000073180000}"/>
    <cellStyle name="Comma 4 2 2 4 9 2 2" xfId="38345" xr:uid="{533B4DBC-EF3F-4599-9D23-97CE7950CE89}"/>
    <cellStyle name="Comma 4 2 2 4 9 3" xfId="13042" xr:uid="{00000000-0005-0000-0000-000074180000}"/>
    <cellStyle name="Comma 4 2 2 4 9 4" xfId="29911" xr:uid="{03E05BFE-1E70-403D-8A82-28480FE4E090}"/>
    <cellStyle name="Comma 4 2 2 5" xfId="135" xr:uid="{00000000-0005-0000-0000-000075180000}"/>
    <cellStyle name="Comma 4 2 2 5 10" xfId="17260" xr:uid="{00000000-0005-0000-0000-000076180000}"/>
    <cellStyle name="Comma 4 2 2 5 10 2" xfId="34129" xr:uid="{3A74B70E-AC85-4B4B-9102-B254C75F675A}"/>
    <cellStyle name="Comma 4 2 2 5 11" xfId="8825" xr:uid="{00000000-0005-0000-0000-000077180000}"/>
    <cellStyle name="Comma 4 2 2 5 12" xfId="25695" xr:uid="{0706B8B7-0ECA-4133-8675-A9E2B12BED10}"/>
    <cellStyle name="Comma 4 2 2 5 2" xfId="673" xr:uid="{00000000-0005-0000-0000-000078180000}"/>
    <cellStyle name="Comma 4 2 2 5 2 2" xfId="2944" xr:uid="{00000000-0005-0000-0000-000079180000}"/>
    <cellStyle name="Comma 4 2 2 5 2 2 2" xfId="7167" xr:uid="{00000000-0005-0000-0000-00007A180000}"/>
    <cellStyle name="Comma 4 2 2 5 2 2 2 2" xfId="24037" xr:uid="{00000000-0005-0000-0000-00007B180000}"/>
    <cellStyle name="Comma 4 2 2 5 2 2 2 2 2" xfId="40905" xr:uid="{9E6D4C5A-A892-4548-9FC5-94F5E78CF80F}"/>
    <cellStyle name="Comma 4 2 2 5 2 2 2 3" xfId="15602" xr:uid="{00000000-0005-0000-0000-00007C180000}"/>
    <cellStyle name="Comma 4 2 2 5 2 2 2 4" xfId="32471" xr:uid="{A6F965AA-CB1F-41EE-A0CC-E81766DF78E8}"/>
    <cellStyle name="Comma 4 2 2 5 2 2 3" xfId="19819" xr:uid="{00000000-0005-0000-0000-00007D180000}"/>
    <cellStyle name="Comma 4 2 2 5 2 2 3 2" xfId="36688" xr:uid="{854AA7AB-B64B-4FA0-B677-F583536D91A3}"/>
    <cellStyle name="Comma 4 2 2 5 2 2 4" xfId="11384" xr:uid="{00000000-0005-0000-0000-00007E180000}"/>
    <cellStyle name="Comma 4 2 2 5 2 2 5" xfId="28254" xr:uid="{F84C3918-1914-4154-964E-D908C5ADFBE3}"/>
    <cellStyle name="Comma 4 2 2 5 2 3" xfId="5022" xr:uid="{00000000-0005-0000-0000-00007F180000}"/>
    <cellStyle name="Comma 4 2 2 5 2 3 2" xfId="21892" xr:uid="{00000000-0005-0000-0000-000080180000}"/>
    <cellStyle name="Comma 4 2 2 5 2 3 2 2" xfId="38760" xr:uid="{56BF999A-5B2B-489D-BECE-6063ED3E69FC}"/>
    <cellStyle name="Comma 4 2 2 5 2 3 3" xfId="13457" xr:uid="{00000000-0005-0000-0000-000081180000}"/>
    <cellStyle name="Comma 4 2 2 5 2 3 4" xfId="30326" xr:uid="{2DBA3EC6-65A0-4045-AD58-CD7018D7085C}"/>
    <cellStyle name="Comma 4 2 2 5 2 4" xfId="17674" xr:uid="{00000000-0005-0000-0000-000082180000}"/>
    <cellStyle name="Comma 4 2 2 5 2 4 2" xfId="34543" xr:uid="{F6B04460-A6AD-416E-A40B-0ADED14F696B}"/>
    <cellStyle name="Comma 4 2 2 5 2 5" xfId="9239" xr:uid="{00000000-0005-0000-0000-000083180000}"/>
    <cellStyle name="Comma 4 2 2 5 2 6" xfId="26109" xr:uid="{387CE4BE-041E-4806-9BC6-941B76E0EC94}"/>
    <cellStyle name="Comma 4 2 2 5 3" xfId="1126" xr:uid="{00000000-0005-0000-0000-000084180000}"/>
    <cellStyle name="Comma 4 2 2 5 3 2" xfId="3357" xr:uid="{00000000-0005-0000-0000-000085180000}"/>
    <cellStyle name="Comma 4 2 2 5 3 2 2" xfId="7580" xr:uid="{00000000-0005-0000-0000-000086180000}"/>
    <cellStyle name="Comma 4 2 2 5 3 2 2 2" xfId="24450" xr:uid="{00000000-0005-0000-0000-000087180000}"/>
    <cellStyle name="Comma 4 2 2 5 3 2 2 2 2" xfId="41318" xr:uid="{E151D36A-35F7-4FD6-8E58-A5E6DDDA70E3}"/>
    <cellStyle name="Comma 4 2 2 5 3 2 2 3" xfId="16015" xr:uid="{00000000-0005-0000-0000-000088180000}"/>
    <cellStyle name="Comma 4 2 2 5 3 2 2 4" xfId="32884" xr:uid="{3B10022F-C18C-4FF7-BB20-E3EE51E24B67}"/>
    <cellStyle name="Comma 4 2 2 5 3 2 3" xfId="20232" xr:uid="{00000000-0005-0000-0000-000089180000}"/>
    <cellStyle name="Comma 4 2 2 5 3 2 3 2" xfId="37101" xr:uid="{CE0E6A68-EF3A-4985-8F5D-BFFA0624BF63}"/>
    <cellStyle name="Comma 4 2 2 5 3 2 4" xfId="11797" xr:uid="{00000000-0005-0000-0000-00008A180000}"/>
    <cellStyle name="Comma 4 2 2 5 3 2 5" xfId="28667" xr:uid="{92D6F4DD-64FB-46D0-BDDD-967A75CF468C}"/>
    <cellStyle name="Comma 4 2 2 5 3 3" xfId="5435" xr:uid="{00000000-0005-0000-0000-00008B180000}"/>
    <cellStyle name="Comma 4 2 2 5 3 3 2" xfId="22305" xr:uid="{00000000-0005-0000-0000-00008C180000}"/>
    <cellStyle name="Comma 4 2 2 5 3 3 2 2" xfId="39173" xr:uid="{8F8CAD54-ED60-46B1-A73B-7D97C91B0E8D}"/>
    <cellStyle name="Comma 4 2 2 5 3 3 3" xfId="13870" xr:uid="{00000000-0005-0000-0000-00008D180000}"/>
    <cellStyle name="Comma 4 2 2 5 3 3 4" xfId="30739" xr:uid="{89299231-F8F0-4368-91AD-98517316E276}"/>
    <cellStyle name="Comma 4 2 2 5 3 4" xfId="18087" xr:uid="{00000000-0005-0000-0000-00008E180000}"/>
    <cellStyle name="Comma 4 2 2 5 3 4 2" xfId="34956" xr:uid="{CEFEE500-DA2F-4449-97BA-D2D17E9D2BC5}"/>
    <cellStyle name="Comma 4 2 2 5 3 5" xfId="9652" xr:uid="{00000000-0005-0000-0000-00008F180000}"/>
    <cellStyle name="Comma 4 2 2 5 3 6" xfId="26522" xr:uid="{06F456FF-EB6F-4963-B755-140F056E396B}"/>
    <cellStyle name="Comma 4 2 2 5 4" xfId="1540" xr:uid="{00000000-0005-0000-0000-000090180000}"/>
    <cellStyle name="Comma 4 2 2 5 4 2" xfId="3770" xr:uid="{00000000-0005-0000-0000-000091180000}"/>
    <cellStyle name="Comma 4 2 2 5 4 2 2" xfId="7993" xr:uid="{00000000-0005-0000-0000-000092180000}"/>
    <cellStyle name="Comma 4 2 2 5 4 2 2 2" xfId="24863" xr:uid="{00000000-0005-0000-0000-000093180000}"/>
    <cellStyle name="Comma 4 2 2 5 4 2 2 2 2" xfId="41731" xr:uid="{93226FDE-068D-4EAE-B25A-3D183ACA3396}"/>
    <cellStyle name="Comma 4 2 2 5 4 2 2 3" xfId="16428" xr:uid="{00000000-0005-0000-0000-000094180000}"/>
    <cellStyle name="Comma 4 2 2 5 4 2 2 4" xfId="33297" xr:uid="{CA7E8568-C059-494C-902C-0CBD331D0545}"/>
    <cellStyle name="Comma 4 2 2 5 4 2 3" xfId="20645" xr:uid="{00000000-0005-0000-0000-000095180000}"/>
    <cellStyle name="Comma 4 2 2 5 4 2 3 2" xfId="37514" xr:uid="{5F1E2D9D-3508-48ED-8EDC-877FF7C603AD}"/>
    <cellStyle name="Comma 4 2 2 5 4 2 4" xfId="12210" xr:uid="{00000000-0005-0000-0000-000096180000}"/>
    <cellStyle name="Comma 4 2 2 5 4 2 5" xfId="29080" xr:uid="{B339A137-A93B-4DBA-98F5-13BA2B630463}"/>
    <cellStyle name="Comma 4 2 2 5 4 3" xfId="5848" xr:uid="{00000000-0005-0000-0000-000097180000}"/>
    <cellStyle name="Comma 4 2 2 5 4 3 2" xfId="22718" xr:uid="{00000000-0005-0000-0000-000098180000}"/>
    <cellStyle name="Comma 4 2 2 5 4 3 2 2" xfId="39586" xr:uid="{DB7B909C-77C5-46B1-B8FC-F18EEB8CDAC4}"/>
    <cellStyle name="Comma 4 2 2 5 4 3 3" xfId="14283" xr:uid="{00000000-0005-0000-0000-000099180000}"/>
    <cellStyle name="Comma 4 2 2 5 4 3 4" xfId="31152" xr:uid="{71F629E5-3265-45C0-AD1F-BE6C98538EB0}"/>
    <cellStyle name="Comma 4 2 2 5 4 4" xfId="18500" xr:uid="{00000000-0005-0000-0000-00009A180000}"/>
    <cellStyle name="Comma 4 2 2 5 4 4 2" xfId="35369" xr:uid="{AFFBA5A7-23CE-4847-B994-6F13806710E7}"/>
    <cellStyle name="Comma 4 2 2 5 4 5" xfId="10065" xr:uid="{00000000-0005-0000-0000-00009B180000}"/>
    <cellStyle name="Comma 4 2 2 5 4 6" xfId="26935" xr:uid="{8DF96D7A-0230-4F75-B141-EB1ACF9A28C0}"/>
    <cellStyle name="Comma 4 2 2 5 5" xfId="1954" xr:uid="{00000000-0005-0000-0000-00009C180000}"/>
    <cellStyle name="Comma 4 2 2 5 5 2" xfId="4183" xr:uid="{00000000-0005-0000-0000-00009D180000}"/>
    <cellStyle name="Comma 4 2 2 5 5 2 2" xfId="8406" xr:uid="{00000000-0005-0000-0000-00009E180000}"/>
    <cellStyle name="Comma 4 2 2 5 5 2 2 2" xfId="25276" xr:uid="{00000000-0005-0000-0000-00009F180000}"/>
    <cellStyle name="Comma 4 2 2 5 5 2 2 2 2" xfId="42144" xr:uid="{09589691-48DF-4E7D-B203-308A8877581D}"/>
    <cellStyle name="Comma 4 2 2 5 5 2 2 3" xfId="16841" xr:uid="{00000000-0005-0000-0000-0000A0180000}"/>
    <cellStyle name="Comma 4 2 2 5 5 2 2 4" xfId="33710" xr:uid="{78892FCB-0F09-42D6-8EE4-F2BE50BFAA6E}"/>
    <cellStyle name="Comma 4 2 2 5 5 2 3" xfId="21058" xr:uid="{00000000-0005-0000-0000-0000A1180000}"/>
    <cellStyle name="Comma 4 2 2 5 5 2 3 2" xfId="37927" xr:uid="{9CD5047B-FA50-4046-817D-0406639D709E}"/>
    <cellStyle name="Comma 4 2 2 5 5 2 4" xfId="12623" xr:uid="{00000000-0005-0000-0000-0000A2180000}"/>
    <cellStyle name="Comma 4 2 2 5 5 2 5" xfId="29493" xr:uid="{55CD3110-3EA0-40DA-B7B3-997985CC90E6}"/>
    <cellStyle name="Comma 4 2 2 5 5 3" xfId="6261" xr:uid="{00000000-0005-0000-0000-0000A3180000}"/>
    <cellStyle name="Comma 4 2 2 5 5 3 2" xfId="23131" xr:uid="{00000000-0005-0000-0000-0000A4180000}"/>
    <cellStyle name="Comma 4 2 2 5 5 3 2 2" xfId="39999" xr:uid="{0E5753E1-9D76-42F0-923F-D0CC7F6EF338}"/>
    <cellStyle name="Comma 4 2 2 5 5 3 3" xfId="14696" xr:uid="{00000000-0005-0000-0000-0000A5180000}"/>
    <cellStyle name="Comma 4 2 2 5 5 3 4" xfId="31565" xr:uid="{D4F4C53B-E117-4FB8-9803-1C31F5C2D7AD}"/>
    <cellStyle name="Comma 4 2 2 5 5 4" xfId="18913" xr:uid="{00000000-0005-0000-0000-0000A6180000}"/>
    <cellStyle name="Comma 4 2 2 5 5 4 2" xfId="35782" xr:uid="{4AD2CA4B-3C29-4769-8B77-B959006EE5BF}"/>
    <cellStyle name="Comma 4 2 2 5 5 5" xfId="10478" xr:uid="{00000000-0005-0000-0000-0000A7180000}"/>
    <cellStyle name="Comma 4 2 2 5 5 6" xfId="27348" xr:uid="{EFA4BE6B-7B36-42A7-A59B-2A7ADB5A8076}"/>
    <cellStyle name="Comma 4 2 2 5 6" xfId="2389" xr:uid="{00000000-0005-0000-0000-0000A8180000}"/>
    <cellStyle name="Comma 4 2 2 5 6 2" xfId="6674" xr:uid="{00000000-0005-0000-0000-0000A9180000}"/>
    <cellStyle name="Comma 4 2 2 5 6 2 2" xfId="23544" xr:uid="{00000000-0005-0000-0000-0000AA180000}"/>
    <cellStyle name="Comma 4 2 2 5 6 2 2 2" xfId="40412" xr:uid="{DBE82428-12C5-42C7-8E6D-F42B58772060}"/>
    <cellStyle name="Comma 4 2 2 5 6 2 3" xfId="15109" xr:uid="{00000000-0005-0000-0000-0000AB180000}"/>
    <cellStyle name="Comma 4 2 2 5 6 2 4" xfId="31978" xr:uid="{063F9570-25C5-45D4-B01D-77A8CA708BA4}"/>
    <cellStyle name="Comma 4 2 2 5 6 3" xfId="19326" xr:uid="{00000000-0005-0000-0000-0000AC180000}"/>
    <cellStyle name="Comma 4 2 2 5 6 3 2" xfId="36195" xr:uid="{3F930A11-C368-42DC-BFFC-762F924DC3E1}"/>
    <cellStyle name="Comma 4 2 2 5 6 4" xfId="10891" xr:uid="{00000000-0005-0000-0000-0000AD180000}"/>
    <cellStyle name="Comma 4 2 2 5 6 5" xfId="27761" xr:uid="{BC1DA8E2-3600-46BC-AD00-D1CF6CC6DCDC}"/>
    <cellStyle name="Comma 4 2 2 5 7" xfId="2374" xr:uid="{00000000-0005-0000-0000-0000AE180000}"/>
    <cellStyle name="Comma 4 2 2 5 8" xfId="2767" xr:uid="{00000000-0005-0000-0000-0000AF180000}"/>
    <cellStyle name="Comma 4 2 2 5 8 2" xfId="6991" xr:uid="{00000000-0005-0000-0000-0000B0180000}"/>
    <cellStyle name="Comma 4 2 2 5 8 2 2" xfId="23861" xr:uid="{00000000-0005-0000-0000-0000B1180000}"/>
    <cellStyle name="Comma 4 2 2 5 8 2 2 2" xfId="40729" xr:uid="{B28F8BA5-840E-4A44-9A88-39880271E0A9}"/>
    <cellStyle name="Comma 4 2 2 5 8 2 3" xfId="15426" xr:uid="{00000000-0005-0000-0000-0000B2180000}"/>
    <cellStyle name="Comma 4 2 2 5 8 2 4" xfId="32295" xr:uid="{99480BC7-CC34-4417-B3BE-C46287C339DA}"/>
    <cellStyle name="Comma 4 2 2 5 8 3" xfId="19643" xr:uid="{00000000-0005-0000-0000-0000B3180000}"/>
    <cellStyle name="Comma 4 2 2 5 8 3 2" xfId="36512" xr:uid="{7EC7BBAC-47E7-460F-AC4A-32FFDC601EFE}"/>
    <cellStyle name="Comma 4 2 2 5 8 4" xfId="11208" xr:uid="{00000000-0005-0000-0000-0000B4180000}"/>
    <cellStyle name="Comma 4 2 2 5 8 5" xfId="28078" xr:uid="{C54EE4B4-D0F6-4683-B0F2-FB9BAFFE4386}"/>
    <cellStyle name="Comma 4 2 2 5 9" xfId="4608" xr:uid="{00000000-0005-0000-0000-0000B5180000}"/>
    <cellStyle name="Comma 4 2 2 5 9 2" xfId="21478" xr:uid="{00000000-0005-0000-0000-0000B6180000}"/>
    <cellStyle name="Comma 4 2 2 5 9 2 2" xfId="38346" xr:uid="{59BE277A-B06F-4ED1-9FC1-813907C99626}"/>
    <cellStyle name="Comma 4 2 2 5 9 3" xfId="13043" xr:uid="{00000000-0005-0000-0000-0000B7180000}"/>
    <cellStyle name="Comma 4 2 2 5 9 4" xfId="29912" xr:uid="{60B051DE-DFDC-4504-BC9E-45E9DE5C2433}"/>
    <cellStyle name="Comma 4 2 3" xfId="136" xr:uid="{00000000-0005-0000-0000-0000B8180000}"/>
    <cellStyle name="Comma 4 2 3 10" xfId="2768" xr:uid="{00000000-0005-0000-0000-0000B9180000}"/>
    <cellStyle name="Comma 4 2 3 10 2" xfId="6992" xr:uid="{00000000-0005-0000-0000-0000BA180000}"/>
    <cellStyle name="Comma 4 2 3 10 2 2" xfId="23862" xr:uid="{00000000-0005-0000-0000-0000BB180000}"/>
    <cellStyle name="Comma 4 2 3 10 2 2 2" xfId="40730" xr:uid="{078A3E52-D3A8-4B17-A859-55B8C35F0999}"/>
    <cellStyle name="Comma 4 2 3 10 2 3" xfId="15427" xr:uid="{00000000-0005-0000-0000-0000BC180000}"/>
    <cellStyle name="Comma 4 2 3 10 2 4" xfId="32296" xr:uid="{9A82EE3D-FFD6-4AC2-A213-85F012CC0D95}"/>
    <cellStyle name="Comma 4 2 3 10 3" xfId="19644" xr:uid="{00000000-0005-0000-0000-0000BD180000}"/>
    <cellStyle name="Comma 4 2 3 10 3 2" xfId="36513" xr:uid="{D2C3E915-87BF-4175-9407-B1CFEC99DBF8}"/>
    <cellStyle name="Comma 4 2 3 10 4" xfId="11209" xr:uid="{00000000-0005-0000-0000-0000BE180000}"/>
    <cellStyle name="Comma 4 2 3 10 5" xfId="28079" xr:uid="{BF62ED7F-4C08-4959-AE11-5DBDC757680D}"/>
    <cellStyle name="Comma 4 2 3 11" xfId="4609" xr:uid="{00000000-0005-0000-0000-0000BF180000}"/>
    <cellStyle name="Comma 4 2 3 11 2" xfId="21479" xr:uid="{00000000-0005-0000-0000-0000C0180000}"/>
    <cellStyle name="Comma 4 2 3 11 2 2" xfId="38347" xr:uid="{C771B833-7C67-4DB9-BEC2-D4103F18B758}"/>
    <cellStyle name="Comma 4 2 3 11 3" xfId="13044" xr:uid="{00000000-0005-0000-0000-0000C1180000}"/>
    <cellStyle name="Comma 4 2 3 11 4" xfId="29913" xr:uid="{EC9D2BB4-98CC-489C-878D-72471A630D4F}"/>
    <cellStyle name="Comma 4 2 3 12" xfId="17261" xr:uid="{00000000-0005-0000-0000-0000C2180000}"/>
    <cellStyle name="Comma 4 2 3 12 2" xfId="34130" xr:uid="{0D022518-9461-4E9C-80C5-A143A96D5CF6}"/>
    <cellStyle name="Comma 4 2 3 13" xfId="8826" xr:uid="{00000000-0005-0000-0000-0000C3180000}"/>
    <cellStyle name="Comma 4 2 3 14" xfId="25696" xr:uid="{4E282A38-ED04-45FD-972B-609E90F54151}"/>
    <cellStyle name="Comma 4 2 3 2" xfId="137" xr:uid="{00000000-0005-0000-0000-0000C4180000}"/>
    <cellStyle name="Comma 4 2 3 2 10" xfId="4610" xr:uid="{00000000-0005-0000-0000-0000C5180000}"/>
    <cellStyle name="Comma 4 2 3 2 10 2" xfId="21480" xr:uid="{00000000-0005-0000-0000-0000C6180000}"/>
    <cellStyle name="Comma 4 2 3 2 10 2 2" xfId="38348" xr:uid="{61C1098B-040A-44DE-BDEE-F73613D45A09}"/>
    <cellStyle name="Comma 4 2 3 2 10 3" xfId="13045" xr:uid="{00000000-0005-0000-0000-0000C7180000}"/>
    <cellStyle name="Comma 4 2 3 2 10 4" xfId="29914" xr:uid="{D3C291FA-644B-4FE5-B288-F748284C03C7}"/>
    <cellStyle name="Comma 4 2 3 2 11" xfId="17262" xr:uid="{00000000-0005-0000-0000-0000C8180000}"/>
    <cellStyle name="Comma 4 2 3 2 11 2" xfId="34131" xr:uid="{AF3564AB-6F33-4855-9F91-9634A3B3668F}"/>
    <cellStyle name="Comma 4 2 3 2 12" xfId="8827" xr:uid="{00000000-0005-0000-0000-0000C9180000}"/>
    <cellStyle name="Comma 4 2 3 2 13" xfId="25697" xr:uid="{5BBE6401-0DF4-46AC-B905-EAF9076DA3AF}"/>
    <cellStyle name="Comma 4 2 3 2 2" xfId="138" xr:uid="{00000000-0005-0000-0000-0000CA180000}"/>
    <cellStyle name="Comma 4 2 3 2 2 10" xfId="17263" xr:uid="{00000000-0005-0000-0000-0000CB180000}"/>
    <cellStyle name="Comma 4 2 3 2 2 10 2" xfId="34132" xr:uid="{97D61109-229D-4052-BBCF-6DDB52E4E1B8}"/>
    <cellStyle name="Comma 4 2 3 2 2 11" xfId="8828" xr:uid="{00000000-0005-0000-0000-0000CC180000}"/>
    <cellStyle name="Comma 4 2 3 2 2 12" xfId="25698" xr:uid="{63F255BC-EB6B-434E-9901-A340E186FE79}"/>
    <cellStyle name="Comma 4 2 3 2 2 2" xfId="676" xr:uid="{00000000-0005-0000-0000-0000CD180000}"/>
    <cellStyle name="Comma 4 2 3 2 2 2 2" xfId="2947" xr:uid="{00000000-0005-0000-0000-0000CE180000}"/>
    <cellStyle name="Comma 4 2 3 2 2 2 2 2" xfId="7170" xr:uid="{00000000-0005-0000-0000-0000CF180000}"/>
    <cellStyle name="Comma 4 2 3 2 2 2 2 2 2" xfId="24040" xr:uid="{00000000-0005-0000-0000-0000D0180000}"/>
    <cellStyle name="Comma 4 2 3 2 2 2 2 2 2 2" xfId="40908" xr:uid="{8EAA7F0C-539A-492C-B11D-319E128FF7ED}"/>
    <cellStyle name="Comma 4 2 3 2 2 2 2 2 3" xfId="15605" xr:uid="{00000000-0005-0000-0000-0000D1180000}"/>
    <cellStyle name="Comma 4 2 3 2 2 2 2 2 4" xfId="32474" xr:uid="{D262CB6F-6189-4130-B90F-E9DFC72E6611}"/>
    <cellStyle name="Comma 4 2 3 2 2 2 2 3" xfId="19822" xr:uid="{00000000-0005-0000-0000-0000D2180000}"/>
    <cellStyle name="Comma 4 2 3 2 2 2 2 3 2" xfId="36691" xr:uid="{339F7E71-30BF-47D5-AD9C-97410EAB3D39}"/>
    <cellStyle name="Comma 4 2 3 2 2 2 2 4" xfId="11387" xr:uid="{00000000-0005-0000-0000-0000D3180000}"/>
    <cellStyle name="Comma 4 2 3 2 2 2 2 5" xfId="28257" xr:uid="{2102F59D-C6FC-4963-8129-EE1372421E99}"/>
    <cellStyle name="Comma 4 2 3 2 2 2 3" xfId="5025" xr:uid="{00000000-0005-0000-0000-0000D4180000}"/>
    <cellStyle name="Comma 4 2 3 2 2 2 3 2" xfId="21895" xr:uid="{00000000-0005-0000-0000-0000D5180000}"/>
    <cellStyle name="Comma 4 2 3 2 2 2 3 2 2" xfId="38763" xr:uid="{E8589BEB-D878-4D44-BBD6-B31FF735BDED}"/>
    <cellStyle name="Comma 4 2 3 2 2 2 3 3" xfId="13460" xr:uid="{00000000-0005-0000-0000-0000D6180000}"/>
    <cellStyle name="Comma 4 2 3 2 2 2 3 4" xfId="30329" xr:uid="{2B241F18-D4B5-461A-8ADE-98BA44885D3F}"/>
    <cellStyle name="Comma 4 2 3 2 2 2 4" xfId="17677" xr:uid="{00000000-0005-0000-0000-0000D7180000}"/>
    <cellStyle name="Comma 4 2 3 2 2 2 4 2" xfId="34546" xr:uid="{CFF4FF7E-6EA4-4E3E-979C-56A0359F6BF6}"/>
    <cellStyle name="Comma 4 2 3 2 2 2 5" xfId="9242" xr:uid="{00000000-0005-0000-0000-0000D8180000}"/>
    <cellStyle name="Comma 4 2 3 2 2 2 6" xfId="26112" xr:uid="{D4FACF42-0B1C-4512-9A16-2137320868BC}"/>
    <cellStyle name="Comma 4 2 3 2 2 3" xfId="1129" xr:uid="{00000000-0005-0000-0000-0000D9180000}"/>
    <cellStyle name="Comma 4 2 3 2 2 3 2" xfId="3360" xr:uid="{00000000-0005-0000-0000-0000DA180000}"/>
    <cellStyle name="Comma 4 2 3 2 2 3 2 2" xfId="7583" xr:uid="{00000000-0005-0000-0000-0000DB180000}"/>
    <cellStyle name="Comma 4 2 3 2 2 3 2 2 2" xfId="24453" xr:uid="{00000000-0005-0000-0000-0000DC180000}"/>
    <cellStyle name="Comma 4 2 3 2 2 3 2 2 2 2" xfId="41321" xr:uid="{6AB5DE8D-7085-43AE-BDAB-B59EC057E868}"/>
    <cellStyle name="Comma 4 2 3 2 2 3 2 2 3" xfId="16018" xr:uid="{00000000-0005-0000-0000-0000DD180000}"/>
    <cellStyle name="Comma 4 2 3 2 2 3 2 2 4" xfId="32887" xr:uid="{A1A9B8A4-C315-4CD3-84CC-A41C12E55E22}"/>
    <cellStyle name="Comma 4 2 3 2 2 3 2 3" xfId="20235" xr:uid="{00000000-0005-0000-0000-0000DE180000}"/>
    <cellStyle name="Comma 4 2 3 2 2 3 2 3 2" xfId="37104" xr:uid="{2BE40F7B-2DF9-48C9-8844-ACC5056C3845}"/>
    <cellStyle name="Comma 4 2 3 2 2 3 2 4" xfId="11800" xr:uid="{00000000-0005-0000-0000-0000DF180000}"/>
    <cellStyle name="Comma 4 2 3 2 2 3 2 5" xfId="28670" xr:uid="{68578A67-7793-4B81-A633-F281915A1B0A}"/>
    <cellStyle name="Comma 4 2 3 2 2 3 3" xfId="5438" xr:uid="{00000000-0005-0000-0000-0000E0180000}"/>
    <cellStyle name="Comma 4 2 3 2 2 3 3 2" xfId="22308" xr:uid="{00000000-0005-0000-0000-0000E1180000}"/>
    <cellStyle name="Comma 4 2 3 2 2 3 3 2 2" xfId="39176" xr:uid="{0D32E02A-E77B-4A06-A82C-B18B89042D25}"/>
    <cellStyle name="Comma 4 2 3 2 2 3 3 3" xfId="13873" xr:uid="{00000000-0005-0000-0000-0000E2180000}"/>
    <cellStyle name="Comma 4 2 3 2 2 3 3 4" xfId="30742" xr:uid="{E319331B-FCA6-4718-ACF3-D8159596293B}"/>
    <cellStyle name="Comma 4 2 3 2 2 3 4" xfId="18090" xr:uid="{00000000-0005-0000-0000-0000E3180000}"/>
    <cellStyle name="Comma 4 2 3 2 2 3 4 2" xfId="34959" xr:uid="{35F34E2B-9969-4AEE-94BA-7C487C84F9EE}"/>
    <cellStyle name="Comma 4 2 3 2 2 3 5" xfId="9655" xr:uid="{00000000-0005-0000-0000-0000E4180000}"/>
    <cellStyle name="Comma 4 2 3 2 2 3 6" xfId="26525" xr:uid="{69FCD8C8-3896-46E2-8725-C5EE427B6F5C}"/>
    <cellStyle name="Comma 4 2 3 2 2 4" xfId="1543" xr:uid="{00000000-0005-0000-0000-0000E5180000}"/>
    <cellStyle name="Comma 4 2 3 2 2 4 2" xfId="3773" xr:uid="{00000000-0005-0000-0000-0000E6180000}"/>
    <cellStyle name="Comma 4 2 3 2 2 4 2 2" xfId="7996" xr:uid="{00000000-0005-0000-0000-0000E7180000}"/>
    <cellStyle name="Comma 4 2 3 2 2 4 2 2 2" xfId="24866" xr:uid="{00000000-0005-0000-0000-0000E8180000}"/>
    <cellStyle name="Comma 4 2 3 2 2 4 2 2 2 2" xfId="41734" xr:uid="{75CC916B-11B8-4B6E-8F8B-CCD63623B99E}"/>
    <cellStyle name="Comma 4 2 3 2 2 4 2 2 3" xfId="16431" xr:uid="{00000000-0005-0000-0000-0000E9180000}"/>
    <cellStyle name="Comma 4 2 3 2 2 4 2 2 4" xfId="33300" xr:uid="{01D93DCB-97F3-4CC4-ACD5-36D5E890DE29}"/>
    <cellStyle name="Comma 4 2 3 2 2 4 2 3" xfId="20648" xr:uid="{00000000-0005-0000-0000-0000EA180000}"/>
    <cellStyle name="Comma 4 2 3 2 2 4 2 3 2" xfId="37517" xr:uid="{22A23D43-E57F-4CFF-9246-6237D4D3F661}"/>
    <cellStyle name="Comma 4 2 3 2 2 4 2 4" xfId="12213" xr:uid="{00000000-0005-0000-0000-0000EB180000}"/>
    <cellStyle name="Comma 4 2 3 2 2 4 2 5" xfId="29083" xr:uid="{F2ED90C4-203B-4CB9-B1A3-5E8E8CC4C0B7}"/>
    <cellStyle name="Comma 4 2 3 2 2 4 3" xfId="5851" xr:uid="{00000000-0005-0000-0000-0000EC180000}"/>
    <cellStyle name="Comma 4 2 3 2 2 4 3 2" xfId="22721" xr:uid="{00000000-0005-0000-0000-0000ED180000}"/>
    <cellStyle name="Comma 4 2 3 2 2 4 3 2 2" xfId="39589" xr:uid="{21B59631-510E-4878-8308-6F3B571C06DC}"/>
    <cellStyle name="Comma 4 2 3 2 2 4 3 3" xfId="14286" xr:uid="{00000000-0005-0000-0000-0000EE180000}"/>
    <cellStyle name="Comma 4 2 3 2 2 4 3 4" xfId="31155" xr:uid="{1879B397-755B-4796-B03C-B33BC0C830BD}"/>
    <cellStyle name="Comma 4 2 3 2 2 4 4" xfId="18503" xr:uid="{00000000-0005-0000-0000-0000EF180000}"/>
    <cellStyle name="Comma 4 2 3 2 2 4 4 2" xfId="35372" xr:uid="{0C35AB26-A08A-4D55-A31F-D1CDBA0209D4}"/>
    <cellStyle name="Comma 4 2 3 2 2 4 5" xfId="10068" xr:uid="{00000000-0005-0000-0000-0000F0180000}"/>
    <cellStyle name="Comma 4 2 3 2 2 4 6" xfId="26938" xr:uid="{9318F9C5-1C3D-4F0A-A1A9-676302C9F0C1}"/>
    <cellStyle name="Comma 4 2 3 2 2 5" xfId="1957" xr:uid="{00000000-0005-0000-0000-0000F1180000}"/>
    <cellStyle name="Comma 4 2 3 2 2 5 2" xfId="4186" xr:uid="{00000000-0005-0000-0000-0000F2180000}"/>
    <cellStyle name="Comma 4 2 3 2 2 5 2 2" xfId="8409" xr:uid="{00000000-0005-0000-0000-0000F3180000}"/>
    <cellStyle name="Comma 4 2 3 2 2 5 2 2 2" xfId="25279" xr:uid="{00000000-0005-0000-0000-0000F4180000}"/>
    <cellStyle name="Comma 4 2 3 2 2 5 2 2 2 2" xfId="42147" xr:uid="{D9424ED3-145A-45A5-A57F-B8344DCE9099}"/>
    <cellStyle name="Comma 4 2 3 2 2 5 2 2 3" xfId="16844" xr:uid="{00000000-0005-0000-0000-0000F5180000}"/>
    <cellStyle name="Comma 4 2 3 2 2 5 2 2 4" xfId="33713" xr:uid="{23133911-4F83-40D7-BBAD-5C080CEC7FDF}"/>
    <cellStyle name="Comma 4 2 3 2 2 5 2 3" xfId="21061" xr:uid="{00000000-0005-0000-0000-0000F6180000}"/>
    <cellStyle name="Comma 4 2 3 2 2 5 2 3 2" xfId="37930" xr:uid="{C50BF72A-2F04-4E9B-8950-9ED679131619}"/>
    <cellStyle name="Comma 4 2 3 2 2 5 2 4" xfId="12626" xr:uid="{00000000-0005-0000-0000-0000F7180000}"/>
    <cellStyle name="Comma 4 2 3 2 2 5 2 5" xfId="29496" xr:uid="{D9A01D63-F0A2-40D9-A1F1-D96AC27BC82F}"/>
    <cellStyle name="Comma 4 2 3 2 2 5 3" xfId="6264" xr:uid="{00000000-0005-0000-0000-0000F8180000}"/>
    <cellStyle name="Comma 4 2 3 2 2 5 3 2" xfId="23134" xr:uid="{00000000-0005-0000-0000-0000F9180000}"/>
    <cellStyle name="Comma 4 2 3 2 2 5 3 2 2" xfId="40002" xr:uid="{AEDB8D1D-D4D9-491A-AD45-D07B4777CB1C}"/>
    <cellStyle name="Comma 4 2 3 2 2 5 3 3" xfId="14699" xr:uid="{00000000-0005-0000-0000-0000FA180000}"/>
    <cellStyle name="Comma 4 2 3 2 2 5 3 4" xfId="31568" xr:uid="{E91895EF-42DE-410F-9CAB-D6F3E709038F}"/>
    <cellStyle name="Comma 4 2 3 2 2 5 4" xfId="18916" xr:uid="{00000000-0005-0000-0000-0000FB180000}"/>
    <cellStyle name="Comma 4 2 3 2 2 5 4 2" xfId="35785" xr:uid="{16FE6C2E-4250-49B3-8C36-A61250AD56F7}"/>
    <cellStyle name="Comma 4 2 3 2 2 5 5" xfId="10481" xr:uid="{00000000-0005-0000-0000-0000FC180000}"/>
    <cellStyle name="Comma 4 2 3 2 2 5 6" xfId="27351" xr:uid="{395E7344-9DBD-4830-882F-7AA75243A9AF}"/>
    <cellStyle name="Comma 4 2 3 2 2 6" xfId="2392" xr:uid="{00000000-0005-0000-0000-0000FD180000}"/>
    <cellStyle name="Comma 4 2 3 2 2 6 2" xfId="6677" xr:uid="{00000000-0005-0000-0000-0000FE180000}"/>
    <cellStyle name="Comma 4 2 3 2 2 6 2 2" xfId="23547" xr:uid="{00000000-0005-0000-0000-0000FF180000}"/>
    <cellStyle name="Comma 4 2 3 2 2 6 2 2 2" xfId="40415" xr:uid="{5157A715-B150-4750-B9D4-245540324ED7}"/>
    <cellStyle name="Comma 4 2 3 2 2 6 2 3" xfId="15112" xr:uid="{00000000-0005-0000-0000-000000190000}"/>
    <cellStyle name="Comma 4 2 3 2 2 6 2 4" xfId="31981" xr:uid="{26924161-75F0-4175-892F-A20CB319AF74}"/>
    <cellStyle name="Comma 4 2 3 2 2 6 3" xfId="19329" xr:uid="{00000000-0005-0000-0000-000001190000}"/>
    <cellStyle name="Comma 4 2 3 2 2 6 3 2" xfId="36198" xr:uid="{51407620-AE78-48F0-A118-96AA8073D2F2}"/>
    <cellStyle name="Comma 4 2 3 2 2 6 4" xfId="10894" xr:uid="{00000000-0005-0000-0000-000002190000}"/>
    <cellStyle name="Comma 4 2 3 2 2 6 5" xfId="27764" xr:uid="{32DAD81D-65F3-47BF-9329-291520797C1D}"/>
    <cellStyle name="Comma 4 2 3 2 2 7" xfId="2371" xr:uid="{00000000-0005-0000-0000-000003190000}"/>
    <cellStyle name="Comma 4 2 3 2 2 8" xfId="2770" xr:uid="{00000000-0005-0000-0000-000004190000}"/>
    <cellStyle name="Comma 4 2 3 2 2 8 2" xfId="6994" xr:uid="{00000000-0005-0000-0000-000005190000}"/>
    <cellStyle name="Comma 4 2 3 2 2 8 2 2" xfId="23864" xr:uid="{00000000-0005-0000-0000-000006190000}"/>
    <cellStyle name="Comma 4 2 3 2 2 8 2 2 2" xfId="40732" xr:uid="{422DB0F8-C059-4F47-AE88-E77976141A04}"/>
    <cellStyle name="Comma 4 2 3 2 2 8 2 3" xfId="15429" xr:uid="{00000000-0005-0000-0000-000007190000}"/>
    <cellStyle name="Comma 4 2 3 2 2 8 2 4" xfId="32298" xr:uid="{4637F8D6-8120-4FC1-A138-51D0956F7977}"/>
    <cellStyle name="Comma 4 2 3 2 2 8 3" xfId="19646" xr:uid="{00000000-0005-0000-0000-000008190000}"/>
    <cellStyle name="Comma 4 2 3 2 2 8 3 2" xfId="36515" xr:uid="{85B9553E-68D5-4870-94FB-3DBEF2653D97}"/>
    <cellStyle name="Comma 4 2 3 2 2 8 4" xfId="11211" xr:uid="{00000000-0005-0000-0000-000009190000}"/>
    <cellStyle name="Comma 4 2 3 2 2 8 5" xfId="28081" xr:uid="{53225849-6BDD-4E94-B4E8-6B9379889820}"/>
    <cellStyle name="Comma 4 2 3 2 2 9" xfId="4611" xr:uid="{00000000-0005-0000-0000-00000A190000}"/>
    <cellStyle name="Comma 4 2 3 2 2 9 2" xfId="21481" xr:uid="{00000000-0005-0000-0000-00000B190000}"/>
    <cellStyle name="Comma 4 2 3 2 2 9 2 2" xfId="38349" xr:uid="{CD7679E4-C20B-4730-B80E-F5AB4B47A4DC}"/>
    <cellStyle name="Comma 4 2 3 2 2 9 3" xfId="13046" xr:uid="{00000000-0005-0000-0000-00000C190000}"/>
    <cellStyle name="Comma 4 2 3 2 2 9 4" xfId="29915" xr:uid="{A8F1BB78-8580-49CE-98DD-26950747B7C7}"/>
    <cellStyle name="Comma 4 2 3 2 3" xfId="675" xr:uid="{00000000-0005-0000-0000-00000D190000}"/>
    <cellStyle name="Comma 4 2 3 2 3 2" xfId="2946" xr:uid="{00000000-0005-0000-0000-00000E190000}"/>
    <cellStyle name="Comma 4 2 3 2 3 2 2" xfId="7169" xr:uid="{00000000-0005-0000-0000-00000F190000}"/>
    <cellStyle name="Comma 4 2 3 2 3 2 2 2" xfId="24039" xr:uid="{00000000-0005-0000-0000-000010190000}"/>
    <cellStyle name="Comma 4 2 3 2 3 2 2 2 2" xfId="40907" xr:uid="{E7836577-DC33-468C-B456-8AA15FE6808C}"/>
    <cellStyle name="Comma 4 2 3 2 3 2 2 3" xfId="15604" xr:uid="{00000000-0005-0000-0000-000011190000}"/>
    <cellStyle name="Comma 4 2 3 2 3 2 2 4" xfId="32473" xr:uid="{A439AA3A-087F-46B9-8502-D9A61A978354}"/>
    <cellStyle name="Comma 4 2 3 2 3 2 3" xfId="19821" xr:uid="{00000000-0005-0000-0000-000012190000}"/>
    <cellStyle name="Comma 4 2 3 2 3 2 3 2" xfId="36690" xr:uid="{E6BB59E7-ED75-405F-A0DA-A6330271C400}"/>
    <cellStyle name="Comma 4 2 3 2 3 2 4" xfId="11386" xr:uid="{00000000-0005-0000-0000-000013190000}"/>
    <cellStyle name="Comma 4 2 3 2 3 2 5" xfId="28256" xr:uid="{CFDA3E53-7777-4029-B755-EB2FF8D0C5F2}"/>
    <cellStyle name="Comma 4 2 3 2 3 3" xfId="5024" xr:uid="{00000000-0005-0000-0000-000014190000}"/>
    <cellStyle name="Comma 4 2 3 2 3 3 2" xfId="21894" xr:uid="{00000000-0005-0000-0000-000015190000}"/>
    <cellStyle name="Comma 4 2 3 2 3 3 2 2" xfId="38762" xr:uid="{11BC6819-E4F4-476B-B2E4-19D5859F71B7}"/>
    <cellStyle name="Comma 4 2 3 2 3 3 3" xfId="13459" xr:uid="{00000000-0005-0000-0000-000016190000}"/>
    <cellStyle name="Comma 4 2 3 2 3 3 4" xfId="30328" xr:uid="{10BAADB8-8E1A-4DB0-9D0F-F1AC0E74191F}"/>
    <cellStyle name="Comma 4 2 3 2 3 4" xfId="17676" xr:uid="{00000000-0005-0000-0000-000017190000}"/>
    <cellStyle name="Comma 4 2 3 2 3 4 2" xfId="34545" xr:uid="{322A9BCC-EB78-41B0-AD03-F173364723AA}"/>
    <cellStyle name="Comma 4 2 3 2 3 5" xfId="9241" xr:uid="{00000000-0005-0000-0000-000018190000}"/>
    <cellStyle name="Comma 4 2 3 2 3 6" xfId="26111" xr:uid="{31D0247D-9E39-4DB6-A44B-2A981EF094F6}"/>
    <cellStyle name="Comma 4 2 3 2 4" xfId="1128" xr:uid="{00000000-0005-0000-0000-000019190000}"/>
    <cellStyle name="Comma 4 2 3 2 4 2" xfId="3359" xr:uid="{00000000-0005-0000-0000-00001A190000}"/>
    <cellStyle name="Comma 4 2 3 2 4 2 2" xfId="7582" xr:uid="{00000000-0005-0000-0000-00001B190000}"/>
    <cellStyle name="Comma 4 2 3 2 4 2 2 2" xfId="24452" xr:uid="{00000000-0005-0000-0000-00001C190000}"/>
    <cellStyle name="Comma 4 2 3 2 4 2 2 2 2" xfId="41320" xr:uid="{AF3C44D6-37E2-4544-B1BF-F15BE6A1E50A}"/>
    <cellStyle name="Comma 4 2 3 2 4 2 2 3" xfId="16017" xr:uid="{00000000-0005-0000-0000-00001D190000}"/>
    <cellStyle name="Comma 4 2 3 2 4 2 2 4" xfId="32886" xr:uid="{A1BEBBF3-A463-4B4C-B110-69AE2ABB64CE}"/>
    <cellStyle name="Comma 4 2 3 2 4 2 3" xfId="20234" xr:uid="{00000000-0005-0000-0000-00001E190000}"/>
    <cellStyle name="Comma 4 2 3 2 4 2 3 2" xfId="37103" xr:uid="{4526A263-5651-42BA-A884-01E61CF3199A}"/>
    <cellStyle name="Comma 4 2 3 2 4 2 4" xfId="11799" xr:uid="{00000000-0005-0000-0000-00001F190000}"/>
    <cellStyle name="Comma 4 2 3 2 4 2 5" xfId="28669" xr:uid="{7C12CA1A-DD95-4176-A7B8-ED73DC54DA57}"/>
    <cellStyle name="Comma 4 2 3 2 4 3" xfId="5437" xr:uid="{00000000-0005-0000-0000-000020190000}"/>
    <cellStyle name="Comma 4 2 3 2 4 3 2" xfId="22307" xr:uid="{00000000-0005-0000-0000-000021190000}"/>
    <cellStyle name="Comma 4 2 3 2 4 3 2 2" xfId="39175" xr:uid="{CAD3AF7C-A7E7-49E1-9B4B-48E72D9F21BD}"/>
    <cellStyle name="Comma 4 2 3 2 4 3 3" xfId="13872" xr:uid="{00000000-0005-0000-0000-000022190000}"/>
    <cellStyle name="Comma 4 2 3 2 4 3 4" xfId="30741" xr:uid="{E202EC82-4E17-40AA-8F17-BE6B36E51A5D}"/>
    <cellStyle name="Comma 4 2 3 2 4 4" xfId="18089" xr:uid="{00000000-0005-0000-0000-000023190000}"/>
    <cellStyle name="Comma 4 2 3 2 4 4 2" xfId="34958" xr:uid="{54DDDAE3-8654-40D9-89D9-605D4E613E4D}"/>
    <cellStyle name="Comma 4 2 3 2 4 5" xfId="9654" xr:uid="{00000000-0005-0000-0000-000024190000}"/>
    <cellStyle name="Comma 4 2 3 2 4 6" xfId="26524" xr:uid="{85B44632-74A0-4878-BA68-F70999F2F59C}"/>
    <cellStyle name="Comma 4 2 3 2 5" xfId="1542" xr:uid="{00000000-0005-0000-0000-000025190000}"/>
    <cellStyle name="Comma 4 2 3 2 5 2" xfId="3772" xr:uid="{00000000-0005-0000-0000-000026190000}"/>
    <cellStyle name="Comma 4 2 3 2 5 2 2" xfId="7995" xr:uid="{00000000-0005-0000-0000-000027190000}"/>
    <cellStyle name="Comma 4 2 3 2 5 2 2 2" xfId="24865" xr:uid="{00000000-0005-0000-0000-000028190000}"/>
    <cellStyle name="Comma 4 2 3 2 5 2 2 2 2" xfId="41733" xr:uid="{D1FDAB3F-4D5F-4A68-9F2B-6FA06D1C0C05}"/>
    <cellStyle name="Comma 4 2 3 2 5 2 2 3" xfId="16430" xr:uid="{00000000-0005-0000-0000-000029190000}"/>
    <cellStyle name="Comma 4 2 3 2 5 2 2 4" xfId="33299" xr:uid="{E023B069-FAFC-47A2-B2B4-E866B03F4C4F}"/>
    <cellStyle name="Comma 4 2 3 2 5 2 3" xfId="20647" xr:uid="{00000000-0005-0000-0000-00002A190000}"/>
    <cellStyle name="Comma 4 2 3 2 5 2 3 2" xfId="37516" xr:uid="{AF4B0FEF-2FC3-480D-A440-AA2E1E74233C}"/>
    <cellStyle name="Comma 4 2 3 2 5 2 4" xfId="12212" xr:uid="{00000000-0005-0000-0000-00002B190000}"/>
    <cellStyle name="Comma 4 2 3 2 5 2 5" xfId="29082" xr:uid="{4F19E0A2-5E81-4A49-8DC0-C1ACB47527E3}"/>
    <cellStyle name="Comma 4 2 3 2 5 3" xfId="5850" xr:uid="{00000000-0005-0000-0000-00002C190000}"/>
    <cellStyle name="Comma 4 2 3 2 5 3 2" xfId="22720" xr:uid="{00000000-0005-0000-0000-00002D190000}"/>
    <cellStyle name="Comma 4 2 3 2 5 3 2 2" xfId="39588" xr:uid="{F005E3FA-9341-4533-9F4F-BA81ACA2EC8E}"/>
    <cellStyle name="Comma 4 2 3 2 5 3 3" xfId="14285" xr:uid="{00000000-0005-0000-0000-00002E190000}"/>
    <cellStyle name="Comma 4 2 3 2 5 3 4" xfId="31154" xr:uid="{7D8A62F9-D073-473E-A8A6-A3A8664D570D}"/>
    <cellStyle name="Comma 4 2 3 2 5 4" xfId="18502" xr:uid="{00000000-0005-0000-0000-00002F190000}"/>
    <cellStyle name="Comma 4 2 3 2 5 4 2" xfId="35371" xr:uid="{88D8D725-C649-4BC1-9C9B-4DF69F7CE31D}"/>
    <cellStyle name="Comma 4 2 3 2 5 5" xfId="10067" xr:uid="{00000000-0005-0000-0000-000030190000}"/>
    <cellStyle name="Comma 4 2 3 2 5 6" xfId="26937" xr:uid="{559CAF07-94E9-43F9-8B40-2C8CE45A401B}"/>
    <cellStyle name="Comma 4 2 3 2 6" xfId="1956" xr:uid="{00000000-0005-0000-0000-000031190000}"/>
    <cellStyle name="Comma 4 2 3 2 6 2" xfId="4185" xr:uid="{00000000-0005-0000-0000-000032190000}"/>
    <cellStyle name="Comma 4 2 3 2 6 2 2" xfId="8408" xr:uid="{00000000-0005-0000-0000-000033190000}"/>
    <cellStyle name="Comma 4 2 3 2 6 2 2 2" xfId="25278" xr:uid="{00000000-0005-0000-0000-000034190000}"/>
    <cellStyle name="Comma 4 2 3 2 6 2 2 2 2" xfId="42146" xr:uid="{0A4D0B78-DCFA-4162-B592-24B693E6FFF6}"/>
    <cellStyle name="Comma 4 2 3 2 6 2 2 3" xfId="16843" xr:uid="{00000000-0005-0000-0000-000035190000}"/>
    <cellStyle name="Comma 4 2 3 2 6 2 2 4" xfId="33712" xr:uid="{851BF812-8626-49BA-9EC3-93BAC8795FBC}"/>
    <cellStyle name="Comma 4 2 3 2 6 2 3" xfId="21060" xr:uid="{00000000-0005-0000-0000-000036190000}"/>
    <cellStyle name="Comma 4 2 3 2 6 2 3 2" xfId="37929" xr:uid="{A1AA2CB3-807B-490E-A8E9-AA7A8084DA10}"/>
    <cellStyle name="Comma 4 2 3 2 6 2 4" xfId="12625" xr:uid="{00000000-0005-0000-0000-000037190000}"/>
    <cellStyle name="Comma 4 2 3 2 6 2 5" xfId="29495" xr:uid="{A7545924-E792-4812-B296-77E7893BF5E8}"/>
    <cellStyle name="Comma 4 2 3 2 6 3" xfId="6263" xr:uid="{00000000-0005-0000-0000-000038190000}"/>
    <cellStyle name="Comma 4 2 3 2 6 3 2" xfId="23133" xr:uid="{00000000-0005-0000-0000-000039190000}"/>
    <cellStyle name="Comma 4 2 3 2 6 3 2 2" xfId="40001" xr:uid="{E9955820-3826-4292-B40B-36B81B89D402}"/>
    <cellStyle name="Comma 4 2 3 2 6 3 3" xfId="14698" xr:uid="{00000000-0005-0000-0000-00003A190000}"/>
    <cellStyle name="Comma 4 2 3 2 6 3 4" xfId="31567" xr:uid="{6811EC8E-06B7-4A49-AB86-DA6046E5E53A}"/>
    <cellStyle name="Comma 4 2 3 2 6 4" xfId="18915" xr:uid="{00000000-0005-0000-0000-00003B190000}"/>
    <cellStyle name="Comma 4 2 3 2 6 4 2" xfId="35784" xr:uid="{27C5095F-1CEF-4F0A-8DB6-4D286EFBA507}"/>
    <cellStyle name="Comma 4 2 3 2 6 5" xfId="10480" xr:uid="{00000000-0005-0000-0000-00003C190000}"/>
    <cellStyle name="Comma 4 2 3 2 6 6" xfId="27350" xr:uid="{0541A262-769E-4F11-9348-F103862C2DF7}"/>
    <cellStyle name="Comma 4 2 3 2 7" xfId="2391" xr:uid="{00000000-0005-0000-0000-00003D190000}"/>
    <cellStyle name="Comma 4 2 3 2 7 2" xfId="6676" xr:uid="{00000000-0005-0000-0000-00003E190000}"/>
    <cellStyle name="Comma 4 2 3 2 7 2 2" xfId="23546" xr:uid="{00000000-0005-0000-0000-00003F190000}"/>
    <cellStyle name="Comma 4 2 3 2 7 2 2 2" xfId="40414" xr:uid="{15912DF8-6078-4185-AAFB-B72F0748D1EC}"/>
    <cellStyle name="Comma 4 2 3 2 7 2 3" xfId="15111" xr:uid="{00000000-0005-0000-0000-000040190000}"/>
    <cellStyle name="Comma 4 2 3 2 7 2 4" xfId="31980" xr:uid="{7DE8A4EE-AB12-4818-8D25-27F7BE750712}"/>
    <cellStyle name="Comma 4 2 3 2 7 3" xfId="19328" xr:uid="{00000000-0005-0000-0000-000041190000}"/>
    <cellStyle name="Comma 4 2 3 2 7 3 2" xfId="36197" xr:uid="{8EA8D290-9C79-4BF9-A50C-2F59FFD7C126}"/>
    <cellStyle name="Comma 4 2 3 2 7 4" xfId="10893" xr:uid="{00000000-0005-0000-0000-000042190000}"/>
    <cellStyle name="Comma 4 2 3 2 7 5" xfId="27763" xr:uid="{F69C87B2-A26E-45E9-B77D-1A688133C9BC}"/>
    <cellStyle name="Comma 4 2 3 2 8" xfId="2372" xr:uid="{00000000-0005-0000-0000-000043190000}"/>
    <cellStyle name="Comma 4 2 3 2 9" xfId="2769" xr:uid="{00000000-0005-0000-0000-000044190000}"/>
    <cellStyle name="Comma 4 2 3 2 9 2" xfId="6993" xr:uid="{00000000-0005-0000-0000-000045190000}"/>
    <cellStyle name="Comma 4 2 3 2 9 2 2" xfId="23863" xr:uid="{00000000-0005-0000-0000-000046190000}"/>
    <cellStyle name="Comma 4 2 3 2 9 2 2 2" xfId="40731" xr:uid="{F10DE7F7-0CEF-499A-B050-4CAB0E985EFC}"/>
    <cellStyle name="Comma 4 2 3 2 9 2 3" xfId="15428" xr:uid="{00000000-0005-0000-0000-000047190000}"/>
    <cellStyle name="Comma 4 2 3 2 9 2 4" xfId="32297" xr:uid="{36B13AFC-54D7-465C-B4A8-2E1862D9F34C}"/>
    <cellStyle name="Comma 4 2 3 2 9 3" xfId="19645" xr:uid="{00000000-0005-0000-0000-000048190000}"/>
    <cellStyle name="Comma 4 2 3 2 9 3 2" xfId="36514" xr:uid="{A77E04EF-F87B-4339-BC5E-C52F531571C6}"/>
    <cellStyle name="Comma 4 2 3 2 9 4" xfId="11210" xr:uid="{00000000-0005-0000-0000-000049190000}"/>
    <cellStyle name="Comma 4 2 3 2 9 5" xfId="28080" xr:uid="{A1905C98-187B-4C92-BE8A-A5B546DDF2EE}"/>
    <cellStyle name="Comma 4 2 3 3" xfId="139" xr:uid="{00000000-0005-0000-0000-00004A190000}"/>
    <cellStyle name="Comma 4 2 3 3 10" xfId="17264" xr:uid="{00000000-0005-0000-0000-00004B190000}"/>
    <cellStyle name="Comma 4 2 3 3 10 2" xfId="34133" xr:uid="{E64B9F79-49F7-488A-8767-404DD7E6E99B}"/>
    <cellStyle name="Comma 4 2 3 3 11" xfId="8829" xr:uid="{00000000-0005-0000-0000-00004C190000}"/>
    <cellStyle name="Comma 4 2 3 3 12" xfId="25699" xr:uid="{2B5CDEEA-EB52-439F-B50A-AC1310280925}"/>
    <cellStyle name="Comma 4 2 3 3 2" xfId="677" xr:uid="{00000000-0005-0000-0000-00004D190000}"/>
    <cellStyle name="Comma 4 2 3 3 2 2" xfId="2948" xr:uid="{00000000-0005-0000-0000-00004E190000}"/>
    <cellStyle name="Comma 4 2 3 3 2 2 2" xfId="7171" xr:uid="{00000000-0005-0000-0000-00004F190000}"/>
    <cellStyle name="Comma 4 2 3 3 2 2 2 2" xfId="24041" xr:uid="{00000000-0005-0000-0000-000050190000}"/>
    <cellStyle name="Comma 4 2 3 3 2 2 2 2 2" xfId="40909" xr:uid="{697AF034-0548-4E95-B0C7-58A7FF048D1F}"/>
    <cellStyle name="Comma 4 2 3 3 2 2 2 3" xfId="15606" xr:uid="{00000000-0005-0000-0000-000051190000}"/>
    <cellStyle name="Comma 4 2 3 3 2 2 2 4" xfId="32475" xr:uid="{BA62A2F3-28B0-4073-97A1-39F1572B81FE}"/>
    <cellStyle name="Comma 4 2 3 3 2 2 3" xfId="19823" xr:uid="{00000000-0005-0000-0000-000052190000}"/>
    <cellStyle name="Comma 4 2 3 3 2 2 3 2" xfId="36692" xr:uid="{89EA52AC-9038-44AE-895C-FAEB28E31EB0}"/>
    <cellStyle name="Comma 4 2 3 3 2 2 4" xfId="11388" xr:uid="{00000000-0005-0000-0000-000053190000}"/>
    <cellStyle name="Comma 4 2 3 3 2 2 5" xfId="28258" xr:uid="{5E0240C2-54AB-4FCC-9622-DED3F166195B}"/>
    <cellStyle name="Comma 4 2 3 3 2 3" xfId="5026" xr:uid="{00000000-0005-0000-0000-000054190000}"/>
    <cellStyle name="Comma 4 2 3 3 2 3 2" xfId="21896" xr:uid="{00000000-0005-0000-0000-000055190000}"/>
    <cellStyle name="Comma 4 2 3 3 2 3 2 2" xfId="38764" xr:uid="{EAACFEFA-B03C-4134-A74C-019564F999A4}"/>
    <cellStyle name="Comma 4 2 3 3 2 3 3" xfId="13461" xr:uid="{00000000-0005-0000-0000-000056190000}"/>
    <cellStyle name="Comma 4 2 3 3 2 3 4" xfId="30330" xr:uid="{E0E16A15-6259-49A2-9D4E-5BD9FF74E51E}"/>
    <cellStyle name="Comma 4 2 3 3 2 4" xfId="17678" xr:uid="{00000000-0005-0000-0000-000057190000}"/>
    <cellStyle name="Comma 4 2 3 3 2 4 2" xfId="34547" xr:uid="{474CD011-9ACA-4A78-85E8-00E443632618}"/>
    <cellStyle name="Comma 4 2 3 3 2 5" xfId="9243" xr:uid="{00000000-0005-0000-0000-000058190000}"/>
    <cellStyle name="Comma 4 2 3 3 2 6" xfId="26113" xr:uid="{13E6D094-3B57-4A37-B834-1CEB30B787A6}"/>
    <cellStyle name="Comma 4 2 3 3 3" xfId="1130" xr:uid="{00000000-0005-0000-0000-000059190000}"/>
    <cellStyle name="Comma 4 2 3 3 3 2" xfId="3361" xr:uid="{00000000-0005-0000-0000-00005A190000}"/>
    <cellStyle name="Comma 4 2 3 3 3 2 2" xfId="7584" xr:uid="{00000000-0005-0000-0000-00005B190000}"/>
    <cellStyle name="Comma 4 2 3 3 3 2 2 2" xfId="24454" xr:uid="{00000000-0005-0000-0000-00005C190000}"/>
    <cellStyle name="Comma 4 2 3 3 3 2 2 2 2" xfId="41322" xr:uid="{2FD1E833-6109-40D4-9FFF-FECE39A1B9E6}"/>
    <cellStyle name="Comma 4 2 3 3 3 2 2 3" xfId="16019" xr:uid="{00000000-0005-0000-0000-00005D190000}"/>
    <cellStyle name="Comma 4 2 3 3 3 2 2 4" xfId="32888" xr:uid="{A9E36014-189C-4795-B378-6D4D15724D23}"/>
    <cellStyle name="Comma 4 2 3 3 3 2 3" xfId="20236" xr:uid="{00000000-0005-0000-0000-00005E190000}"/>
    <cellStyle name="Comma 4 2 3 3 3 2 3 2" xfId="37105" xr:uid="{FB9A8BFE-18B0-454D-8902-9095F2B3D2AB}"/>
    <cellStyle name="Comma 4 2 3 3 3 2 4" xfId="11801" xr:uid="{00000000-0005-0000-0000-00005F190000}"/>
    <cellStyle name="Comma 4 2 3 3 3 2 5" xfId="28671" xr:uid="{0C6D1081-E492-430B-88D5-A8566F979BAC}"/>
    <cellStyle name="Comma 4 2 3 3 3 3" xfId="5439" xr:uid="{00000000-0005-0000-0000-000060190000}"/>
    <cellStyle name="Comma 4 2 3 3 3 3 2" xfId="22309" xr:uid="{00000000-0005-0000-0000-000061190000}"/>
    <cellStyle name="Comma 4 2 3 3 3 3 2 2" xfId="39177" xr:uid="{37637001-F9F7-4761-B4BA-C357448437EC}"/>
    <cellStyle name="Comma 4 2 3 3 3 3 3" xfId="13874" xr:uid="{00000000-0005-0000-0000-000062190000}"/>
    <cellStyle name="Comma 4 2 3 3 3 3 4" xfId="30743" xr:uid="{A01517E2-61BB-46DA-8F31-2622013B127A}"/>
    <cellStyle name="Comma 4 2 3 3 3 4" xfId="18091" xr:uid="{00000000-0005-0000-0000-000063190000}"/>
    <cellStyle name="Comma 4 2 3 3 3 4 2" xfId="34960" xr:uid="{8DF483C2-5CFB-4692-A283-2F87DCD65BC5}"/>
    <cellStyle name="Comma 4 2 3 3 3 5" xfId="9656" xr:uid="{00000000-0005-0000-0000-000064190000}"/>
    <cellStyle name="Comma 4 2 3 3 3 6" xfId="26526" xr:uid="{62DF6A52-1A0D-43C2-A30D-5921CFBC8283}"/>
    <cellStyle name="Comma 4 2 3 3 4" xfId="1544" xr:uid="{00000000-0005-0000-0000-000065190000}"/>
    <cellStyle name="Comma 4 2 3 3 4 2" xfId="3774" xr:uid="{00000000-0005-0000-0000-000066190000}"/>
    <cellStyle name="Comma 4 2 3 3 4 2 2" xfId="7997" xr:uid="{00000000-0005-0000-0000-000067190000}"/>
    <cellStyle name="Comma 4 2 3 3 4 2 2 2" xfId="24867" xr:uid="{00000000-0005-0000-0000-000068190000}"/>
    <cellStyle name="Comma 4 2 3 3 4 2 2 2 2" xfId="41735" xr:uid="{7EDD2721-ACE2-4EB1-A43A-7688AD2058DF}"/>
    <cellStyle name="Comma 4 2 3 3 4 2 2 3" xfId="16432" xr:uid="{00000000-0005-0000-0000-000069190000}"/>
    <cellStyle name="Comma 4 2 3 3 4 2 2 4" xfId="33301" xr:uid="{8959CDB5-53E4-4B48-87CF-5F21487F88B1}"/>
    <cellStyle name="Comma 4 2 3 3 4 2 3" xfId="20649" xr:uid="{00000000-0005-0000-0000-00006A190000}"/>
    <cellStyle name="Comma 4 2 3 3 4 2 3 2" xfId="37518" xr:uid="{03BAAC86-ABEE-4C2A-AC82-B02EE4A24169}"/>
    <cellStyle name="Comma 4 2 3 3 4 2 4" xfId="12214" xr:uid="{00000000-0005-0000-0000-00006B190000}"/>
    <cellStyle name="Comma 4 2 3 3 4 2 5" xfId="29084" xr:uid="{CC2C0946-429A-42AD-928E-17C1A61CFD00}"/>
    <cellStyle name="Comma 4 2 3 3 4 3" xfId="5852" xr:uid="{00000000-0005-0000-0000-00006C190000}"/>
    <cellStyle name="Comma 4 2 3 3 4 3 2" xfId="22722" xr:uid="{00000000-0005-0000-0000-00006D190000}"/>
    <cellStyle name="Comma 4 2 3 3 4 3 2 2" xfId="39590" xr:uid="{80CEDF35-F6E5-4A2E-B011-279E7F658ED9}"/>
    <cellStyle name="Comma 4 2 3 3 4 3 3" xfId="14287" xr:uid="{00000000-0005-0000-0000-00006E190000}"/>
    <cellStyle name="Comma 4 2 3 3 4 3 4" xfId="31156" xr:uid="{5401C3FC-2900-476A-9669-B923B178A33F}"/>
    <cellStyle name="Comma 4 2 3 3 4 4" xfId="18504" xr:uid="{00000000-0005-0000-0000-00006F190000}"/>
    <cellStyle name="Comma 4 2 3 3 4 4 2" xfId="35373" xr:uid="{48EB2464-4D8B-49B0-8427-7E46F6AE060D}"/>
    <cellStyle name="Comma 4 2 3 3 4 5" xfId="10069" xr:uid="{00000000-0005-0000-0000-000070190000}"/>
    <cellStyle name="Comma 4 2 3 3 4 6" xfId="26939" xr:uid="{C9849FBB-0934-4972-B24B-93E882961118}"/>
    <cellStyle name="Comma 4 2 3 3 5" xfId="1958" xr:uid="{00000000-0005-0000-0000-000071190000}"/>
    <cellStyle name="Comma 4 2 3 3 5 2" xfId="4187" xr:uid="{00000000-0005-0000-0000-000072190000}"/>
    <cellStyle name="Comma 4 2 3 3 5 2 2" xfId="8410" xr:uid="{00000000-0005-0000-0000-000073190000}"/>
    <cellStyle name="Comma 4 2 3 3 5 2 2 2" xfId="25280" xr:uid="{00000000-0005-0000-0000-000074190000}"/>
    <cellStyle name="Comma 4 2 3 3 5 2 2 2 2" xfId="42148" xr:uid="{10061D69-2B9B-4E13-AB6C-8E2509D9DFFC}"/>
    <cellStyle name="Comma 4 2 3 3 5 2 2 3" xfId="16845" xr:uid="{00000000-0005-0000-0000-000075190000}"/>
    <cellStyle name="Comma 4 2 3 3 5 2 2 4" xfId="33714" xr:uid="{04BB698F-243E-4106-AA5B-D4BE4BD40238}"/>
    <cellStyle name="Comma 4 2 3 3 5 2 3" xfId="21062" xr:uid="{00000000-0005-0000-0000-000076190000}"/>
    <cellStyle name="Comma 4 2 3 3 5 2 3 2" xfId="37931" xr:uid="{E71C2090-727B-4E2B-9FAD-4248B92AFE6D}"/>
    <cellStyle name="Comma 4 2 3 3 5 2 4" xfId="12627" xr:uid="{00000000-0005-0000-0000-000077190000}"/>
    <cellStyle name="Comma 4 2 3 3 5 2 5" xfId="29497" xr:uid="{79CED03B-3295-442E-A358-707F479380C0}"/>
    <cellStyle name="Comma 4 2 3 3 5 3" xfId="6265" xr:uid="{00000000-0005-0000-0000-000078190000}"/>
    <cellStyle name="Comma 4 2 3 3 5 3 2" xfId="23135" xr:uid="{00000000-0005-0000-0000-000079190000}"/>
    <cellStyle name="Comma 4 2 3 3 5 3 2 2" xfId="40003" xr:uid="{4009BF58-3F60-4C91-9215-ABEF4401C916}"/>
    <cellStyle name="Comma 4 2 3 3 5 3 3" xfId="14700" xr:uid="{00000000-0005-0000-0000-00007A190000}"/>
    <cellStyle name="Comma 4 2 3 3 5 3 4" xfId="31569" xr:uid="{224BA56C-771C-4277-A5B6-A39DAD5DCB8B}"/>
    <cellStyle name="Comma 4 2 3 3 5 4" xfId="18917" xr:uid="{00000000-0005-0000-0000-00007B190000}"/>
    <cellStyle name="Comma 4 2 3 3 5 4 2" xfId="35786" xr:uid="{4450214E-5C72-4021-AE23-1223E488D703}"/>
    <cellStyle name="Comma 4 2 3 3 5 5" xfId="10482" xr:uid="{00000000-0005-0000-0000-00007C190000}"/>
    <cellStyle name="Comma 4 2 3 3 5 6" xfId="27352" xr:uid="{FF944940-BC96-4598-98F4-D347BAB23B9E}"/>
    <cellStyle name="Comma 4 2 3 3 6" xfId="2393" xr:uid="{00000000-0005-0000-0000-00007D190000}"/>
    <cellStyle name="Comma 4 2 3 3 6 2" xfId="6678" xr:uid="{00000000-0005-0000-0000-00007E190000}"/>
    <cellStyle name="Comma 4 2 3 3 6 2 2" xfId="23548" xr:uid="{00000000-0005-0000-0000-00007F190000}"/>
    <cellStyle name="Comma 4 2 3 3 6 2 2 2" xfId="40416" xr:uid="{21C5A31E-D748-4922-A453-655CED747B4C}"/>
    <cellStyle name="Comma 4 2 3 3 6 2 3" xfId="15113" xr:uid="{00000000-0005-0000-0000-000080190000}"/>
    <cellStyle name="Comma 4 2 3 3 6 2 4" xfId="31982" xr:uid="{516A61C0-9193-4043-84FF-411DA40892BF}"/>
    <cellStyle name="Comma 4 2 3 3 6 3" xfId="19330" xr:uid="{00000000-0005-0000-0000-000081190000}"/>
    <cellStyle name="Comma 4 2 3 3 6 3 2" xfId="36199" xr:uid="{162E9897-C18E-4981-9501-38D10D906686}"/>
    <cellStyle name="Comma 4 2 3 3 6 4" xfId="10895" xr:uid="{00000000-0005-0000-0000-000082190000}"/>
    <cellStyle name="Comma 4 2 3 3 6 5" xfId="27765" xr:uid="{B139D742-6E66-4124-BBA4-96D9A6B5D499}"/>
    <cellStyle name="Comma 4 2 3 3 7" xfId="2370" xr:uid="{00000000-0005-0000-0000-000083190000}"/>
    <cellStyle name="Comma 4 2 3 3 8" xfId="2771" xr:uid="{00000000-0005-0000-0000-000084190000}"/>
    <cellStyle name="Comma 4 2 3 3 8 2" xfId="6995" xr:uid="{00000000-0005-0000-0000-000085190000}"/>
    <cellStyle name="Comma 4 2 3 3 8 2 2" xfId="23865" xr:uid="{00000000-0005-0000-0000-000086190000}"/>
    <cellStyle name="Comma 4 2 3 3 8 2 2 2" xfId="40733" xr:uid="{FE3E8811-D63B-40B0-868F-92F9C4C7BEB6}"/>
    <cellStyle name="Comma 4 2 3 3 8 2 3" xfId="15430" xr:uid="{00000000-0005-0000-0000-000087190000}"/>
    <cellStyle name="Comma 4 2 3 3 8 2 4" xfId="32299" xr:uid="{99319AD1-6A40-4E18-AC84-AE4C997185FB}"/>
    <cellStyle name="Comma 4 2 3 3 8 3" xfId="19647" xr:uid="{00000000-0005-0000-0000-000088190000}"/>
    <cellStyle name="Comma 4 2 3 3 8 3 2" xfId="36516" xr:uid="{7C76DF97-0357-489A-80DB-9715DA4281F4}"/>
    <cellStyle name="Comma 4 2 3 3 8 4" xfId="11212" xr:uid="{00000000-0005-0000-0000-000089190000}"/>
    <cellStyle name="Comma 4 2 3 3 8 5" xfId="28082" xr:uid="{FD355697-0650-4244-A650-EF3F08D565C6}"/>
    <cellStyle name="Comma 4 2 3 3 9" xfId="4612" xr:uid="{00000000-0005-0000-0000-00008A190000}"/>
    <cellStyle name="Comma 4 2 3 3 9 2" xfId="21482" xr:uid="{00000000-0005-0000-0000-00008B190000}"/>
    <cellStyle name="Comma 4 2 3 3 9 2 2" xfId="38350" xr:uid="{F71AC83E-6C77-41C6-A880-53688478C235}"/>
    <cellStyle name="Comma 4 2 3 3 9 3" xfId="13047" xr:uid="{00000000-0005-0000-0000-00008C190000}"/>
    <cellStyle name="Comma 4 2 3 3 9 4" xfId="29916" xr:uid="{6213D26A-DCA1-4136-8FE4-3E982796E9A7}"/>
    <cellStyle name="Comma 4 2 3 4" xfId="674" xr:uid="{00000000-0005-0000-0000-00008D190000}"/>
    <cellStyle name="Comma 4 2 3 4 2" xfId="2945" xr:uid="{00000000-0005-0000-0000-00008E190000}"/>
    <cellStyle name="Comma 4 2 3 4 2 2" xfId="7168" xr:uid="{00000000-0005-0000-0000-00008F190000}"/>
    <cellStyle name="Comma 4 2 3 4 2 2 2" xfId="24038" xr:uid="{00000000-0005-0000-0000-000090190000}"/>
    <cellStyle name="Comma 4 2 3 4 2 2 2 2" xfId="40906" xr:uid="{A68CAE9A-F9AE-41D3-AC64-4E472D4036EC}"/>
    <cellStyle name="Comma 4 2 3 4 2 2 3" xfId="15603" xr:uid="{00000000-0005-0000-0000-000091190000}"/>
    <cellStyle name="Comma 4 2 3 4 2 2 4" xfId="32472" xr:uid="{3C3937F1-AA8C-4AA1-88E7-57B368FF3C1C}"/>
    <cellStyle name="Comma 4 2 3 4 2 3" xfId="19820" xr:uid="{00000000-0005-0000-0000-000092190000}"/>
    <cellStyle name="Comma 4 2 3 4 2 3 2" xfId="36689" xr:uid="{ED049D3A-6A8E-4AB5-B56F-3FFCB4D8CF0C}"/>
    <cellStyle name="Comma 4 2 3 4 2 4" xfId="11385" xr:uid="{00000000-0005-0000-0000-000093190000}"/>
    <cellStyle name="Comma 4 2 3 4 2 5" xfId="28255" xr:uid="{2A4CBE9C-F8E8-49D0-AC8C-7272DCE94F5F}"/>
    <cellStyle name="Comma 4 2 3 4 3" xfId="5023" xr:uid="{00000000-0005-0000-0000-000094190000}"/>
    <cellStyle name="Comma 4 2 3 4 3 2" xfId="21893" xr:uid="{00000000-0005-0000-0000-000095190000}"/>
    <cellStyle name="Comma 4 2 3 4 3 2 2" xfId="38761" xr:uid="{182A6557-9204-4906-8184-FB60F20A6C0A}"/>
    <cellStyle name="Comma 4 2 3 4 3 3" xfId="13458" xr:uid="{00000000-0005-0000-0000-000096190000}"/>
    <cellStyle name="Comma 4 2 3 4 3 4" xfId="30327" xr:uid="{0673753A-8C8B-43C4-A021-34EB27314DD5}"/>
    <cellStyle name="Comma 4 2 3 4 4" xfId="17675" xr:uid="{00000000-0005-0000-0000-000097190000}"/>
    <cellStyle name="Comma 4 2 3 4 4 2" xfId="34544" xr:uid="{9B00C466-A3B0-4B9C-A57E-C274FEE01E93}"/>
    <cellStyle name="Comma 4 2 3 4 5" xfId="9240" xr:uid="{00000000-0005-0000-0000-000098190000}"/>
    <cellStyle name="Comma 4 2 3 4 6" xfId="26110" xr:uid="{1644BB1A-512D-46F8-9DD9-15F12E8E262F}"/>
    <cellStyle name="Comma 4 2 3 5" xfId="1127" xr:uid="{00000000-0005-0000-0000-000099190000}"/>
    <cellStyle name="Comma 4 2 3 5 2" xfId="3358" xr:uid="{00000000-0005-0000-0000-00009A190000}"/>
    <cellStyle name="Comma 4 2 3 5 2 2" xfId="7581" xr:uid="{00000000-0005-0000-0000-00009B190000}"/>
    <cellStyle name="Comma 4 2 3 5 2 2 2" xfId="24451" xr:uid="{00000000-0005-0000-0000-00009C190000}"/>
    <cellStyle name="Comma 4 2 3 5 2 2 2 2" xfId="41319" xr:uid="{664359C5-F479-48A8-82DF-B53C96829D93}"/>
    <cellStyle name="Comma 4 2 3 5 2 2 3" xfId="16016" xr:uid="{00000000-0005-0000-0000-00009D190000}"/>
    <cellStyle name="Comma 4 2 3 5 2 2 4" xfId="32885" xr:uid="{91C6B4CF-FE1C-4E87-B174-5FA3AD49EDF8}"/>
    <cellStyle name="Comma 4 2 3 5 2 3" xfId="20233" xr:uid="{00000000-0005-0000-0000-00009E190000}"/>
    <cellStyle name="Comma 4 2 3 5 2 3 2" xfId="37102" xr:uid="{7AF8AD55-06C1-470D-9F60-2DCB5FB6C932}"/>
    <cellStyle name="Comma 4 2 3 5 2 4" xfId="11798" xr:uid="{00000000-0005-0000-0000-00009F190000}"/>
    <cellStyle name="Comma 4 2 3 5 2 5" xfId="28668" xr:uid="{5B46F9FE-ABBA-469F-B307-381F10B93A13}"/>
    <cellStyle name="Comma 4 2 3 5 3" xfId="5436" xr:uid="{00000000-0005-0000-0000-0000A0190000}"/>
    <cellStyle name="Comma 4 2 3 5 3 2" xfId="22306" xr:uid="{00000000-0005-0000-0000-0000A1190000}"/>
    <cellStyle name="Comma 4 2 3 5 3 2 2" xfId="39174" xr:uid="{60099CFC-9A96-4A74-9E93-962E08055204}"/>
    <cellStyle name="Comma 4 2 3 5 3 3" xfId="13871" xr:uid="{00000000-0005-0000-0000-0000A2190000}"/>
    <cellStyle name="Comma 4 2 3 5 3 4" xfId="30740" xr:uid="{BDFCD07C-33FD-4950-BDE1-DCFE6AFDC897}"/>
    <cellStyle name="Comma 4 2 3 5 4" xfId="18088" xr:uid="{00000000-0005-0000-0000-0000A3190000}"/>
    <cellStyle name="Comma 4 2 3 5 4 2" xfId="34957" xr:uid="{3188AEBA-827C-4B47-B6F7-4949CA463E03}"/>
    <cellStyle name="Comma 4 2 3 5 5" xfId="9653" xr:uid="{00000000-0005-0000-0000-0000A4190000}"/>
    <cellStyle name="Comma 4 2 3 5 6" xfId="26523" xr:uid="{9DF02892-67D0-4F8B-B423-D3EAD460A5BE}"/>
    <cellStyle name="Comma 4 2 3 6" xfId="1541" xr:uid="{00000000-0005-0000-0000-0000A5190000}"/>
    <cellStyle name="Comma 4 2 3 6 2" xfId="3771" xr:uid="{00000000-0005-0000-0000-0000A6190000}"/>
    <cellStyle name="Comma 4 2 3 6 2 2" xfId="7994" xr:uid="{00000000-0005-0000-0000-0000A7190000}"/>
    <cellStyle name="Comma 4 2 3 6 2 2 2" xfId="24864" xr:uid="{00000000-0005-0000-0000-0000A8190000}"/>
    <cellStyle name="Comma 4 2 3 6 2 2 2 2" xfId="41732" xr:uid="{5F39587D-9801-420B-AA70-5D5ADB07F3F9}"/>
    <cellStyle name="Comma 4 2 3 6 2 2 3" xfId="16429" xr:uid="{00000000-0005-0000-0000-0000A9190000}"/>
    <cellStyle name="Comma 4 2 3 6 2 2 4" xfId="33298" xr:uid="{75EAB44B-5CE7-473F-B534-7D09EA815101}"/>
    <cellStyle name="Comma 4 2 3 6 2 3" xfId="20646" xr:uid="{00000000-0005-0000-0000-0000AA190000}"/>
    <cellStyle name="Comma 4 2 3 6 2 3 2" xfId="37515" xr:uid="{77B59649-CB0C-4B42-8DAD-4C06D222E837}"/>
    <cellStyle name="Comma 4 2 3 6 2 4" xfId="12211" xr:uid="{00000000-0005-0000-0000-0000AB190000}"/>
    <cellStyle name="Comma 4 2 3 6 2 5" xfId="29081" xr:uid="{047A673C-C2C5-49D1-997B-A36F49161DA1}"/>
    <cellStyle name="Comma 4 2 3 6 3" xfId="5849" xr:uid="{00000000-0005-0000-0000-0000AC190000}"/>
    <cellStyle name="Comma 4 2 3 6 3 2" xfId="22719" xr:uid="{00000000-0005-0000-0000-0000AD190000}"/>
    <cellStyle name="Comma 4 2 3 6 3 2 2" xfId="39587" xr:uid="{73367363-BC33-46E3-B20E-4220C4658F03}"/>
    <cellStyle name="Comma 4 2 3 6 3 3" xfId="14284" xr:uid="{00000000-0005-0000-0000-0000AE190000}"/>
    <cellStyle name="Comma 4 2 3 6 3 4" xfId="31153" xr:uid="{D0FC11BE-FFF2-4ACE-8E43-3FB354C6A011}"/>
    <cellStyle name="Comma 4 2 3 6 4" xfId="18501" xr:uid="{00000000-0005-0000-0000-0000AF190000}"/>
    <cellStyle name="Comma 4 2 3 6 4 2" xfId="35370" xr:uid="{23CE9F33-E5DE-49D0-A890-BBDC4C61020E}"/>
    <cellStyle name="Comma 4 2 3 6 5" xfId="10066" xr:uid="{00000000-0005-0000-0000-0000B0190000}"/>
    <cellStyle name="Comma 4 2 3 6 6" xfId="26936" xr:uid="{ACC9B2A0-DF0B-4DD6-B93B-69A9C1756311}"/>
    <cellStyle name="Comma 4 2 3 7" xfId="1955" xr:uid="{00000000-0005-0000-0000-0000B1190000}"/>
    <cellStyle name="Comma 4 2 3 7 2" xfId="4184" xr:uid="{00000000-0005-0000-0000-0000B2190000}"/>
    <cellStyle name="Comma 4 2 3 7 2 2" xfId="8407" xr:uid="{00000000-0005-0000-0000-0000B3190000}"/>
    <cellStyle name="Comma 4 2 3 7 2 2 2" xfId="25277" xr:uid="{00000000-0005-0000-0000-0000B4190000}"/>
    <cellStyle name="Comma 4 2 3 7 2 2 2 2" xfId="42145" xr:uid="{C77EAA70-7F98-48DE-99E0-B481561A4B7C}"/>
    <cellStyle name="Comma 4 2 3 7 2 2 3" xfId="16842" xr:uid="{00000000-0005-0000-0000-0000B5190000}"/>
    <cellStyle name="Comma 4 2 3 7 2 2 4" xfId="33711" xr:uid="{D350D096-2047-42D9-8004-EA21AF34770C}"/>
    <cellStyle name="Comma 4 2 3 7 2 3" xfId="21059" xr:uid="{00000000-0005-0000-0000-0000B6190000}"/>
    <cellStyle name="Comma 4 2 3 7 2 3 2" xfId="37928" xr:uid="{3808D358-C76B-4BA2-8C71-1A9FF82AA459}"/>
    <cellStyle name="Comma 4 2 3 7 2 4" xfId="12624" xr:uid="{00000000-0005-0000-0000-0000B7190000}"/>
    <cellStyle name="Comma 4 2 3 7 2 5" xfId="29494" xr:uid="{5325A80E-B65B-42F3-8D62-14EBE222F11B}"/>
    <cellStyle name="Comma 4 2 3 7 3" xfId="6262" xr:uid="{00000000-0005-0000-0000-0000B8190000}"/>
    <cellStyle name="Comma 4 2 3 7 3 2" xfId="23132" xr:uid="{00000000-0005-0000-0000-0000B9190000}"/>
    <cellStyle name="Comma 4 2 3 7 3 2 2" xfId="40000" xr:uid="{9998346F-1033-4752-8EAE-6A0DF1D10B49}"/>
    <cellStyle name="Comma 4 2 3 7 3 3" xfId="14697" xr:uid="{00000000-0005-0000-0000-0000BA190000}"/>
    <cellStyle name="Comma 4 2 3 7 3 4" xfId="31566" xr:uid="{09271FF5-6B9D-4D6A-9339-CF7A9B589885}"/>
    <cellStyle name="Comma 4 2 3 7 4" xfId="18914" xr:uid="{00000000-0005-0000-0000-0000BB190000}"/>
    <cellStyle name="Comma 4 2 3 7 4 2" xfId="35783" xr:uid="{2C07EC05-4677-446B-9782-AAC84261EC2C}"/>
    <cellStyle name="Comma 4 2 3 7 5" xfId="10479" xr:uid="{00000000-0005-0000-0000-0000BC190000}"/>
    <cellStyle name="Comma 4 2 3 7 6" xfId="27349" xr:uid="{013C4C35-E76F-43EB-B645-8BB6EAABB486}"/>
    <cellStyle name="Comma 4 2 3 8" xfId="2390" xr:uid="{00000000-0005-0000-0000-0000BD190000}"/>
    <cellStyle name="Comma 4 2 3 8 2" xfId="6675" xr:uid="{00000000-0005-0000-0000-0000BE190000}"/>
    <cellStyle name="Comma 4 2 3 8 2 2" xfId="23545" xr:uid="{00000000-0005-0000-0000-0000BF190000}"/>
    <cellStyle name="Comma 4 2 3 8 2 2 2" xfId="40413" xr:uid="{18B52723-3494-4189-B524-72BB886A50BE}"/>
    <cellStyle name="Comma 4 2 3 8 2 3" xfId="15110" xr:uid="{00000000-0005-0000-0000-0000C0190000}"/>
    <cellStyle name="Comma 4 2 3 8 2 4" xfId="31979" xr:uid="{F57FAC93-939F-44D1-83C1-14820D8F0FF1}"/>
    <cellStyle name="Comma 4 2 3 8 3" xfId="19327" xr:uid="{00000000-0005-0000-0000-0000C1190000}"/>
    <cellStyle name="Comma 4 2 3 8 3 2" xfId="36196" xr:uid="{C6AA6C1A-4834-4693-BF20-B47FFBE4AD1F}"/>
    <cellStyle name="Comma 4 2 3 8 4" xfId="10892" xr:uid="{00000000-0005-0000-0000-0000C2190000}"/>
    <cellStyle name="Comma 4 2 3 8 5" xfId="27762" xr:uid="{CD216BE2-7D46-4C3C-9CC6-F1ACDCD063E9}"/>
    <cellStyle name="Comma 4 2 3 9" xfId="2373" xr:uid="{00000000-0005-0000-0000-0000C3190000}"/>
    <cellStyle name="Comma 4 2 4" xfId="140" xr:uid="{00000000-0005-0000-0000-0000C4190000}"/>
    <cellStyle name="Comma 4 2 4 10" xfId="4613" xr:uid="{00000000-0005-0000-0000-0000C5190000}"/>
    <cellStyle name="Comma 4 2 4 10 2" xfId="21483" xr:uid="{00000000-0005-0000-0000-0000C6190000}"/>
    <cellStyle name="Comma 4 2 4 10 2 2" xfId="38351" xr:uid="{735A0FE7-9247-4A1E-88A1-7A5512F69477}"/>
    <cellStyle name="Comma 4 2 4 10 3" xfId="13048" xr:uid="{00000000-0005-0000-0000-0000C7190000}"/>
    <cellStyle name="Comma 4 2 4 10 4" xfId="29917" xr:uid="{AA0FCAFB-6BAA-4EB6-8A5F-8A914CE9843F}"/>
    <cellStyle name="Comma 4 2 4 11" xfId="17265" xr:uid="{00000000-0005-0000-0000-0000C8190000}"/>
    <cellStyle name="Comma 4 2 4 11 2" xfId="34134" xr:uid="{AD54BC37-B0FE-441B-9A2A-E90EE0512A32}"/>
    <cellStyle name="Comma 4 2 4 12" xfId="8830" xr:uid="{00000000-0005-0000-0000-0000C9190000}"/>
    <cellStyle name="Comma 4 2 4 13" xfId="25700" xr:uid="{05DC4F14-B2BD-425F-B116-75B71131FBCA}"/>
    <cellStyle name="Comma 4 2 4 2" xfId="141" xr:uid="{00000000-0005-0000-0000-0000CA190000}"/>
    <cellStyle name="Comma 4 2 4 2 10" xfId="17266" xr:uid="{00000000-0005-0000-0000-0000CB190000}"/>
    <cellStyle name="Comma 4 2 4 2 10 2" xfId="34135" xr:uid="{F203FA1D-EC0A-4F2A-A262-35C2F03C7D67}"/>
    <cellStyle name="Comma 4 2 4 2 11" xfId="8831" xr:uid="{00000000-0005-0000-0000-0000CC190000}"/>
    <cellStyle name="Comma 4 2 4 2 12" xfId="25701" xr:uid="{444C07A0-F656-4109-962C-794A23A0C04F}"/>
    <cellStyle name="Comma 4 2 4 2 2" xfId="679" xr:uid="{00000000-0005-0000-0000-0000CD190000}"/>
    <cellStyle name="Comma 4 2 4 2 2 2" xfId="2950" xr:uid="{00000000-0005-0000-0000-0000CE190000}"/>
    <cellStyle name="Comma 4 2 4 2 2 2 2" xfId="7173" xr:uid="{00000000-0005-0000-0000-0000CF190000}"/>
    <cellStyle name="Comma 4 2 4 2 2 2 2 2" xfId="24043" xr:uid="{00000000-0005-0000-0000-0000D0190000}"/>
    <cellStyle name="Comma 4 2 4 2 2 2 2 2 2" xfId="40911" xr:uid="{364D1432-02C2-4BED-B655-9D9EB44C6487}"/>
    <cellStyle name="Comma 4 2 4 2 2 2 2 3" xfId="15608" xr:uid="{00000000-0005-0000-0000-0000D1190000}"/>
    <cellStyle name="Comma 4 2 4 2 2 2 2 4" xfId="32477" xr:uid="{A64276E8-D3F7-4850-9EB2-4472DBC44C65}"/>
    <cellStyle name="Comma 4 2 4 2 2 2 3" xfId="19825" xr:uid="{00000000-0005-0000-0000-0000D2190000}"/>
    <cellStyle name="Comma 4 2 4 2 2 2 3 2" xfId="36694" xr:uid="{B7479A64-8735-4393-A15A-A9E218B257C7}"/>
    <cellStyle name="Comma 4 2 4 2 2 2 4" xfId="11390" xr:uid="{00000000-0005-0000-0000-0000D3190000}"/>
    <cellStyle name="Comma 4 2 4 2 2 2 5" xfId="28260" xr:uid="{E9DD4AAE-E910-42F1-B5BB-8EEC3D0FB02F}"/>
    <cellStyle name="Comma 4 2 4 2 2 3" xfId="5028" xr:uid="{00000000-0005-0000-0000-0000D4190000}"/>
    <cellStyle name="Comma 4 2 4 2 2 3 2" xfId="21898" xr:uid="{00000000-0005-0000-0000-0000D5190000}"/>
    <cellStyle name="Comma 4 2 4 2 2 3 2 2" xfId="38766" xr:uid="{54662EEE-7B29-42F5-87E0-889C9AA84709}"/>
    <cellStyle name="Comma 4 2 4 2 2 3 3" xfId="13463" xr:uid="{00000000-0005-0000-0000-0000D6190000}"/>
    <cellStyle name="Comma 4 2 4 2 2 3 4" xfId="30332" xr:uid="{70A7508F-44B0-4CB3-B020-B08B8A535A52}"/>
    <cellStyle name="Comma 4 2 4 2 2 4" xfId="17680" xr:uid="{00000000-0005-0000-0000-0000D7190000}"/>
    <cellStyle name="Comma 4 2 4 2 2 4 2" xfId="34549" xr:uid="{EEF21580-FC67-4631-87F6-B61AF1E60053}"/>
    <cellStyle name="Comma 4 2 4 2 2 5" xfId="9245" xr:uid="{00000000-0005-0000-0000-0000D8190000}"/>
    <cellStyle name="Comma 4 2 4 2 2 6" xfId="26115" xr:uid="{21DEC7CA-C21A-4794-9A68-97747195EDC5}"/>
    <cellStyle name="Comma 4 2 4 2 3" xfId="1132" xr:uid="{00000000-0005-0000-0000-0000D9190000}"/>
    <cellStyle name="Comma 4 2 4 2 3 2" xfId="3363" xr:uid="{00000000-0005-0000-0000-0000DA190000}"/>
    <cellStyle name="Comma 4 2 4 2 3 2 2" xfId="7586" xr:uid="{00000000-0005-0000-0000-0000DB190000}"/>
    <cellStyle name="Comma 4 2 4 2 3 2 2 2" xfId="24456" xr:uid="{00000000-0005-0000-0000-0000DC190000}"/>
    <cellStyle name="Comma 4 2 4 2 3 2 2 2 2" xfId="41324" xr:uid="{40998980-6D18-4E1F-B8EF-6E85C71506F9}"/>
    <cellStyle name="Comma 4 2 4 2 3 2 2 3" xfId="16021" xr:uid="{00000000-0005-0000-0000-0000DD190000}"/>
    <cellStyle name="Comma 4 2 4 2 3 2 2 4" xfId="32890" xr:uid="{8C95F520-4EDB-47E7-94B0-D729BEE69D49}"/>
    <cellStyle name="Comma 4 2 4 2 3 2 3" xfId="20238" xr:uid="{00000000-0005-0000-0000-0000DE190000}"/>
    <cellStyle name="Comma 4 2 4 2 3 2 3 2" xfId="37107" xr:uid="{C4ED4B6F-56D9-4C3F-A498-2C6334826B15}"/>
    <cellStyle name="Comma 4 2 4 2 3 2 4" xfId="11803" xr:uid="{00000000-0005-0000-0000-0000DF190000}"/>
    <cellStyle name="Comma 4 2 4 2 3 2 5" xfId="28673" xr:uid="{73D8DF48-A8D1-4CF3-8793-D872BEF2282A}"/>
    <cellStyle name="Comma 4 2 4 2 3 3" xfId="5441" xr:uid="{00000000-0005-0000-0000-0000E0190000}"/>
    <cellStyle name="Comma 4 2 4 2 3 3 2" xfId="22311" xr:uid="{00000000-0005-0000-0000-0000E1190000}"/>
    <cellStyle name="Comma 4 2 4 2 3 3 2 2" xfId="39179" xr:uid="{D18B52A6-BDB6-4BF8-A919-F1AD31FAE773}"/>
    <cellStyle name="Comma 4 2 4 2 3 3 3" xfId="13876" xr:uid="{00000000-0005-0000-0000-0000E2190000}"/>
    <cellStyle name="Comma 4 2 4 2 3 3 4" xfId="30745" xr:uid="{90DB82DE-1713-497D-9147-AAA80BD7BBBF}"/>
    <cellStyle name="Comma 4 2 4 2 3 4" xfId="18093" xr:uid="{00000000-0005-0000-0000-0000E3190000}"/>
    <cellStyle name="Comma 4 2 4 2 3 4 2" xfId="34962" xr:uid="{E5F6AAE7-9897-4D0E-A753-D0AE727972B9}"/>
    <cellStyle name="Comma 4 2 4 2 3 5" xfId="9658" xr:uid="{00000000-0005-0000-0000-0000E4190000}"/>
    <cellStyle name="Comma 4 2 4 2 3 6" xfId="26528" xr:uid="{40F7A9A2-DDB0-445A-AD6B-C91721E7E6FC}"/>
    <cellStyle name="Comma 4 2 4 2 4" xfId="1546" xr:uid="{00000000-0005-0000-0000-0000E5190000}"/>
    <cellStyle name="Comma 4 2 4 2 4 2" xfId="3776" xr:uid="{00000000-0005-0000-0000-0000E6190000}"/>
    <cellStyle name="Comma 4 2 4 2 4 2 2" xfId="7999" xr:uid="{00000000-0005-0000-0000-0000E7190000}"/>
    <cellStyle name="Comma 4 2 4 2 4 2 2 2" xfId="24869" xr:uid="{00000000-0005-0000-0000-0000E8190000}"/>
    <cellStyle name="Comma 4 2 4 2 4 2 2 2 2" xfId="41737" xr:uid="{FEDA048B-349E-478F-A072-EAD98B0AFD36}"/>
    <cellStyle name="Comma 4 2 4 2 4 2 2 3" xfId="16434" xr:uid="{00000000-0005-0000-0000-0000E9190000}"/>
    <cellStyle name="Comma 4 2 4 2 4 2 2 4" xfId="33303" xr:uid="{6CA5A101-66F0-487C-BA6C-86055C0E7A6A}"/>
    <cellStyle name="Comma 4 2 4 2 4 2 3" xfId="20651" xr:uid="{00000000-0005-0000-0000-0000EA190000}"/>
    <cellStyle name="Comma 4 2 4 2 4 2 3 2" xfId="37520" xr:uid="{EAD5E6AF-5AF0-4E4B-B0D7-519625F54211}"/>
    <cellStyle name="Comma 4 2 4 2 4 2 4" xfId="12216" xr:uid="{00000000-0005-0000-0000-0000EB190000}"/>
    <cellStyle name="Comma 4 2 4 2 4 2 5" xfId="29086" xr:uid="{4469C50C-FF44-41C6-BFC8-BA1240F13503}"/>
    <cellStyle name="Comma 4 2 4 2 4 3" xfId="5854" xr:uid="{00000000-0005-0000-0000-0000EC190000}"/>
    <cellStyle name="Comma 4 2 4 2 4 3 2" xfId="22724" xr:uid="{00000000-0005-0000-0000-0000ED190000}"/>
    <cellStyle name="Comma 4 2 4 2 4 3 2 2" xfId="39592" xr:uid="{0DA9DD3C-1524-4D2F-9289-2916F8471FD9}"/>
    <cellStyle name="Comma 4 2 4 2 4 3 3" xfId="14289" xr:uid="{00000000-0005-0000-0000-0000EE190000}"/>
    <cellStyle name="Comma 4 2 4 2 4 3 4" xfId="31158" xr:uid="{388845EF-6DDE-4FDB-9E34-9796F4DB4CFA}"/>
    <cellStyle name="Comma 4 2 4 2 4 4" xfId="18506" xr:uid="{00000000-0005-0000-0000-0000EF190000}"/>
    <cellStyle name="Comma 4 2 4 2 4 4 2" xfId="35375" xr:uid="{8C4B0109-0A47-4EB1-83B4-10004212B135}"/>
    <cellStyle name="Comma 4 2 4 2 4 5" xfId="10071" xr:uid="{00000000-0005-0000-0000-0000F0190000}"/>
    <cellStyle name="Comma 4 2 4 2 4 6" xfId="26941" xr:uid="{9BC650E3-B853-4ED3-9FBE-3FDD26E40CEC}"/>
    <cellStyle name="Comma 4 2 4 2 5" xfId="1960" xr:uid="{00000000-0005-0000-0000-0000F1190000}"/>
    <cellStyle name="Comma 4 2 4 2 5 2" xfId="4189" xr:uid="{00000000-0005-0000-0000-0000F2190000}"/>
    <cellStyle name="Comma 4 2 4 2 5 2 2" xfId="8412" xr:uid="{00000000-0005-0000-0000-0000F3190000}"/>
    <cellStyle name="Comma 4 2 4 2 5 2 2 2" xfId="25282" xr:uid="{00000000-0005-0000-0000-0000F4190000}"/>
    <cellStyle name="Comma 4 2 4 2 5 2 2 2 2" xfId="42150" xr:uid="{D890B9A9-A517-4B33-ADF1-6AA7BC9784CA}"/>
    <cellStyle name="Comma 4 2 4 2 5 2 2 3" xfId="16847" xr:uid="{00000000-0005-0000-0000-0000F5190000}"/>
    <cellStyle name="Comma 4 2 4 2 5 2 2 4" xfId="33716" xr:uid="{DF83C6D9-5D04-43BA-8ABA-C91D39544A4B}"/>
    <cellStyle name="Comma 4 2 4 2 5 2 3" xfId="21064" xr:uid="{00000000-0005-0000-0000-0000F6190000}"/>
    <cellStyle name="Comma 4 2 4 2 5 2 3 2" xfId="37933" xr:uid="{FBD3F494-C9FA-404C-983B-CB069CD781E7}"/>
    <cellStyle name="Comma 4 2 4 2 5 2 4" xfId="12629" xr:uid="{00000000-0005-0000-0000-0000F7190000}"/>
    <cellStyle name="Comma 4 2 4 2 5 2 5" xfId="29499" xr:uid="{E3365209-B660-4469-9735-4C9249248426}"/>
    <cellStyle name="Comma 4 2 4 2 5 3" xfId="6267" xr:uid="{00000000-0005-0000-0000-0000F8190000}"/>
    <cellStyle name="Comma 4 2 4 2 5 3 2" xfId="23137" xr:uid="{00000000-0005-0000-0000-0000F9190000}"/>
    <cellStyle name="Comma 4 2 4 2 5 3 2 2" xfId="40005" xr:uid="{C6EFD699-A69C-4354-ACDB-EE29F155510E}"/>
    <cellStyle name="Comma 4 2 4 2 5 3 3" xfId="14702" xr:uid="{00000000-0005-0000-0000-0000FA190000}"/>
    <cellStyle name="Comma 4 2 4 2 5 3 4" xfId="31571" xr:uid="{9661BC77-2BB7-45F5-ACB8-12C83BC7CD33}"/>
    <cellStyle name="Comma 4 2 4 2 5 4" xfId="18919" xr:uid="{00000000-0005-0000-0000-0000FB190000}"/>
    <cellStyle name="Comma 4 2 4 2 5 4 2" xfId="35788" xr:uid="{D27229E3-E6C3-4CB3-B4F7-E972D9291532}"/>
    <cellStyle name="Comma 4 2 4 2 5 5" xfId="10484" xr:uid="{00000000-0005-0000-0000-0000FC190000}"/>
    <cellStyle name="Comma 4 2 4 2 5 6" xfId="27354" xr:uid="{7EC4AB08-D055-4BB9-9278-F3E0A74097FE}"/>
    <cellStyle name="Comma 4 2 4 2 6" xfId="2395" xr:uid="{00000000-0005-0000-0000-0000FD190000}"/>
    <cellStyle name="Comma 4 2 4 2 6 2" xfId="6680" xr:uid="{00000000-0005-0000-0000-0000FE190000}"/>
    <cellStyle name="Comma 4 2 4 2 6 2 2" xfId="23550" xr:uid="{00000000-0005-0000-0000-0000FF190000}"/>
    <cellStyle name="Comma 4 2 4 2 6 2 2 2" xfId="40418" xr:uid="{E9EE0CDA-6966-45C2-AD11-EE4ECEAAA360}"/>
    <cellStyle name="Comma 4 2 4 2 6 2 3" xfId="15115" xr:uid="{00000000-0005-0000-0000-0000001A0000}"/>
    <cellStyle name="Comma 4 2 4 2 6 2 4" xfId="31984" xr:uid="{9BB143F5-B5CB-44BB-A453-DC83E1EC3D50}"/>
    <cellStyle name="Comma 4 2 4 2 6 3" xfId="19332" xr:uid="{00000000-0005-0000-0000-0000011A0000}"/>
    <cellStyle name="Comma 4 2 4 2 6 3 2" xfId="36201" xr:uid="{529CC05F-1C3D-4CE6-B3B6-6D64129C12C9}"/>
    <cellStyle name="Comma 4 2 4 2 6 4" xfId="10897" xr:uid="{00000000-0005-0000-0000-0000021A0000}"/>
    <cellStyle name="Comma 4 2 4 2 6 5" xfId="27767" xr:uid="{B9049ECF-56B7-4F95-A3DD-153C3C823C2D}"/>
    <cellStyle name="Comma 4 2 4 2 7" xfId="2368" xr:uid="{00000000-0005-0000-0000-0000031A0000}"/>
    <cellStyle name="Comma 4 2 4 2 8" xfId="2773" xr:uid="{00000000-0005-0000-0000-0000041A0000}"/>
    <cellStyle name="Comma 4 2 4 2 8 2" xfId="6997" xr:uid="{00000000-0005-0000-0000-0000051A0000}"/>
    <cellStyle name="Comma 4 2 4 2 8 2 2" xfId="23867" xr:uid="{00000000-0005-0000-0000-0000061A0000}"/>
    <cellStyle name="Comma 4 2 4 2 8 2 2 2" xfId="40735" xr:uid="{717AACE9-4ABD-4ECD-9908-B392167F43AC}"/>
    <cellStyle name="Comma 4 2 4 2 8 2 3" xfId="15432" xr:uid="{00000000-0005-0000-0000-0000071A0000}"/>
    <cellStyle name="Comma 4 2 4 2 8 2 4" xfId="32301" xr:uid="{FF4BAC74-D489-49A6-9F12-A1C0EAC4BCCC}"/>
    <cellStyle name="Comma 4 2 4 2 8 3" xfId="19649" xr:uid="{00000000-0005-0000-0000-0000081A0000}"/>
    <cellStyle name="Comma 4 2 4 2 8 3 2" xfId="36518" xr:uid="{CF3430B9-A25B-481F-89DB-890B85EAD449}"/>
    <cellStyle name="Comma 4 2 4 2 8 4" xfId="11214" xr:uid="{00000000-0005-0000-0000-0000091A0000}"/>
    <cellStyle name="Comma 4 2 4 2 8 5" xfId="28084" xr:uid="{D9EA62EF-E177-4F2A-AD84-5570A0087791}"/>
    <cellStyle name="Comma 4 2 4 2 9" xfId="4614" xr:uid="{00000000-0005-0000-0000-00000A1A0000}"/>
    <cellStyle name="Comma 4 2 4 2 9 2" xfId="21484" xr:uid="{00000000-0005-0000-0000-00000B1A0000}"/>
    <cellStyle name="Comma 4 2 4 2 9 2 2" xfId="38352" xr:uid="{2A51F4C0-BB56-487D-8185-0360363B8E3F}"/>
    <cellStyle name="Comma 4 2 4 2 9 3" xfId="13049" xr:uid="{00000000-0005-0000-0000-00000C1A0000}"/>
    <cellStyle name="Comma 4 2 4 2 9 4" xfId="29918" xr:uid="{BA88EC88-4B46-4353-9E41-9BABF8400F1E}"/>
    <cellStyle name="Comma 4 2 4 3" xfId="678" xr:uid="{00000000-0005-0000-0000-00000D1A0000}"/>
    <cellStyle name="Comma 4 2 4 3 2" xfId="2949" xr:uid="{00000000-0005-0000-0000-00000E1A0000}"/>
    <cellStyle name="Comma 4 2 4 3 2 2" xfId="7172" xr:uid="{00000000-0005-0000-0000-00000F1A0000}"/>
    <cellStyle name="Comma 4 2 4 3 2 2 2" xfId="24042" xr:uid="{00000000-0005-0000-0000-0000101A0000}"/>
    <cellStyle name="Comma 4 2 4 3 2 2 2 2" xfId="40910" xr:uid="{B45B972C-C5D2-4843-8971-6DF267DBC5A7}"/>
    <cellStyle name="Comma 4 2 4 3 2 2 3" xfId="15607" xr:uid="{00000000-0005-0000-0000-0000111A0000}"/>
    <cellStyle name="Comma 4 2 4 3 2 2 4" xfId="32476" xr:uid="{7959B8B7-F4E0-451C-ADEF-786AA7BC4277}"/>
    <cellStyle name="Comma 4 2 4 3 2 3" xfId="19824" xr:uid="{00000000-0005-0000-0000-0000121A0000}"/>
    <cellStyle name="Comma 4 2 4 3 2 3 2" xfId="36693" xr:uid="{E3985AB9-D9A0-4E7C-922D-D6060EC0454F}"/>
    <cellStyle name="Comma 4 2 4 3 2 4" xfId="11389" xr:uid="{00000000-0005-0000-0000-0000131A0000}"/>
    <cellStyle name="Comma 4 2 4 3 2 5" xfId="28259" xr:uid="{0A3B4EAB-6C32-4ED2-A953-48336A4E2997}"/>
    <cellStyle name="Comma 4 2 4 3 3" xfId="5027" xr:uid="{00000000-0005-0000-0000-0000141A0000}"/>
    <cellStyle name="Comma 4 2 4 3 3 2" xfId="21897" xr:uid="{00000000-0005-0000-0000-0000151A0000}"/>
    <cellStyle name="Comma 4 2 4 3 3 2 2" xfId="38765" xr:uid="{2C8B9DCE-6B4E-4E87-AD44-6D00A2932CA2}"/>
    <cellStyle name="Comma 4 2 4 3 3 3" xfId="13462" xr:uid="{00000000-0005-0000-0000-0000161A0000}"/>
    <cellStyle name="Comma 4 2 4 3 3 4" xfId="30331" xr:uid="{47A41B66-DD99-4955-8EF1-4D5D9624E6B2}"/>
    <cellStyle name="Comma 4 2 4 3 4" xfId="17679" xr:uid="{00000000-0005-0000-0000-0000171A0000}"/>
    <cellStyle name="Comma 4 2 4 3 4 2" xfId="34548" xr:uid="{EABF6D2E-042C-48D2-B94F-C095730BD7D5}"/>
    <cellStyle name="Comma 4 2 4 3 5" xfId="9244" xr:uid="{00000000-0005-0000-0000-0000181A0000}"/>
    <cellStyle name="Comma 4 2 4 3 6" xfId="26114" xr:uid="{06FCFD5D-86D1-4854-86C5-331302578298}"/>
    <cellStyle name="Comma 4 2 4 4" xfId="1131" xr:uid="{00000000-0005-0000-0000-0000191A0000}"/>
    <cellStyle name="Comma 4 2 4 4 2" xfId="3362" xr:uid="{00000000-0005-0000-0000-00001A1A0000}"/>
    <cellStyle name="Comma 4 2 4 4 2 2" xfId="7585" xr:uid="{00000000-0005-0000-0000-00001B1A0000}"/>
    <cellStyle name="Comma 4 2 4 4 2 2 2" xfId="24455" xr:uid="{00000000-0005-0000-0000-00001C1A0000}"/>
    <cellStyle name="Comma 4 2 4 4 2 2 2 2" xfId="41323" xr:uid="{726DE4EE-B98B-471D-AE61-36EBB7E6F8F6}"/>
    <cellStyle name="Comma 4 2 4 4 2 2 3" xfId="16020" xr:uid="{00000000-0005-0000-0000-00001D1A0000}"/>
    <cellStyle name="Comma 4 2 4 4 2 2 4" xfId="32889" xr:uid="{E93413A2-F36C-43BB-AAE3-D805F02DD7C5}"/>
    <cellStyle name="Comma 4 2 4 4 2 3" xfId="20237" xr:uid="{00000000-0005-0000-0000-00001E1A0000}"/>
    <cellStyle name="Comma 4 2 4 4 2 3 2" xfId="37106" xr:uid="{B9F7A342-CB79-46C1-9237-88666E193FC3}"/>
    <cellStyle name="Comma 4 2 4 4 2 4" xfId="11802" xr:uid="{00000000-0005-0000-0000-00001F1A0000}"/>
    <cellStyle name="Comma 4 2 4 4 2 5" xfId="28672" xr:uid="{214FA7C4-F0D6-44CB-ACF6-CDF2DE6E5895}"/>
    <cellStyle name="Comma 4 2 4 4 3" xfId="5440" xr:uid="{00000000-0005-0000-0000-0000201A0000}"/>
    <cellStyle name="Comma 4 2 4 4 3 2" xfId="22310" xr:uid="{00000000-0005-0000-0000-0000211A0000}"/>
    <cellStyle name="Comma 4 2 4 4 3 2 2" xfId="39178" xr:uid="{2799160F-EC93-4F32-AC63-BE8F95F93C79}"/>
    <cellStyle name="Comma 4 2 4 4 3 3" xfId="13875" xr:uid="{00000000-0005-0000-0000-0000221A0000}"/>
    <cellStyle name="Comma 4 2 4 4 3 4" xfId="30744" xr:uid="{BFFC944F-A0A5-4BD4-8AAA-FAC703927C63}"/>
    <cellStyle name="Comma 4 2 4 4 4" xfId="18092" xr:uid="{00000000-0005-0000-0000-0000231A0000}"/>
    <cellStyle name="Comma 4 2 4 4 4 2" xfId="34961" xr:uid="{959ABA81-112B-4511-B703-B05EE75DDCBB}"/>
    <cellStyle name="Comma 4 2 4 4 5" xfId="9657" xr:uid="{00000000-0005-0000-0000-0000241A0000}"/>
    <cellStyle name="Comma 4 2 4 4 6" xfId="26527" xr:uid="{3722DE31-925A-46D2-9288-CB1D4DBED0F4}"/>
    <cellStyle name="Comma 4 2 4 5" xfId="1545" xr:uid="{00000000-0005-0000-0000-0000251A0000}"/>
    <cellStyle name="Comma 4 2 4 5 2" xfId="3775" xr:uid="{00000000-0005-0000-0000-0000261A0000}"/>
    <cellStyle name="Comma 4 2 4 5 2 2" xfId="7998" xr:uid="{00000000-0005-0000-0000-0000271A0000}"/>
    <cellStyle name="Comma 4 2 4 5 2 2 2" xfId="24868" xr:uid="{00000000-0005-0000-0000-0000281A0000}"/>
    <cellStyle name="Comma 4 2 4 5 2 2 2 2" xfId="41736" xr:uid="{FA89A63E-1217-4A78-B1C4-9B332399D991}"/>
    <cellStyle name="Comma 4 2 4 5 2 2 3" xfId="16433" xr:uid="{00000000-0005-0000-0000-0000291A0000}"/>
    <cellStyle name="Comma 4 2 4 5 2 2 4" xfId="33302" xr:uid="{46FB5311-6275-433F-8661-02611534BA43}"/>
    <cellStyle name="Comma 4 2 4 5 2 3" xfId="20650" xr:uid="{00000000-0005-0000-0000-00002A1A0000}"/>
    <cellStyle name="Comma 4 2 4 5 2 3 2" xfId="37519" xr:uid="{9D859ACE-A7A1-4B5D-8F6E-99C596DF0AEB}"/>
    <cellStyle name="Comma 4 2 4 5 2 4" xfId="12215" xr:uid="{00000000-0005-0000-0000-00002B1A0000}"/>
    <cellStyle name="Comma 4 2 4 5 2 5" xfId="29085" xr:uid="{7D1F0F9D-CA48-411B-916C-3446CAB6583B}"/>
    <cellStyle name="Comma 4 2 4 5 3" xfId="5853" xr:uid="{00000000-0005-0000-0000-00002C1A0000}"/>
    <cellStyle name="Comma 4 2 4 5 3 2" xfId="22723" xr:uid="{00000000-0005-0000-0000-00002D1A0000}"/>
    <cellStyle name="Comma 4 2 4 5 3 2 2" xfId="39591" xr:uid="{2829A277-7BB7-414F-8E83-291E600CCB07}"/>
    <cellStyle name="Comma 4 2 4 5 3 3" xfId="14288" xr:uid="{00000000-0005-0000-0000-00002E1A0000}"/>
    <cellStyle name="Comma 4 2 4 5 3 4" xfId="31157" xr:uid="{3AD2E74D-0DD2-4054-B1D1-E74AB6F2AE09}"/>
    <cellStyle name="Comma 4 2 4 5 4" xfId="18505" xr:uid="{00000000-0005-0000-0000-00002F1A0000}"/>
    <cellStyle name="Comma 4 2 4 5 4 2" xfId="35374" xr:uid="{9939094B-5B01-4F29-BD31-013F9A5FB5DD}"/>
    <cellStyle name="Comma 4 2 4 5 5" xfId="10070" xr:uid="{00000000-0005-0000-0000-0000301A0000}"/>
    <cellStyle name="Comma 4 2 4 5 6" xfId="26940" xr:uid="{839542FC-EFFE-4F94-AF2A-3C3F8E031776}"/>
    <cellStyle name="Comma 4 2 4 6" xfId="1959" xr:uid="{00000000-0005-0000-0000-0000311A0000}"/>
    <cellStyle name="Comma 4 2 4 6 2" xfId="4188" xr:uid="{00000000-0005-0000-0000-0000321A0000}"/>
    <cellStyle name="Comma 4 2 4 6 2 2" xfId="8411" xr:uid="{00000000-0005-0000-0000-0000331A0000}"/>
    <cellStyle name="Comma 4 2 4 6 2 2 2" xfId="25281" xr:uid="{00000000-0005-0000-0000-0000341A0000}"/>
    <cellStyle name="Comma 4 2 4 6 2 2 2 2" xfId="42149" xr:uid="{518B0321-445A-4B3C-956C-44A64E9F8687}"/>
    <cellStyle name="Comma 4 2 4 6 2 2 3" xfId="16846" xr:uid="{00000000-0005-0000-0000-0000351A0000}"/>
    <cellStyle name="Comma 4 2 4 6 2 2 4" xfId="33715" xr:uid="{0AA4D461-AFAD-48C1-907F-7D97B5286428}"/>
    <cellStyle name="Comma 4 2 4 6 2 3" xfId="21063" xr:uid="{00000000-0005-0000-0000-0000361A0000}"/>
    <cellStyle name="Comma 4 2 4 6 2 3 2" xfId="37932" xr:uid="{C938E22F-DC17-45EA-BB70-0C89317343AD}"/>
    <cellStyle name="Comma 4 2 4 6 2 4" xfId="12628" xr:uid="{00000000-0005-0000-0000-0000371A0000}"/>
    <cellStyle name="Comma 4 2 4 6 2 5" xfId="29498" xr:uid="{AA10C29A-8B07-4E5C-AB07-93DC87B41FA3}"/>
    <cellStyle name="Comma 4 2 4 6 3" xfId="6266" xr:uid="{00000000-0005-0000-0000-0000381A0000}"/>
    <cellStyle name="Comma 4 2 4 6 3 2" xfId="23136" xr:uid="{00000000-0005-0000-0000-0000391A0000}"/>
    <cellStyle name="Comma 4 2 4 6 3 2 2" xfId="40004" xr:uid="{8F9962C1-761B-46BD-AF68-0CD670BD2201}"/>
    <cellStyle name="Comma 4 2 4 6 3 3" xfId="14701" xr:uid="{00000000-0005-0000-0000-00003A1A0000}"/>
    <cellStyle name="Comma 4 2 4 6 3 4" xfId="31570" xr:uid="{05D2BA42-13B4-46B3-8BD7-D74A006E4610}"/>
    <cellStyle name="Comma 4 2 4 6 4" xfId="18918" xr:uid="{00000000-0005-0000-0000-00003B1A0000}"/>
    <cellStyle name="Comma 4 2 4 6 4 2" xfId="35787" xr:uid="{81A43174-7C79-4086-BB82-BF21DF622C9D}"/>
    <cellStyle name="Comma 4 2 4 6 5" xfId="10483" xr:uid="{00000000-0005-0000-0000-00003C1A0000}"/>
    <cellStyle name="Comma 4 2 4 6 6" xfId="27353" xr:uid="{8B62C570-1110-415D-A719-8F80D8075EA0}"/>
    <cellStyle name="Comma 4 2 4 7" xfId="2394" xr:uid="{00000000-0005-0000-0000-00003D1A0000}"/>
    <cellStyle name="Comma 4 2 4 7 2" xfId="6679" xr:uid="{00000000-0005-0000-0000-00003E1A0000}"/>
    <cellStyle name="Comma 4 2 4 7 2 2" xfId="23549" xr:uid="{00000000-0005-0000-0000-00003F1A0000}"/>
    <cellStyle name="Comma 4 2 4 7 2 2 2" xfId="40417" xr:uid="{7C832DF3-C941-4108-B78B-499E1270A071}"/>
    <cellStyle name="Comma 4 2 4 7 2 3" xfId="15114" xr:uid="{00000000-0005-0000-0000-0000401A0000}"/>
    <cellStyle name="Comma 4 2 4 7 2 4" xfId="31983" xr:uid="{213D2525-CF5C-48F2-BDEE-0023B1C7DD3D}"/>
    <cellStyle name="Comma 4 2 4 7 3" xfId="19331" xr:uid="{00000000-0005-0000-0000-0000411A0000}"/>
    <cellStyle name="Comma 4 2 4 7 3 2" xfId="36200" xr:uid="{5A6751FB-ECA4-4153-876E-0C030EEA47B0}"/>
    <cellStyle name="Comma 4 2 4 7 4" xfId="10896" xr:uid="{00000000-0005-0000-0000-0000421A0000}"/>
    <cellStyle name="Comma 4 2 4 7 5" xfId="27766" xr:uid="{EF4FD0AE-0EA1-4F59-8150-40D2E46D108B}"/>
    <cellStyle name="Comma 4 2 4 8" xfId="2369" xr:uid="{00000000-0005-0000-0000-0000431A0000}"/>
    <cellStyle name="Comma 4 2 4 9" xfId="2772" xr:uid="{00000000-0005-0000-0000-0000441A0000}"/>
    <cellStyle name="Comma 4 2 4 9 2" xfId="6996" xr:uid="{00000000-0005-0000-0000-0000451A0000}"/>
    <cellStyle name="Comma 4 2 4 9 2 2" xfId="23866" xr:uid="{00000000-0005-0000-0000-0000461A0000}"/>
    <cellStyle name="Comma 4 2 4 9 2 2 2" xfId="40734" xr:uid="{755D54E7-7805-4C33-B1C8-DC7425762FB6}"/>
    <cellStyle name="Comma 4 2 4 9 2 3" xfId="15431" xr:uid="{00000000-0005-0000-0000-0000471A0000}"/>
    <cellStyle name="Comma 4 2 4 9 2 4" xfId="32300" xr:uid="{CFCF1025-C701-402D-95EF-D699F9FAB88B}"/>
    <cellStyle name="Comma 4 2 4 9 3" xfId="19648" xr:uid="{00000000-0005-0000-0000-0000481A0000}"/>
    <cellStyle name="Comma 4 2 4 9 3 2" xfId="36517" xr:uid="{921D695C-7C48-4578-8905-FBC74A638B92}"/>
    <cellStyle name="Comma 4 2 4 9 4" xfId="11213" xr:uid="{00000000-0005-0000-0000-0000491A0000}"/>
    <cellStyle name="Comma 4 2 4 9 5" xfId="28083" xr:uid="{245896CF-F356-4917-8898-1C4C3F4DFECB}"/>
    <cellStyle name="Comma 4 2 5" xfId="142" xr:uid="{00000000-0005-0000-0000-00004A1A0000}"/>
    <cellStyle name="Comma 4 2 5 10" xfId="17267" xr:uid="{00000000-0005-0000-0000-00004B1A0000}"/>
    <cellStyle name="Comma 4 2 5 10 2" xfId="34136" xr:uid="{2A71087C-79F7-4EB4-AD1F-DC8ABD7E3866}"/>
    <cellStyle name="Comma 4 2 5 11" xfId="8832" xr:uid="{00000000-0005-0000-0000-00004C1A0000}"/>
    <cellStyle name="Comma 4 2 5 12" xfId="25702" xr:uid="{340BF383-33AD-4825-9440-5A4E50C8C6B3}"/>
    <cellStyle name="Comma 4 2 5 2" xfId="680" xr:uid="{00000000-0005-0000-0000-00004D1A0000}"/>
    <cellStyle name="Comma 4 2 5 2 2" xfId="2951" xr:uid="{00000000-0005-0000-0000-00004E1A0000}"/>
    <cellStyle name="Comma 4 2 5 2 2 2" xfId="7174" xr:uid="{00000000-0005-0000-0000-00004F1A0000}"/>
    <cellStyle name="Comma 4 2 5 2 2 2 2" xfId="24044" xr:uid="{00000000-0005-0000-0000-0000501A0000}"/>
    <cellStyle name="Comma 4 2 5 2 2 2 2 2" xfId="40912" xr:uid="{1A8574AA-F033-4A84-825F-6D4226F0DE7C}"/>
    <cellStyle name="Comma 4 2 5 2 2 2 3" xfId="15609" xr:uid="{00000000-0005-0000-0000-0000511A0000}"/>
    <cellStyle name="Comma 4 2 5 2 2 2 4" xfId="32478" xr:uid="{FDA50772-8CAF-4AE6-B868-F5BDC097DE71}"/>
    <cellStyle name="Comma 4 2 5 2 2 3" xfId="19826" xr:uid="{00000000-0005-0000-0000-0000521A0000}"/>
    <cellStyle name="Comma 4 2 5 2 2 3 2" xfId="36695" xr:uid="{0E46DD24-52EC-44C9-8C8B-87BFA5BCBD35}"/>
    <cellStyle name="Comma 4 2 5 2 2 4" xfId="11391" xr:uid="{00000000-0005-0000-0000-0000531A0000}"/>
    <cellStyle name="Comma 4 2 5 2 2 5" xfId="28261" xr:uid="{60357003-5800-4C96-8D8C-3A4ADAD41544}"/>
    <cellStyle name="Comma 4 2 5 2 3" xfId="5029" xr:uid="{00000000-0005-0000-0000-0000541A0000}"/>
    <cellStyle name="Comma 4 2 5 2 3 2" xfId="21899" xr:uid="{00000000-0005-0000-0000-0000551A0000}"/>
    <cellStyle name="Comma 4 2 5 2 3 2 2" xfId="38767" xr:uid="{108C6D73-6EF1-4CBB-8BA7-8B96A7615827}"/>
    <cellStyle name="Comma 4 2 5 2 3 3" xfId="13464" xr:uid="{00000000-0005-0000-0000-0000561A0000}"/>
    <cellStyle name="Comma 4 2 5 2 3 4" xfId="30333" xr:uid="{83AAD03A-15BD-4E53-8E62-C3D92C28DBD2}"/>
    <cellStyle name="Comma 4 2 5 2 4" xfId="17681" xr:uid="{00000000-0005-0000-0000-0000571A0000}"/>
    <cellStyle name="Comma 4 2 5 2 4 2" xfId="34550" xr:uid="{FAE81EDD-122B-4D04-B1CC-FBA8A73385D2}"/>
    <cellStyle name="Comma 4 2 5 2 5" xfId="9246" xr:uid="{00000000-0005-0000-0000-0000581A0000}"/>
    <cellStyle name="Comma 4 2 5 2 6" xfId="26116" xr:uid="{D14F3136-42BA-43DB-8B78-C7D4AB8735B8}"/>
    <cellStyle name="Comma 4 2 5 3" xfId="1133" xr:uid="{00000000-0005-0000-0000-0000591A0000}"/>
    <cellStyle name="Comma 4 2 5 3 2" xfId="3364" xr:uid="{00000000-0005-0000-0000-00005A1A0000}"/>
    <cellStyle name="Comma 4 2 5 3 2 2" xfId="7587" xr:uid="{00000000-0005-0000-0000-00005B1A0000}"/>
    <cellStyle name="Comma 4 2 5 3 2 2 2" xfId="24457" xr:uid="{00000000-0005-0000-0000-00005C1A0000}"/>
    <cellStyle name="Comma 4 2 5 3 2 2 2 2" xfId="41325" xr:uid="{2C38913E-CD43-448F-BC31-5B3684453B31}"/>
    <cellStyle name="Comma 4 2 5 3 2 2 3" xfId="16022" xr:uid="{00000000-0005-0000-0000-00005D1A0000}"/>
    <cellStyle name="Comma 4 2 5 3 2 2 4" xfId="32891" xr:uid="{96A9A037-03FA-4743-8945-52ABE745ED01}"/>
    <cellStyle name="Comma 4 2 5 3 2 3" xfId="20239" xr:uid="{00000000-0005-0000-0000-00005E1A0000}"/>
    <cellStyle name="Comma 4 2 5 3 2 3 2" xfId="37108" xr:uid="{4E965DA1-3A90-4F46-B791-82DC1092DE33}"/>
    <cellStyle name="Comma 4 2 5 3 2 4" xfId="11804" xr:uid="{00000000-0005-0000-0000-00005F1A0000}"/>
    <cellStyle name="Comma 4 2 5 3 2 5" xfId="28674" xr:uid="{63C7FF27-3DD3-41C7-B5C0-6851DEF3DFFE}"/>
    <cellStyle name="Comma 4 2 5 3 3" xfId="5442" xr:uid="{00000000-0005-0000-0000-0000601A0000}"/>
    <cellStyle name="Comma 4 2 5 3 3 2" xfId="22312" xr:uid="{00000000-0005-0000-0000-0000611A0000}"/>
    <cellStyle name="Comma 4 2 5 3 3 2 2" xfId="39180" xr:uid="{DC99E0F9-B7D7-42AE-A6B9-FE194F01B597}"/>
    <cellStyle name="Comma 4 2 5 3 3 3" xfId="13877" xr:uid="{00000000-0005-0000-0000-0000621A0000}"/>
    <cellStyle name="Comma 4 2 5 3 3 4" xfId="30746" xr:uid="{414988E7-6575-4989-B7BF-D95F6F9F308B}"/>
    <cellStyle name="Comma 4 2 5 3 4" xfId="18094" xr:uid="{00000000-0005-0000-0000-0000631A0000}"/>
    <cellStyle name="Comma 4 2 5 3 4 2" xfId="34963" xr:uid="{0B811C8B-114B-4118-B3A0-0DD100EB4E01}"/>
    <cellStyle name="Comma 4 2 5 3 5" xfId="9659" xr:uid="{00000000-0005-0000-0000-0000641A0000}"/>
    <cellStyle name="Comma 4 2 5 3 6" xfId="26529" xr:uid="{9D19A929-651D-4DFC-B245-A2634216886B}"/>
    <cellStyle name="Comma 4 2 5 4" xfId="1547" xr:uid="{00000000-0005-0000-0000-0000651A0000}"/>
    <cellStyle name="Comma 4 2 5 4 2" xfId="3777" xr:uid="{00000000-0005-0000-0000-0000661A0000}"/>
    <cellStyle name="Comma 4 2 5 4 2 2" xfId="8000" xr:uid="{00000000-0005-0000-0000-0000671A0000}"/>
    <cellStyle name="Comma 4 2 5 4 2 2 2" xfId="24870" xr:uid="{00000000-0005-0000-0000-0000681A0000}"/>
    <cellStyle name="Comma 4 2 5 4 2 2 2 2" xfId="41738" xr:uid="{779CEEED-EA8B-4048-941E-7BBB2A425C32}"/>
    <cellStyle name="Comma 4 2 5 4 2 2 3" xfId="16435" xr:uid="{00000000-0005-0000-0000-0000691A0000}"/>
    <cellStyle name="Comma 4 2 5 4 2 2 4" xfId="33304" xr:uid="{374147DF-FF58-4C23-B96A-71CBCF864956}"/>
    <cellStyle name="Comma 4 2 5 4 2 3" xfId="20652" xr:uid="{00000000-0005-0000-0000-00006A1A0000}"/>
    <cellStyle name="Comma 4 2 5 4 2 3 2" xfId="37521" xr:uid="{C8F6EEF8-491F-4857-9F64-8BE52C243BC1}"/>
    <cellStyle name="Comma 4 2 5 4 2 4" xfId="12217" xr:uid="{00000000-0005-0000-0000-00006B1A0000}"/>
    <cellStyle name="Comma 4 2 5 4 2 5" xfId="29087" xr:uid="{BD884C16-D566-41C4-BFBC-19490D8E84DB}"/>
    <cellStyle name="Comma 4 2 5 4 3" xfId="5855" xr:uid="{00000000-0005-0000-0000-00006C1A0000}"/>
    <cellStyle name="Comma 4 2 5 4 3 2" xfId="22725" xr:uid="{00000000-0005-0000-0000-00006D1A0000}"/>
    <cellStyle name="Comma 4 2 5 4 3 2 2" xfId="39593" xr:uid="{CF5FF227-4C03-4A95-ACA8-E44ADF2EEE9F}"/>
    <cellStyle name="Comma 4 2 5 4 3 3" xfId="14290" xr:uid="{00000000-0005-0000-0000-00006E1A0000}"/>
    <cellStyle name="Comma 4 2 5 4 3 4" xfId="31159" xr:uid="{C4ABF75C-0214-4566-AABB-2B74FF92290B}"/>
    <cellStyle name="Comma 4 2 5 4 4" xfId="18507" xr:uid="{00000000-0005-0000-0000-00006F1A0000}"/>
    <cellStyle name="Comma 4 2 5 4 4 2" xfId="35376" xr:uid="{4A18BAE8-0077-44BF-8F8D-F2C1943D68D4}"/>
    <cellStyle name="Comma 4 2 5 4 5" xfId="10072" xr:uid="{00000000-0005-0000-0000-0000701A0000}"/>
    <cellStyle name="Comma 4 2 5 4 6" xfId="26942" xr:uid="{AE2BC1B2-72B0-41BB-904A-6D39B69FAECB}"/>
    <cellStyle name="Comma 4 2 5 5" xfId="1961" xr:uid="{00000000-0005-0000-0000-0000711A0000}"/>
    <cellStyle name="Comma 4 2 5 5 2" xfId="4190" xr:uid="{00000000-0005-0000-0000-0000721A0000}"/>
    <cellStyle name="Comma 4 2 5 5 2 2" xfId="8413" xr:uid="{00000000-0005-0000-0000-0000731A0000}"/>
    <cellStyle name="Comma 4 2 5 5 2 2 2" xfId="25283" xr:uid="{00000000-0005-0000-0000-0000741A0000}"/>
    <cellStyle name="Comma 4 2 5 5 2 2 2 2" xfId="42151" xr:uid="{6C6F8159-21B7-4185-8D92-F27FF9762C43}"/>
    <cellStyle name="Comma 4 2 5 5 2 2 3" xfId="16848" xr:uid="{00000000-0005-0000-0000-0000751A0000}"/>
    <cellStyle name="Comma 4 2 5 5 2 2 4" xfId="33717" xr:uid="{6E69B896-9C21-4119-B93A-3B7F07DCEF06}"/>
    <cellStyle name="Comma 4 2 5 5 2 3" xfId="21065" xr:uid="{00000000-0005-0000-0000-0000761A0000}"/>
    <cellStyle name="Comma 4 2 5 5 2 3 2" xfId="37934" xr:uid="{EAD3D16D-7161-44CB-B611-6ECBE55B209A}"/>
    <cellStyle name="Comma 4 2 5 5 2 4" xfId="12630" xr:uid="{00000000-0005-0000-0000-0000771A0000}"/>
    <cellStyle name="Comma 4 2 5 5 2 5" xfId="29500" xr:uid="{855289E2-7FAB-4C00-8859-0A67EDCEEF42}"/>
    <cellStyle name="Comma 4 2 5 5 3" xfId="6268" xr:uid="{00000000-0005-0000-0000-0000781A0000}"/>
    <cellStyle name="Comma 4 2 5 5 3 2" xfId="23138" xr:uid="{00000000-0005-0000-0000-0000791A0000}"/>
    <cellStyle name="Comma 4 2 5 5 3 2 2" xfId="40006" xr:uid="{D18A29E0-7D38-46A3-8C1D-3340C8ACED73}"/>
    <cellStyle name="Comma 4 2 5 5 3 3" xfId="14703" xr:uid="{00000000-0005-0000-0000-00007A1A0000}"/>
    <cellStyle name="Comma 4 2 5 5 3 4" xfId="31572" xr:uid="{36DFC40B-D914-469F-8A99-8AEC236CE332}"/>
    <cellStyle name="Comma 4 2 5 5 4" xfId="18920" xr:uid="{00000000-0005-0000-0000-00007B1A0000}"/>
    <cellStyle name="Comma 4 2 5 5 4 2" xfId="35789" xr:uid="{2EB5EB50-88E3-47CA-AB89-D365614F5284}"/>
    <cellStyle name="Comma 4 2 5 5 5" xfId="10485" xr:uid="{00000000-0005-0000-0000-00007C1A0000}"/>
    <cellStyle name="Comma 4 2 5 5 6" xfId="27355" xr:uid="{4AA0A321-AD55-4812-B9D5-43322DBA36CF}"/>
    <cellStyle name="Comma 4 2 5 6" xfId="2396" xr:uid="{00000000-0005-0000-0000-00007D1A0000}"/>
    <cellStyle name="Comma 4 2 5 6 2" xfId="6681" xr:uid="{00000000-0005-0000-0000-00007E1A0000}"/>
    <cellStyle name="Comma 4 2 5 6 2 2" xfId="23551" xr:uid="{00000000-0005-0000-0000-00007F1A0000}"/>
    <cellStyle name="Comma 4 2 5 6 2 2 2" xfId="40419" xr:uid="{5826420D-4C02-4FCB-BC01-DD2A761D87E7}"/>
    <cellStyle name="Comma 4 2 5 6 2 3" xfId="15116" xr:uid="{00000000-0005-0000-0000-0000801A0000}"/>
    <cellStyle name="Comma 4 2 5 6 2 4" xfId="31985" xr:uid="{ADFACEFC-1500-4119-9AF0-807F9B9592CD}"/>
    <cellStyle name="Comma 4 2 5 6 3" xfId="19333" xr:uid="{00000000-0005-0000-0000-0000811A0000}"/>
    <cellStyle name="Comma 4 2 5 6 3 2" xfId="36202" xr:uid="{FC664129-39B3-4155-A60C-4A8085DF7D2F}"/>
    <cellStyle name="Comma 4 2 5 6 4" xfId="10898" xr:uid="{00000000-0005-0000-0000-0000821A0000}"/>
    <cellStyle name="Comma 4 2 5 6 5" xfId="27768" xr:uid="{654930B5-D7C8-488C-BE1A-4C70B3C082EA}"/>
    <cellStyle name="Comma 4 2 5 7" xfId="2367" xr:uid="{00000000-0005-0000-0000-0000831A0000}"/>
    <cellStyle name="Comma 4 2 5 8" xfId="2774" xr:uid="{00000000-0005-0000-0000-0000841A0000}"/>
    <cellStyle name="Comma 4 2 5 8 2" xfId="6998" xr:uid="{00000000-0005-0000-0000-0000851A0000}"/>
    <cellStyle name="Comma 4 2 5 8 2 2" xfId="23868" xr:uid="{00000000-0005-0000-0000-0000861A0000}"/>
    <cellStyle name="Comma 4 2 5 8 2 2 2" xfId="40736" xr:uid="{5FC6ACED-E0D8-4869-9682-D716B7C59A4C}"/>
    <cellStyle name="Comma 4 2 5 8 2 3" xfId="15433" xr:uid="{00000000-0005-0000-0000-0000871A0000}"/>
    <cellStyle name="Comma 4 2 5 8 2 4" xfId="32302" xr:uid="{251805E0-7F12-4610-B691-0BB89E665945}"/>
    <cellStyle name="Comma 4 2 5 8 3" xfId="19650" xr:uid="{00000000-0005-0000-0000-0000881A0000}"/>
    <cellStyle name="Comma 4 2 5 8 3 2" xfId="36519" xr:uid="{1AD19D73-FA6A-4183-8A41-80D51D521A26}"/>
    <cellStyle name="Comma 4 2 5 8 4" xfId="11215" xr:uid="{00000000-0005-0000-0000-0000891A0000}"/>
    <cellStyle name="Comma 4 2 5 8 5" xfId="28085" xr:uid="{F1965650-AA9D-466C-A450-DCA37FE74DFD}"/>
    <cellStyle name="Comma 4 2 5 9" xfId="4615" xr:uid="{00000000-0005-0000-0000-00008A1A0000}"/>
    <cellStyle name="Comma 4 2 5 9 2" xfId="21485" xr:uid="{00000000-0005-0000-0000-00008B1A0000}"/>
    <cellStyle name="Comma 4 2 5 9 2 2" xfId="38353" xr:uid="{7BDB55F0-0CEC-4619-8A26-24C284AC3A4E}"/>
    <cellStyle name="Comma 4 2 5 9 3" xfId="13050" xr:uid="{00000000-0005-0000-0000-00008C1A0000}"/>
    <cellStyle name="Comma 4 2 5 9 4" xfId="29919" xr:uid="{915A8F21-2B4A-497B-A4A0-937AB2C7B945}"/>
    <cellStyle name="Comma 4 2 6" xfId="143" xr:uid="{00000000-0005-0000-0000-00008D1A0000}"/>
    <cellStyle name="Comma 4 2 6 10" xfId="17268" xr:uid="{00000000-0005-0000-0000-00008E1A0000}"/>
    <cellStyle name="Comma 4 2 6 10 2" xfId="34137" xr:uid="{F11553F3-7EB4-4873-B96A-ECD3CF80589F}"/>
    <cellStyle name="Comma 4 2 6 11" xfId="8833" xr:uid="{00000000-0005-0000-0000-00008F1A0000}"/>
    <cellStyle name="Comma 4 2 6 12" xfId="25703" xr:uid="{A82F848A-DAD2-4D85-8A3D-4E4559C0EAFC}"/>
    <cellStyle name="Comma 4 2 6 2" xfId="681" xr:uid="{00000000-0005-0000-0000-0000901A0000}"/>
    <cellStyle name="Comma 4 2 6 2 2" xfId="2952" xr:uid="{00000000-0005-0000-0000-0000911A0000}"/>
    <cellStyle name="Comma 4 2 6 2 2 2" xfId="7175" xr:uid="{00000000-0005-0000-0000-0000921A0000}"/>
    <cellStyle name="Comma 4 2 6 2 2 2 2" xfId="24045" xr:uid="{00000000-0005-0000-0000-0000931A0000}"/>
    <cellStyle name="Comma 4 2 6 2 2 2 2 2" xfId="40913" xr:uid="{260AA9DC-A5BB-4713-B96C-A4CA87E8480D}"/>
    <cellStyle name="Comma 4 2 6 2 2 2 3" xfId="15610" xr:uid="{00000000-0005-0000-0000-0000941A0000}"/>
    <cellStyle name="Comma 4 2 6 2 2 2 4" xfId="32479" xr:uid="{D6303657-4C3E-4C7B-B74C-B8AAC6CA63CE}"/>
    <cellStyle name="Comma 4 2 6 2 2 3" xfId="19827" xr:uid="{00000000-0005-0000-0000-0000951A0000}"/>
    <cellStyle name="Comma 4 2 6 2 2 3 2" xfId="36696" xr:uid="{23E48D33-EEBC-4B93-AF87-1929DA512539}"/>
    <cellStyle name="Comma 4 2 6 2 2 4" xfId="11392" xr:uid="{00000000-0005-0000-0000-0000961A0000}"/>
    <cellStyle name="Comma 4 2 6 2 2 5" xfId="28262" xr:uid="{9DEF06D3-2EFD-4B94-A2A8-AD0F6249731A}"/>
    <cellStyle name="Comma 4 2 6 2 3" xfId="5030" xr:uid="{00000000-0005-0000-0000-0000971A0000}"/>
    <cellStyle name="Comma 4 2 6 2 3 2" xfId="21900" xr:uid="{00000000-0005-0000-0000-0000981A0000}"/>
    <cellStyle name="Comma 4 2 6 2 3 2 2" xfId="38768" xr:uid="{D6093EB3-1A5C-451F-AF4A-A998AD26A1C9}"/>
    <cellStyle name="Comma 4 2 6 2 3 3" xfId="13465" xr:uid="{00000000-0005-0000-0000-0000991A0000}"/>
    <cellStyle name="Comma 4 2 6 2 3 4" xfId="30334" xr:uid="{BBA7D749-699D-4B8F-9900-AA74883E1DCB}"/>
    <cellStyle name="Comma 4 2 6 2 4" xfId="17682" xr:uid="{00000000-0005-0000-0000-00009A1A0000}"/>
    <cellStyle name="Comma 4 2 6 2 4 2" xfId="34551" xr:uid="{68456348-F7E1-44F0-92F6-CACA69EBFEDC}"/>
    <cellStyle name="Comma 4 2 6 2 5" xfId="9247" xr:uid="{00000000-0005-0000-0000-00009B1A0000}"/>
    <cellStyle name="Comma 4 2 6 2 6" xfId="26117" xr:uid="{A8601C7D-04C2-4DED-A81A-56E61195049C}"/>
    <cellStyle name="Comma 4 2 6 3" xfId="1134" xr:uid="{00000000-0005-0000-0000-00009C1A0000}"/>
    <cellStyle name="Comma 4 2 6 3 2" xfId="3365" xr:uid="{00000000-0005-0000-0000-00009D1A0000}"/>
    <cellStyle name="Comma 4 2 6 3 2 2" xfId="7588" xr:uid="{00000000-0005-0000-0000-00009E1A0000}"/>
    <cellStyle name="Comma 4 2 6 3 2 2 2" xfId="24458" xr:uid="{00000000-0005-0000-0000-00009F1A0000}"/>
    <cellStyle name="Comma 4 2 6 3 2 2 2 2" xfId="41326" xr:uid="{2DAAC849-4D26-479D-B81A-17087419BB1C}"/>
    <cellStyle name="Comma 4 2 6 3 2 2 3" xfId="16023" xr:uid="{00000000-0005-0000-0000-0000A01A0000}"/>
    <cellStyle name="Comma 4 2 6 3 2 2 4" xfId="32892" xr:uid="{21B59E17-3755-4F61-86AE-99899D1A08F8}"/>
    <cellStyle name="Comma 4 2 6 3 2 3" xfId="20240" xr:uid="{00000000-0005-0000-0000-0000A11A0000}"/>
    <cellStyle name="Comma 4 2 6 3 2 3 2" xfId="37109" xr:uid="{3BD4E7D7-39D2-46C2-90FB-622ECB07D5FB}"/>
    <cellStyle name="Comma 4 2 6 3 2 4" xfId="11805" xr:uid="{00000000-0005-0000-0000-0000A21A0000}"/>
    <cellStyle name="Comma 4 2 6 3 2 5" xfId="28675" xr:uid="{A77AF350-34D3-4C4A-B64C-A1AEC6C24CDB}"/>
    <cellStyle name="Comma 4 2 6 3 3" xfId="5443" xr:uid="{00000000-0005-0000-0000-0000A31A0000}"/>
    <cellStyle name="Comma 4 2 6 3 3 2" xfId="22313" xr:uid="{00000000-0005-0000-0000-0000A41A0000}"/>
    <cellStyle name="Comma 4 2 6 3 3 2 2" xfId="39181" xr:uid="{9E9D02D0-5A8A-4BBC-AFDD-E4CC123BEE39}"/>
    <cellStyle name="Comma 4 2 6 3 3 3" xfId="13878" xr:uid="{00000000-0005-0000-0000-0000A51A0000}"/>
    <cellStyle name="Comma 4 2 6 3 3 4" xfId="30747" xr:uid="{717EB3FD-B348-4F78-8FE6-E104E786B24C}"/>
    <cellStyle name="Comma 4 2 6 3 4" xfId="18095" xr:uid="{00000000-0005-0000-0000-0000A61A0000}"/>
    <cellStyle name="Comma 4 2 6 3 4 2" xfId="34964" xr:uid="{10E42EC0-AE01-4D22-BF40-1E23CBB2ED8A}"/>
    <cellStyle name="Comma 4 2 6 3 5" xfId="9660" xr:uid="{00000000-0005-0000-0000-0000A71A0000}"/>
    <cellStyle name="Comma 4 2 6 3 6" xfId="26530" xr:uid="{990E0881-79FB-496D-A007-ADD60B831B82}"/>
    <cellStyle name="Comma 4 2 6 4" xfId="1548" xr:uid="{00000000-0005-0000-0000-0000A81A0000}"/>
    <cellStyle name="Comma 4 2 6 4 2" xfId="3778" xr:uid="{00000000-0005-0000-0000-0000A91A0000}"/>
    <cellStyle name="Comma 4 2 6 4 2 2" xfId="8001" xr:uid="{00000000-0005-0000-0000-0000AA1A0000}"/>
    <cellStyle name="Comma 4 2 6 4 2 2 2" xfId="24871" xr:uid="{00000000-0005-0000-0000-0000AB1A0000}"/>
    <cellStyle name="Comma 4 2 6 4 2 2 2 2" xfId="41739" xr:uid="{1051C634-43C0-4609-B568-865107FD3F04}"/>
    <cellStyle name="Comma 4 2 6 4 2 2 3" xfId="16436" xr:uid="{00000000-0005-0000-0000-0000AC1A0000}"/>
    <cellStyle name="Comma 4 2 6 4 2 2 4" xfId="33305" xr:uid="{BDE3F239-E85B-46F8-B6F8-1CFA7DC6BA5E}"/>
    <cellStyle name="Comma 4 2 6 4 2 3" xfId="20653" xr:uid="{00000000-0005-0000-0000-0000AD1A0000}"/>
    <cellStyle name="Comma 4 2 6 4 2 3 2" xfId="37522" xr:uid="{69F12B7C-F904-476D-8F7B-447270CAE8E7}"/>
    <cellStyle name="Comma 4 2 6 4 2 4" xfId="12218" xr:uid="{00000000-0005-0000-0000-0000AE1A0000}"/>
    <cellStyle name="Comma 4 2 6 4 2 5" xfId="29088" xr:uid="{443F2BF2-003C-4578-A111-F6D9762EC1C3}"/>
    <cellStyle name="Comma 4 2 6 4 3" xfId="5856" xr:uid="{00000000-0005-0000-0000-0000AF1A0000}"/>
    <cellStyle name="Comma 4 2 6 4 3 2" xfId="22726" xr:uid="{00000000-0005-0000-0000-0000B01A0000}"/>
    <cellStyle name="Comma 4 2 6 4 3 2 2" xfId="39594" xr:uid="{3279B291-8C92-4C0A-BD4B-C90546C03EB9}"/>
    <cellStyle name="Comma 4 2 6 4 3 3" xfId="14291" xr:uid="{00000000-0005-0000-0000-0000B11A0000}"/>
    <cellStyle name="Comma 4 2 6 4 3 4" xfId="31160" xr:uid="{FA63EBAD-98C7-4D40-AC95-0E8882FA3431}"/>
    <cellStyle name="Comma 4 2 6 4 4" xfId="18508" xr:uid="{00000000-0005-0000-0000-0000B21A0000}"/>
    <cellStyle name="Comma 4 2 6 4 4 2" xfId="35377" xr:uid="{17AA2311-389B-44A9-8F2C-659220CBC9BE}"/>
    <cellStyle name="Comma 4 2 6 4 5" xfId="10073" xr:uid="{00000000-0005-0000-0000-0000B31A0000}"/>
    <cellStyle name="Comma 4 2 6 4 6" xfId="26943" xr:uid="{8B752E1A-348A-410B-8D87-B6C1C3B612EA}"/>
    <cellStyle name="Comma 4 2 6 5" xfId="1962" xr:uid="{00000000-0005-0000-0000-0000B41A0000}"/>
    <cellStyle name="Comma 4 2 6 5 2" xfId="4191" xr:uid="{00000000-0005-0000-0000-0000B51A0000}"/>
    <cellStyle name="Comma 4 2 6 5 2 2" xfId="8414" xr:uid="{00000000-0005-0000-0000-0000B61A0000}"/>
    <cellStyle name="Comma 4 2 6 5 2 2 2" xfId="25284" xr:uid="{00000000-0005-0000-0000-0000B71A0000}"/>
    <cellStyle name="Comma 4 2 6 5 2 2 2 2" xfId="42152" xr:uid="{A6216594-8E11-4C0C-9FEC-6FD62FDC84AE}"/>
    <cellStyle name="Comma 4 2 6 5 2 2 3" xfId="16849" xr:uid="{00000000-0005-0000-0000-0000B81A0000}"/>
    <cellStyle name="Comma 4 2 6 5 2 2 4" xfId="33718" xr:uid="{E37EDE28-0E38-4775-9D87-06F64E4D9691}"/>
    <cellStyle name="Comma 4 2 6 5 2 3" xfId="21066" xr:uid="{00000000-0005-0000-0000-0000B91A0000}"/>
    <cellStyle name="Comma 4 2 6 5 2 3 2" xfId="37935" xr:uid="{CA3FCA3B-7AAF-43B7-A816-07160975FBF1}"/>
    <cellStyle name="Comma 4 2 6 5 2 4" xfId="12631" xr:uid="{00000000-0005-0000-0000-0000BA1A0000}"/>
    <cellStyle name="Comma 4 2 6 5 2 5" xfId="29501" xr:uid="{ACA59F6B-FCBB-42D8-880D-1EC707841365}"/>
    <cellStyle name="Comma 4 2 6 5 3" xfId="6269" xr:uid="{00000000-0005-0000-0000-0000BB1A0000}"/>
    <cellStyle name="Comma 4 2 6 5 3 2" xfId="23139" xr:uid="{00000000-0005-0000-0000-0000BC1A0000}"/>
    <cellStyle name="Comma 4 2 6 5 3 2 2" xfId="40007" xr:uid="{9A1335F6-2DE7-4039-A777-98B87F6890B3}"/>
    <cellStyle name="Comma 4 2 6 5 3 3" xfId="14704" xr:uid="{00000000-0005-0000-0000-0000BD1A0000}"/>
    <cellStyle name="Comma 4 2 6 5 3 4" xfId="31573" xr:uid="{E6050A1C-E607-4812-8A9E-93F21452B7CF}"/>
    <cellStyle name="Comma 4 2 6 5 4" xfId="18921" xr:uid="{00000000-0005-0000-0000-0000BE1A0000}"/>
    <cellStyle name="Comma 4 2 6 5 4 2" xfId="35790" xr:uid="{0307E9B3-E768-43D1-9155-3CD0E636F942}"/>
    <cellStyle name="Comma 4 2 6 5 5" xfId="10486" xr:uid="{00000000-0005-0000-0000-0000BF1A0000}"/>
    <cellStyle name="Comma 4 2 6 5 6" xfId="27356" xr:uid="{53099CB6-29B3-4661-964A-B0BE9789AA3A}"/>
    <cellStyle name="Comma 4 2 6 6" xfId="2397" xr:uid="{00000000-0005-0000-0000-0000C01A0000}"/>
    <cellStyle name="Comma 4 2 6 6 2" xfId="6682" xr:uid="{00000000-0005-0000-0000-0000C11A0000}"/>
    <cellStyle name="Comma 4 2 6 6 2 2" xfId="23552" xr:uid="{00000000-0005-0000-0000-0000C21A0000}"/>
    <cellStyle name="Comma 4 2 6 6 2 2 2" xfId="40420" xr:uid="{577F664B-AB9C-4BEF-96E8-05208D43AE8E}"/>
    <cellStyle name="Comma 4 2 6 6 2 3" xfId="15117" xr:uid="{00000000-0005-0000-0000-0000C31A0000}"/>
    <cellStyle name="Comma 4 2 6 6 2 4" xfId="31986" xr:uid="{C4A2C401-DD9E-4F7F-80FC-B1FFA5047985}"/>
    <cellStyle name="Comma 4 2 6 6 3" xfId="19334" xr:uid="{00000000-0005-0000-0000-0000C41A0000}"/>
    <cellStyle name="Comma 4 2 6 6 3 2" xfId="36203" xr:uid="{3C2DFD7E-F093-4254-8C63-EC3053AFD910}"/>
    <cellStyle name="Comma 4 2 6 6 4" xfId="10899" xr:uid="{00000000-0005-0000-0000-0000C51A0000}"/>
    <cellStyle name="Comma 4 2 6 6 5" xfId="27769" xr:uid="{53BA6E0C-2C12-4AD2-A6BF-3CE3CFB7F168}"/>
    <cellStyle name="Comma 4 2 6 7" xfId="2366" xr:uid="{00000000-0005-0000-0000-0000C61A0000}"/>
    <cellStyle name="Comma 4 2 6 8" xfId="2775" xr:uid="{00000000-0005-0000-0000-0000C71A0000}"/>
    <cellStyle name="Comma 4 2 6 8 2" xfId="6999" xr:uid="{00000000-0005-0000-0000-0000C81A0000}"/>
    <cellStyle name="Comma 4 2 6 8 2 2" xfId="23869" xr:uid="{00000000-0005-0000-0000-0000C91A0000}"/>
    <cellStyle name="Comma 4 2 6 8 2 2 2" xfId="40737" xr:uid="{E9CBEE40-4B5F-4A59-B324-FB5A26137E9D}"/>
    <cellStyle name="Comma 4 2 6 8 2 3" xfId="15434" xr:uid="{00000000-0005-0000-0000-0000CA1A0000}"/>
    <cellStyle name="Comma 4 2 6 8 2 4" xfId="32303" xr:uid="{1C333995-564B-4029-8BD7-FD0DB00D7AAD}"/>
    <cellStyle name="Comma 4 2 6 8 3" xfId="19651" xr:uid="{00000000-0005-0000-0000-0000CB1A0000}"/>
    <cellStyle name="Comma 4 2 6 8 3 2" xfId="36520" xr:uid="{47DC9DDB-9756-4A92-A0DF-D38847231C02}"/>
    <cellStyle name="Comma 4 2 6 8 4" xfId="11216" xr:uid="{00000000-0005-0000-0000-0000CC1A0000}"/>
    <cellStyle name="Comma 4 2 6 8 5" xfId="28086" xr:uid="{918E1916-C7C7-423C-BCE3-E422C45EA5C5}"/>
    <cellStyle name="Comma 4 2 6 9" xfId="4616" xr:uid="{00000000-0005-0000-0000-0000CD1A0000}"/>
    <cellStyle name="Comma 4 2 6 9 2" xfId="21486" xr:uid="{00000000-0005-0000-0000-0000CE1A0000}"/>
    <cellStyle name="Comma 4 2 6 9 2 2" xfId="38354" xr:uid="{5C08059E-E1E6-4AD8-9CB4-90743ECA7BCD}"/>
    <cellStyle name="Comma 4 2 6 9 3" xfId="13051" xr:uid="{00000000-0005-0000-0000-0000CF1A0000}"/>
    <cellStyle name="Comma 4 2 6 9 4" xfId="29920" xr:uid="{2B1EACAF-C88F-4D07-A56C-6BF018BD25AA}"/>
    <cellStyle name="Comma 4 3" xfId="144" xr:uid="{00000000-0005-0000-0000-0000D01A0000}"/>
    <cellStyle name="Comma 4 3 2" xfId="145" xr:uid="{00000000-0005-0000-0000-0000D11A0000}"/>
    <cellStyle name="Comma 4 3 2 10" xfId="2776" xr:uid="{00000000-0005-0000-0000-0000D21A0000}"/>
    <cellStyle name="Comma 4 3 2 10 2" xfId="7000" xr:uid="{00000000-0005-0000-0000-0000D31A0000}"/>
    <cellStyle name="Comma 4 3 2 10 2 2" xfId="23870" xr:uid="{00000000-0005-0000-0000-0000D41A0000}"/>
    <cellStyle name="Comma 4 3 2 10 2 2 2" xfId="40738" xr:uid="{DD3A77E9-A654-494D-A7FD-F8B8C9F9D69D}"/>
    <cellStyle name="Comma 4 3 2 10 2 3" xfId="15435" xr:uid="{00000000-0005-0000-0000-0000D51A0000}"/>
    <cellStyle name="Comma 4 3 2 10 2 4" xfId="32304" xr:uid="{93061CA7-3DEA-4560-AD45-38ABD6D5199C}"/>
    <cellStyle name="Comma 4 3 2 10 3" xfId="19652" xr:uid="{00000000-0005-0000-0000-0000D61A0000}"/>
    <cellStyle name="Comma 4 3 2 10 3 2" xfId="36521" xr:uid="{91DE7BFD-9D98-4820-BC09-FFEC0A8D6809}"/>
    <cellStyle name="Comma 4 3 2 10 4" xfId="11217" xr:uid="{00000000-0005-0000-0000-0000D71A0000}"/>
    <cellStyle name="Comma 4 3 2 10 5" xfId="28087" xr:uid="{A1D55DCC-1C6A-4583-A6AE-799C2756551F}"/>
    <cellStyle name="Comma 4 3 2 11" xfId="4617" xr:uid="{00000000-0005-0000-0000-0000D81A0000}"/>
    <cellStyle name="Comma 4 3 2 11 2" xfId="21487" xr:uid="{00000000-0005-0000-0000-0000D91A0000}"/>
    <cellStyle name="Comma 4 3 2 11 2 2" xfId="38355" xr:uid="{E13313DF-C7FF-474E-8D55-AA784E7AD7AE}"/>
    <cellStyle name="Comma 4 3 2 11 3" xfId="13052" xr:uid="{00000000-0005-0000-0000-0000DA1A0000}"/>
    <cellStyle name="Comma 4 3 2 11 4" xfId="29921" xr:uid="{5B335096-6756-491C-B95B-3F215C1B56CA}"/>
    <cellStyle name="Comma 4 3 2 12" xfId="17269" xr:uid="{00000000-0005-0000-0000-0000DB1A0000}"/>
    <cellStyle name="Comma 4 3 2 12 2" xfId="34138" xr:uid="{BCFC9275-E917-4A5B-8F43-3C6BBA5CBAEC}"/>
    <cellStyle name="Comma 4 3 2 13" xfId="8834" xr:uid="{00000000-0005-0000-0000-0000DC1A0000}"/>
    <cellStyle name="Comma 4 3 2 14" xfId="25704" xr:uid="{E6BEB34A-D562-4D4B-8133-3E87481F97D7}"/>
    <cellStyle name="Comma 4 3 2 2" xfId="146" xr:uid="{00000000-0005-0000-0000-0000DD1A0000}"/>
    <cellStyle name="Comma 4 3 2 2 10" xfId="4618" xr:uid="{00000000-0005-0000-0000-0000DE1A0000}"/>
    <cellStyle name="Comma 4 3 2 2 10 2" xfId="21488" xr:uid="{00000000-0005-0000-0000-0000DF1A0000}"/>
    <cellStyle name="Comma 4 3 2 2 10 2 2" xfId="38356" xr:uid="{138BBF0B-0D4F-4CCE-9E7A-94468168208F}"/>
    <cellStyle name="Comma 4 3 2 2 10 3" xfId="13053" xr:uid="{00000000-0005-0000-0000-0000E01A0000}"/>
    <cellStyle name="Comma 4 3 2 2 10 4" xfId="29922" xr:uid="{A2AB00D5-8097-4B3F-AAC9-01AF9DB437D0}"/>
    <cellStyle name="Comma 4 3 2 2 11" xfId="17270" xr:uid="{00000000-0005-0000-0000-0000E11A0000}"/>
    <cellStyle name="Comma 4 3 2 2 11 2" xfId="34139" xr:uid="{6C358C89-7FF5-4AB8-B904-DE32E505A082}"/>
    <cellStyle name="Comma 4 3 2 2 12" xfId="8835" xr:uid="{00000000-0005-0000-0000-0000E21A0000}"/>
    <cellStyle name="Comma 4 3 2 2 13" xfId="25705" xr:uid="{B7CA3321-2717-403C-94F5-59FF62CD431A}"/>
    <cellStyle name="Comma 4 3 2 2 2" xfId="147" xr:uid="{00000000-0005-0000-0000-0000E31A0000}"/>
    <cellStyle name="Comma 4 3 2 2 2 10" xfId="17271" xr:uid="{00000000-0005-0000-0000-0000E41A0000}"/>
    <cellStyle name="Comma 4 3 2 2 2 10 2" xfId="34140" xr:uid="{C1199828-254E-4D73-9DA5-E7F2ABA0EDD4}"/>
    <cellStyle name="Comma 4 3 2 2 2 11" xfId="8836" xr:uid="{00000000-0005-0000-0000-0000E51A0000}"/>
    <cellStyle name="Comma 4 3 2 2 2 12" xfId="25706" xr:uid="{34DA73AA-8C9D-4F25-848F-29E04C14FF04}"/>
    <cellStyle name="Comma 4 3 2 2 2 2" xfId="684" xr:uid="{00000000-0005-0000-0000-0000E61A0000}"/>
    <cellStyle name="Comma 4 3 2 2 2 2 2" xfId="2955" xr:uid="{00000000-0005-0000-0000-0000E71A0000}"/>
    <cellStyle name="Comma 4 3 2 2 2 2 2 2" xfId="7178" xr:uid="{00000000-0005-0000-0000-0000E81A0000}"/>
    <cellStyle name="Comma 4 3 2 2 2 2 2 2 2" xfId="24048" xr:uid="{00000000-0005-0000-0000-0000E91A0000}"/>
    <cellStyle name="Comma 4 3 2 2 2 2 2 2 2 2" xfId="40916" xr:uid="{5D8AEAE4-D792-41F1-8226-03E9B23F98F4}"/>
    <cellStyle name="Comma 4 3 2 2 2 2 2 2 3" xfId="15613" xr:uid="{00000000-0005-0000-0000-0000EA1A0000}"/>
    <cellStyle name="Comma 4 3 2 2 2 2 2 2 4" xfId="32482" xr:uid="{23503EA4-3AD7-47FB-B38A-8D527824381B}"/>
    <cellStyle name="Comma 4 3 2 2 2 2 2 3" xfId="19830" xr:uid="{00000000-0005-0000-0000-0000EB1A0000}"/>
    <cellStyle name="Comma 4 3 2 2 2 2 2 3 2" xfId="36699" xr:uid="{AA13DF6B-86EA-4D37-A396-242347BAD8FF}"/>
    <cellStyle name="Comma 4 3 2 2 2 2 2 4" xfId="11395" xr:uid="{00000000-0005-0000-0000-0000EC1A0000}"/>
    <cellStyle name="Comma 4 3 2 2 2 2 2 5" xfId="28265" xr:uid="{D3718354-AC17-4B0C-8BD2-0EE54440886A}"/>
    <cellStyle name="Comma 4 3 2 2 2 2 3" xfId="5033" xr:uid="{00000000-0005-0000-0000-0000ED1A0000}"/>
    <cellStyle name="Comma 4 3 2 2 2 2 3 2" xfId="21903" xr:uid="{00000000-0005-0000-0000-0000EE1A0000}"/>
    <cellStyle name="Comma 4 3 2 2 2 2 3 2 2" xfId="38771" xr:uid="{CE759514-3C97-4C9A-9A48-C7DB745AC70A}"/>
    <cellStyle name="Comma 4 3 2 2 2 2 3 3" xfId="13468" xr:uid="{00000000-0005-0000-0000-0000EF1A0000}"/>
    <cellStyle name="Comma 4 3 2 2 2 2 3 4" xfId="30337" xr:uid="{399BC72A-C261-4E0A-84DC-0C53B8C96A4B}"/>
    <cellStyle name="Comma 4 3 2 2 2 2 4" xfId="17685" xr:uid="{00000000-0005-0000-0000-0000F01A0000}"/>
    <cellStyle name="Comma 4 3 2 2 2 2 4 2" xfId="34554" xr:uid="{72A6D750-45DB-4A51-B792-88492BBF1A69}"/>
    <cellStyle name="Comma 4 3 2 2 2 2 5" xfId="9250" xr:uid="{00000000-0005-0000-0000-0000F11A0000}"/>
    <cellStyle name="Comma 4 3 2 2 2 2 6" xfId="26120" xr:uid="{DD86FACD-10F1-4C9E-80D7-71A4B891B29E}"/>
    <cellStyle name="Comma 4 3 2 2 2 3" xfId="1137" xr:uid="{00000000-0005-0000-0000-0000F21A0000}"/>
    <cellStyle name="Comma 4 3 2 2 2 3 2" xfId="3368" xr:uid="{00000000-0005-0000-0000-0000F31A0000}"/>
    <cellStyle name="Comma 4 3 2 2 2 3 2 2" xfId="7591" xr:uid="{00000000-0005-0000-0000-0000F41A0000}"/>
    <cellStyle name="Comma 4 3 2 2 2 3 2 2 2" xfId="24461" xr:uid="{00000000-0005-0000-0000-0000F51A0000}"/>
    <cellStyle name="Comma 4 3 2 2 2 3 2 2 2 2" xfId="41329" xr:uid="{F9B9B79E-3258-4A34-992F-181C8355C3B4}"/>
    <cellStyle name="Comma 4 3 2 2 2 3 2 2 3" xfId="16026" xr:uid="{00000000-0005-0000-0000-0000F61A0000}"/>
    <cellStyle name="Comma 4 3 2 2 2 3 2 2 4" xfId="32895" xr:uid="{CD0EF6E1-88E8-44BB-A491-77B3862D8919}"/>
    <cellStyle name="Comma 4 3 2 2 2 3 2 3" xfId="20243" xr:uid="{00000000-0005-0000-0000-0000F71A0000}"/>
    <cellStyle name="Comma 4 3 2 2 2 3 2 3 2" xfId="37112" xr:uid="{1A6D09A3-F916-4D1F-AAAA-9229FFA9F401}"/>
    <cellStyle name="Comma 4 3 2 2 2 3 2 4" xfId="11808" xr:uid="{00000000-0005-0000-0000-0000F81A0000}"/>
    <cellStyle name="Comma 4 3 2 2 2 3 2 5" xfId="28678" xr:uid="{20ADC011-0ACD-406F-A7F3-47C07A119549}"/>
    <cellStyle name="Comma 4 3 2 2 2 3 3" xfId="5446" xr:uid="{00000000-0005-0000-0000-0000F91A0000}"/>
    <cellStyle name="Comma 4 3 2 2 2 3 3 2" xfId="22316" xr:uid="{00000000-0005-0000-0000-0000FA1A0000}"/>
    <cellStyle name="Comma 4 3 2 2 2 3 3 2 2" xfId="39184" xr:uid="{7BEABF1C-D26D-4367-B703-90A4C4B509C2}"/>
    <cellStyle name="Comma 4 3 2 2 2 3 3 3" xfId="13881" xr:uid="{00000000-0005-0000-0000-0000FB1A0000}"/>
    <cellStyle name="Comma 4 3 2 2 2 3 3 4" xfId="30750" xr:uid="{B0889ED4-3D95-4685-8BA0-500C4FDFF570}"/>
    <cellStyle name="Comma 4 3 2 2 2 3 4" xfId="18098" xr:uid="{00000000-0005-0000-0000-0000FC1A0000}"/>
    <cellStyle name="Comma 4 3 2 2 2 3 4 2" xfId="34967" xr:uid="{ADCCA134-0DDF-41FD-9158-562E7C7354D5}"/>
    <cellStyle name="Comma 4 3 2 2 2 3 5" xfId="9663" xr:uid="{00000000-0005-0000-0000-0000FD1A0000}"/>
    <cellStyle name="Comma 4 3 2 2 2 3 6" xfId="26533" xr:uid="{A195187C-B3CE-44ED-8211-B2BA2E7F9AFE}"/>
    <cellStyle name="Comma 4 3 2 2 2 4" xfId="1551" xr:uid="{00000000-0005-0000-0000-0000FE1A0000}"/>
    <cellStyle name="Comma 4 3 2 2 2 4 2" xfId="3781" xr:uid="{00000000-0005-0000-0000-0000FF1A0000}"/>
    <cellStyle name="Comma 4 3 2 2 2 4 2 2" xfId="8004" xr:uid="{00000000-0005-0000-0000-0000001B0000}"/>
    <cellStyle name="Comma 4 3 2 2 2 4 2 2 2" xfId="24874" xr:uid="{00000000-0005-0000-0000-0000011B0000}"/>
    <cellStyle name="Comma 4 3 2 2 2 4 2 2 2 2" xfId="41742" xr:uid="{9A8C531C-0BF9-4F2A-91E1-498A0DF5539C}"/>
    <cellStyle name="Comma 4 3 2 2 2 4 2 2 3" xfId="16439" xr:uid="{00000000-0005-0000-0000-0000021B0000}"/>
    <cellStyle name="Comma 4 3 2 2 2 4 2 2 4" xfId="33308" xr:uid="{785890DF-74ED-47A6-AC25-CF1CCCC832C7}"/>
    <cellStyle name="Comma 4 3 2 2 2 4 2 3" xfId="20656" xr:uid="{00000000-0005-0000-0000-0000031B0000}"/>
    <cellStyle name="Comma 4 3 2 2 2 4 2 3 2" xfId="37525" xr:uid="{E1AB0E6B-A0E6-43F4-99DF-F78C040DACC5}"/>
    <cellStyle name="Comma 4 3 2 2 2 4 2 4" xfId="12221" xr:uid="{00000000-0005-0000-0000-0000041B0000}"/>
    <cellStyle name="Comma 4 3 2 2 2 4 2 5" xfId="29091" xr:uid="{1F292E95-4806-45F4-B4A6-D94C7A7D26F1}"/>
    <cellStyle name="Comma 4 3 2 2 2 4 3" xfId="5859" xr:uid="{00000000-0005-0000-0000-0000051B0000}"/>
    <cellStyle name="Comma 4 3 2 2 2 4 3 2" xfId="22729" xr:uid="{00000000-0005-0000-0000-0000061B0000}"/>
    <cellStyle name="Comma 4 3 2 2 2 4 3 2 2" xfId="39597" xr:uid="{0FC34B1A-9BDF-46DD-BD62-D3D82E80511A}"/>
    <cellStyle name="Comma 4 3 2 2 2 4 3 3" xfId="14294" xr:uid="{00000000-0005-0000-0000-0000071B0000}"/>
    <cellStyle name="Comma 4 3 2 2 2 4 3 4" xfId="31163" xr:uid="{63150A6E-D850-438E-985C-31214390BF45}"/>
    <cellStyle name="Comma 4 3 2 2 2 4 4" xfId="18511" xr:uid="{00000000-0005-0000-0000-0000081B0000}"/>
    <cellStyle name="Comma 4 3 2 2 2 4 4 2" xfId="35380" xr:uid="{16FB3B2F-ED6B-4164-9F67-6708F9190AB5}"/>
    <cellStyle name="Comma 4 3 2 2 2 4 5" xfId="10076" xr:uid="{00000000-0005-0000-0000-0000091B0000}"/>
    <cellStyle name="Comma 4 3 2 2 2 4 6" xfId="26946" xr:uid="{2A7434F9-F831-4FE8-99C8-939880CAA337}"/>
    <cellStyle name="Comma 4 3 2 2 2 5" xfId="1965" xr:uid="{00000000-0005-0000-0000-00000A1B0000}"/>
    <cellStyle name="Comma 4 3 2 2 2 5 2" xfId="4194" xr:uid="{00000000-0005-0000-0000-00000B1B0000}"/>
    <cellStyle name="Comma 4 3 2 2 2 5 2 2" xfId="8417" xr:uid="{00000000-0005-0000-0000-00000C1B0000}"/>
    <cellStyle name="Comma 4 3 2 2 2 5 2 2 2" xfId="25287" xr:uid="{00000000-0005-0000-0000-00000D1B0000}"/>
    <cellStyle name="Comma 4 3 2 2 2 5 2 2 2 2" xfId="42155" xr:uid="{D03E9E56-71D7-4C20-A2AF-9E180CD822E1}"/>
    <cellStyle name="Comma 4 3 2 2 2 5 2 2 3" xfId="16852" xr:uid="{00000000-0005-0000-0000-00000E1B0000}"/>
    <cellStyle name="Comma 4 3 2 2 2 5 2 2 4" xfId="33721" xr:uid="{4943074B-304A-46F5-B56A-ACD463B0ED6C}"/>
    <cellStyle name="Comma 4 3 2 2 2 5 2 3" xfId="21069" xr:uid="{00000000-0005-0000-0000-00000F1B0000}"/>
    <cellStyle name="Comma 4 3 2 2 2 5 2 3 2" xfId="37938" xr:uid="{7984EC0A-1D12-48A5-A136-F7E36A6BF6DE}"/>
    <cellStyle name="Comma 4 3 2 2 2 5 2 4" xfId="12634" xr:uid="{00000000-0005-0000-0000-0000101B0000}"/>
    <cellStyle name="Comma 4 3 2 2 2 5 2 5" xfId="29504" xr:uid="{CA09E2BB-3AE6-47C3-AED6-960060BFCAA5}"/>
    <cellStyle name="Comma 4 3 2 2 2 5 3" xfId="6272" xr:uid="{00000000-0005-0000-0000-0000111B0000}"/>
    <cellStyle name="Comma 4 3 2 2 2 5 3 2" xfId="23142" xr:uid="{00000000-0005-0000-0000-0000121B0000}"/>
    <cellStyle name="Comma 4 3 2 2 2 5 3 2 2" xfId="40010" xr:uid="{9F17BDE8-80BE-491D-A691-2428A005C858}"/>
    <cellStyle name="Comma 4 3 2 2 2 5 3 3" xfId="14707" xr:uid="{00000000-0005-0000-0000-0000131B0000}"/>
    <cellStyle name="Comma 4 3 2 2 2 5 3 4" xfId="31576" xr:uid="{EBF80A15-2161-41A7-88B5-2F3D54CA3DA0}"/>
    <cellStyle name="Comma 4 3 2 2 2 5 4" xfId="18924" xr:uid="{00000000-0005-0000-0000-0000141B0000}"/>
    <cellStyle name="Comma 4 3 2 2 2 5 4 2" xfId="35793" xr:uid="{510F301F-A793-4BB1-9858-8F6009901FA8}"/>
    <cellStyle name="Comma 4 3 2 2 2 5 5" xfId="10489" xr:uid="{00000000-0005-0000-0000-0000151B0000}"/>
    <cellStyle name="Comma 4 3 2 2 2 5 6" xfId="27359" xr:uid="{7FCBC2CA-171B-44EA-870B-85ED15ED0E29}"/>
    <cellStyle name="Comma 4 3 2 2 2 6" xfId="2400" xr:uid="{00000000-0005-0000-0000-0000161B0000}"/>
    <cellStyle name="Comma 4 3 2 2 2 6 2" xfId="6685" xr:uid="{00000000-0005-0000-0000-0000171B0000}"/>
    <cellStyle name="Comma 4 3 2 2 2 6 2 2" xfId="23555" xr:uid="{00000000-0005-0000-0000-0000181B0000}"/>
    <cellStyle name="Comma 4 3 2 2 2 6 2 2 2" xfId="40423" xr:uid="{161DD71E-5C72-4AEB-8B87-ED34DE224151}"/>
    <cellStyle name="Comma 4 3 2 2 2 6 2 3" xfId="15120" xr:uid="{00000000-0005-0000-0000-0000191B0000}"/>
    <cellStyle name="Comma 4 3 2 2 2 6 2 4" xfId="31989" xr:uid="{DD7496C3-F4B0-42A3-B9B6-123831D303A0}"/>
    <cellStyle name="Comma 4 3 2 2 2 6 3" xfId="19337" xr:uid="{00000000-0005-0000-0000-00001A1B0000}"/>
    <cellStyle name="Comma 4 3 2 2 2 6 3 2" xfId="36206" xr:uid="{05D67B96-570B-4489-B561-8FAA676D2640}"/>
    <cellStyle name="Comma 4 3 2 2 2 6 4" xfId="10902" xr:uid="{00000000-0005-0000-0000-00001B1B0000}"/>
    <cellStyle name="Comma 4 3 2 2 2 6 5" xfId="27772" xr:uid="{E6D212AE-C766-43DC-B18D-ED66326C1A2E}"/>
    <cellStyle name="Comma 4 3 2 2 2 7" xfId="2363" xr:uid="{00000000-0005-0000-0000-00001C1B0000}"/>
    <cellStyle name="Comma 4 3 2 2 2 8" xfId="2778" xr:uid="{00000000-0005-0000-0000-00001D1B0000}"/>
    <cellStyle name="Comma 4 3 2 2 2 8 2" xfId="7002" xr:uid="{00000000-0005-0000-0000-00001E1B0000}"/>
    <cellStyle name="Comma 4 3 2 2 2 8 2 2" xfId="23872" xr:uid="{00000000-0005-0000-0000-00001F1B0000}"/>
    <cellStyle name="Comma 4 3 2 2 2 8 2 2 2" xfId="40740" xr:uid="{F00591B6-4AA2-4D10-BF2B-4C5143311540}"/>
    <cellStyle name="Comma 4 3 2 2 2 8 2 3" xfId="15437" xr:uid="{00000000-0005-0000-0000-0000201B0000}"/>
    <cellStyle name="Comma 4 3 2 2 2 8 2 4" xfId="32306" xr:uid="{B8995A82-75E8-4437-9671-A7101ACE3D07}"/>
    <cellStyle name="Comma 4 3 2 2 2 8 3" xfId="19654" xr:uid="{00000000-0005-0000-0000-0000211B0000}"/>
    <cellStyle name="Comma 4 3 2 2 2 8 3 2" xfId="36523" xr:uid="{B9D56316-B49F-4FF8-8CE1-92C00749C92B}"/>
    <cellStyle name="Comma 4 3 2 2 2 8 4" xfId="11219" xr:uid="{00000000-0005-0000-0000-0000221B0000}"/>
    <cellStyle name="Comma 4 3 2 2 2 8 5" xfId="28089" xr:uid="{711ECEA9-33CE-4D46-83C9-22160920353E}"/>
    <cellStyle name="Comma 4 3 2 2 2 9" xfId="4619" xr:uid="{00000000-0005-0000-0000-0000231B0000}"/>
    <cellStyle name="Comma 4 3 2 2 2 9 2" xfId="21489" xr:uid="{00000000-0005-0000-0000-0000241B0000}"/>
    <cellStyle name="Comma 4 3 2 2 2 9 2 2" xfId="38357" xr:uid="{6FB7064B-9385-4237-A592-0CD3C5DECFCB}"/>
    <cellStyle name="Comma 4 3 2 2 2 9 3" xfId="13054" xr:uid="{00000000-0005-0000-0000-0000251B0000}"/>
    <cellStyle name="Comma 4 3 2 2 2 9 4" xfId="29923" xr:uid="{3D3D6C38-FF36-44F9-B813-AA355120F82F}"/>
    <cellStyle name="Comma 4 3 2 2 3" xfId="683" xr:uid="{00000000-0005-0000-0000-0000261B0000}"/>
    <cellStyle name="Comma 4 3 2 2 3 2" xfId="2954" xr:uid="{00000000-0005-0000-0000-0000271B0000}"/>
    <cellStyle name="Comma 4 3 2 2 3 2 2" xfId="7177" xr:uid="{00000000-0005-0000-0000-0000281B0000}"/>
    <cellStyle name="Comma 4 3 2 2 3 2 2 2" xfId="24047" xr:uid="{00000000-0005-0000-0000-0000291B0000}"/>
    <cellStyle name="Comma 4 3 2 2 3 2 2 2 2" xfId="40915" xr:uid="{F390706F-4446-4D65-89CF-25503A41136D}"/>
    <cellStyle name="Comma 4 3 2 2 3 2 2 3" xfId="15612" xr:uid="{00000000-0005-0000-0000-00002A1B0000}"/>
    <cellStyle name="Comma 4 3 2 2 3 2 2 4" xfId="32481" xr:uid="{159C45EF-9081-49D5-9E51-8652DD218ADD}"/>
    <cellStyle name="Comma 4 3 2 2 3 2 3" xfId="19829" xr:uid="{00000000-0005-0000-0000-00002B1B0000}"/>
    <cellStyle name="Comma 4 3 2 2 3 2 3 2" xfId="36698" xr:uid="{95DBEFE9-694E-4C92-85EB-5B1EB7C9A67F}"/>
    <cellStyle name="Comma 4 3 2 2 3 2 4" xfId="11394" xr:uid="{00000000-0005-0000-0000-00002C1B0000}"/>
    <cellStyle name="Comma 4 3 2 2 3 2 5" xfId="28264" xr:uid="{C1DAFAE8-EF6B-4F53-9830-0642A7C8D65B}"/>
    <cellStyle name="Comma 4 3 2 2 3 3" xfId="5032" xr:uid="{00000000-0005-0000-0000-00002D1B0000}"/>
    <cellStyle name="Comma 4 3 2 2 3 3 2" xfId="21902" xr:uid="{00000000-0005-0000-0000-00002E1B0000}"/>
    <cellStyle name="Comma 4 3 2 2 3 3 2 2" xfId="38770" xr:uid="{A5FD5E03-CC5E-4CAD-A66D-9FB187712A1D}"/>
    <cellStyle name="Comma 4 3 2 2 3 3 3" xfId="13467" xr:uid="{00000000-0005-0000-0000-00002F1B0000}"/>
    <cellStyle name="Comma 4 3 2 2 3 3 4" xfId="30336" xr:uid="{4F22CCE1-E1E4-4075-9B8F-77A62BC20736}"/>
    <cellStyle name="Comma 4 3 2 2 3 4" xfId="17684" xr:uid="{00000000-0005-0000-0000-0000301B0000}"/>
    <cellStyle name="Comma 4 3 2 2 3 4 2" xfId="34553" xr:uid="{728C6EC4-A007-48FF-B77E-386D62B925B4}"/>
    <cellStyle name="Comma 4 3 2 2 3 5" xfId="9249" xr:uid="{00000000-0005-0000-0000-0000311B0000}"/>
    <cellStyle name="Comma 4 3 2 2 3 6" xfId="26119" xr:uid="{0EE44696-77A4-41CB-8E81-896C30AFEC1B}"/>
    <cellStyle name="Comma 4 3 2 2 4" xfId="1136" xr:uid="{00000000-0005-0000-0000-0000321B0000}"/>
    <cellStyle name="Comma 4 3 2 2 4 2" xfId="3367" xr:uid="{00000000-0005-0000-0000-0000331B0000}"/>
    <cellStyle name="Comma 4 3 2 2 4 2 2" xfId="7590" xr:uid="{00000000-0005-0000-0000-0000341B0000}"/>
    <cellStyle name="Comma 4 3 2 2 4 2 2 2" xfId="24460" xr:uid="{00000000-0005-0000-0000-0000351B0000}"/>
    <cellStyle name="Comma 4 3 2 2 4 2 2 2 2" xfId="41328" xr:uid="{50198EFD-D416-42FD-9310-F7B44C4314B2}"/>
    <cellStyle name="Comma 4 3 2 2 4 2 2 3" xfId="16025" xr:uid="{00000000-0005-0000-0000-0000361B0000}"/>
    <cellStyle name="Comma 4 3 2 2 4 2 2 4" xfId="32894" xr:uid="{A9D06850-7612-4F01-9488-A26502AACDCD}"/>
    <cellStyle name="Comma 4 3 2 2 4 2 3" xfId="20242" xr:uid="{00000000-0005-0000-0000-0000371B0000}"/>
    <cellStyle name="Comma 4 3 2 2 4 2 3 2" xfId="37111" xr:uid="{80C932FC-0D98-41DF-8EA7-AC1C2CB9D5CB}"/>
    <cellStyle name="Comma 4 3 2 2 4 2 4" xfId="11807" xr:uid="{00000000-0005-0000-0000-0000381B0000}"/>
    <cellStyle name="Comma 4 3 2 2 4 2 5" xfId="28677" xr:uid="{56784911-5384-4D32-9A84-28E7E082863E}"/>
    <cellStyle name="Comma 4 3 2 2 4 3" xfId="5445" xr:uid="{00000000-0005-0000-0000-0000391B0000}"/>
    <cellStyle name="Comma 4 3 2 2 4 3 2" xfId="22315" xr:uid="{00000000-0005-0000-0000-00003A1B0000}"/>
    <cellStyle name="Comma 4 3 2 2 4 3 2 2" xfId="39183" xr:uid="{88F8145C-CA70-475E-A491-647DC6F74A65}"/>
    <cellStyle name="Comma 4 3 2 2 4 3 3" xfId="13880" xr:uid="{00000000-0005-0000-0000-00003B1B0000}"/>
    <cellStyle name="Comma 4 3 2 2 4 3 4" xfId="30749" xr:uid="{41642B04-EBEE-40D6-92CA-174357BC1DBA}"/>
    <cellStyle name="Comma 4 3 2 2 4 4" xfId="18097" xr:uid="{00000000-0005-0000-0000-00003C1B0000}"/>
    <cellStyle name="Comma 4 3 2 2 4 4 2" xfId="34966" xr:uid="{6270E94D-1152-411A-9E70-7AB1C6A086E9}"/>
    <cellStyle name="Comma 4 3 2 2 4 5" xfId="9662" xr:uid="{00000000-0005-0000-0000-00003D1B0000}"/>
    <cellStyle name="Comma 4 3 2 2 4 6" xfId="26532" xr:uid="{E2D25B6E-E071-43D1-9FBC-FCBCAB32FD05}"/>
    <cellStyle name="Comma 4 3 2 2 5" xfId="1550" xr:uid="{00000000-0005-0000-0000-00003E1B0000}"/>
    <cellStyle name="Comma 4 3 2 2 5 2" xfId="3780" xr:uid="{00000000-0005-0000-0000-00003F1B0000}"/>
    <cellStyle name="Comma 4 3 2 2 5 2 2" xfId="8003" xr:uid="{00000000-0005-0000-0000-0000401B0000}"/>
    <cellStyle name="Comma 4 3 2 2 5 2 2 2" xfId="24873" xr:uid="{00000000-0005-0000-0000-0000411B0000}"/>
    <cellStyle name="Comma 4 3 2 2 5 2 2 2 2" xfId="41741" xr:uid="{6332AD2F-9DBC-41F9-B358-18100D85A58A}"/>
    <cellStyle name="Comma 4 3 2 2 5 2 2 3" xfId="16438" xr:uid="{00000000-0005-0000-0000-0000421B0000}"/>
    <cellStyle name="Comma 4 3 2 2 5 2 2 4" xfId="33307" xr:uid="{3D819D8B-E1E2-4099-9783-E277FC09D2F2}"/>
    <cellStyle name="Comma 4 3 2 2 5 2 3" xfId="20655" xr:uid="{00000000-0005-0000-0000-0000431B0000}"/>
    <cellStyle name="Comma 4 3 2 2 5 2 3 2" xfId="37524" xr:uid="{216D2BC3-C62C-402E-97AB-4269626B40EF}"/>
    <cellStyle name="Comma 4 3 2 2 5 2 4" xfId="12220" xr:uid="{00000000-0005-0000-0000-0000441B0000}"/>
    <cellStyle name="Comma 4 3 2 2 5 2 5" xfId="29090" xr:uid="{B1F7BB37-1E97-4826-8704-6FD704FF84C4}"/>
    <cellStyle name="Comma 4 3 2 2 5 3" xfId="5858" xr:uid="{00000000-0005-0000-0000-0000451B0000}"/>
    <cellStyle name="Comma 4 3 2 2 5 3 2" xfId="22728" xr:uid="{00000000-0005-0000-0000-0000461B0000}"/>
    <cellStyle name="Comma 4 3 2 2 5 3 2 2" xfId="39596" xr:uid="{4DF331CF-7409-4C74-8601-ED6268F90040}"/>
    <cellStyle name="Comma 4 3 2 2 5 3 3" xfId="14293" xr:uid="{00000000-0005-0000-0000-0000471B0000}"/>
    <cellStyle name="Comma 4 3 2 2 5 3 4" xfId="31162" xr:uid="{CA65E868-DCE0-4CA2-AFDB-C2E1653D5524}"/>
    <cellStyle name="Comma 4 3 2 2 5 4" xfId="18510" xr:uid="{00000000-0005-0000-0000-0000481B0000}"/>
    <cellStyle name="Comma 4 3 2 2 5 4 2" xfId="35379" xr:uid="{5FD120FE-4A57-41CF-B11C-63396E74839B}"/>
    <cellStyle name="Comma 4 3 2 2 5 5" xfId="10075" xr:uid="{00000000-0005-0000-0000-0000491B0000}"/>
    <cellStyle name="Comma 4 3 2 2 5 6" xfId="26945" xr:uid="{6B3C3975-C327-4E09-BA89-6BA340ADA3FB}"/>
    <cellStyle name="Comma 4 3 2 2 6" xfId="1964" xr:uid="{00000000-0005-0000-0000-00004A1B0000}"/>
    <cellStyle name="Comma 4 3 2 2 6 2" xfId="4193" xr:uid="{00000000-0005-0000-0000-00004B1B0000}"/>
    <cellStyle name="Comma 4 3 2 2 6 2 2" xfId="8416" xr:uid="{00000000-0005-0000-0000-00004C1B0000}"/>
    <cellStyle name="Comma 4 3 2 2 6 2 2 2" xfId="25286" xr:uid="{00000000-0005-0000-0000-00004D1B0000}"/>
    <cellStyle name="Comma 4 3 2 2 6 2 2 2 2" xfId="42154" xr:uid="{2B67A6D7-EF13-492F-8730-12AB1F12DBAE}"/>
    <cellStyle name="Comma 4 3 2 2 6 2 2 3" xfId="16851" xr:uid="{00000000-0005-0000-0000-00004E1B0000}"/>
    <cellStyle name="Comma 4 3 2 2 6 2 2 4" xfId="33720" xr:uid="{23E14CD3-44CC-4241-9A7E-2BB1081DB9D7}"/>
    <cellStyle name="Comma 4 3 2 2 6 2 3" xfId="21068" xr:uid="{00000000-0005-0000-0000-00004F1B0000}"/>
    <cellStyle name="Comma 4 3 2 2 6 2 3 2" xfId="37937" xr:uid="{32D390ED-1EE5-4FE4-BFE2-D9C51A86D526}"/>
    <cellStyle name="Comma 4 3 2 2 6 2 4" xfId="12633" xr:uid="{00000000-0005-0000-0000-0000501B0000}"/>
    <cellStyle name="Comma 4 3 2 2 6 2 5" xfId="29503" xr:uid="{29FB2C22-F64E-4524-9426-6C37CC2B9350}"/>
    <cellStyle name="Comma 4 3 2 2 6 3" xfId="6271" xr:uid="{00000000-0005-0000-0000-0000511B0000}"/>
    <cellStyle name="Comma 4 3 2 2 6 3 2" xfId="23141" xr:uid="{00000000-0005-0000-0000-0000521B0000}"/>
    <cellStyle name="Comma 4 3 2 2 6 3 2 2" xfId="40009" xr:uid="{71DCDC35-A6EA-4A66-B4D1-1072E9A0B163}"/>
    <cellStyle name="Comma 4 3 2 2 6 3 3" xfId="14706" xr:uid="{00000000-0005-0000-0000-0000531B0000}"/>
    <cellStyle name="Comma 4 3 2 2 6 3 4" xfId="31575" xr:uid="{A3029AC8-30C3-4C3D-863A-024212E35011}"/>
    <cellStyle name="Comma 4 3 2 2 6 4" xfId="18923" xr:uid="{00000000-0005-0000-0000-0000541B0000}"/>
    <cellStyle name="Comma 4 3 2 2 6 4 2" xfId="35792" xr:uid="{F5930092-7784-421F-81DB-2560744FCF55}"/>
    <cellStyle name="Comma 4 3 2 2 6 5" xfId="10488" xr:uid="{00000000-0005-0000-0000-0000551B0000}"/>
    <cellStyle name="Comma 4 3 2 2 6 6" xfId="27358" xr:uid="{411B0899-74A8-43FE-92A4-F20543F91067}"/>
    <cellStyle name="Comma 4 3 2 2 7" xfId="2399" xr:uid="{00000000-0005-0000-0000-0000561B0000}"/>
    <cellStyle name="Comma 4 3 2 2 7 2" xfId="6684" xr:uid="{00000000-0005-0000-0000-0000571B0000}"/>
    <cellStyle name="Comma 4 3 2 2 7 2 2" xfId="23554" xr:uid="{00000000-0005-0000-0000-0000581B0000}"/>
    <cellStyle name="Comma 4 3 2 2 7 2 2 2" xfId="40422" xr:uid="{DBAA7F6D-87BE-4BE2-BB30-CC37C371CC3A}"/>
    <cellStyle name="Comma 4 3 2 2 7 2 3" xfId="15119" xr:uid="{00000000-0005-0000-0000-0000591B0000}"/>
    <cellStyle name="Comma 4 3 2 2 7 2 4" xfId="31988" xr:uid="{7919A42F-AF8A-43D6-9F89-B5CE5463DC9B}"/>
    <cellStyle name="Comma 4 3 2 2 7 3" xfId="19336" xr:uid="{00000000-0005-0000-0000-00005A1B0000}"/>
    <cellStyle name="Comma 4 3 2 2 7 3 2" xfId="36205" xr:uid="{84D776C1-613A-4741-8066-DBFBEC03105B}"/>
    <cellStyle name="Comma 4 3 2 2 7 4" xfId="10901" xr:uid="{00000000-0005-0000-0000-00005B1B0000}"/>
    <cellStyle name="Comma 4 3 2 2 7 5" xfId="27771" xr:uid="{EC420C6C-2FE5-4935-B63D-3241B41B9034}"/>
    <cellStyle name="Comma 4 3 2 2 8" xfId="2364" xr:uid="{00000000-0005-0000-0000-00005C1B0000}"/>
    <cellStyle name="Comma 4 3 2 2 9" xfId="2777" xr:uid="{00000000-0005-0000-0000-00005D1B0000}"/>
    <cellStyle name="Comma 4 3 2 2 9 2" xfId="7001" xr:uid="{00000000-0005-0000-0000-00005E1B0000}"/>
    <cellStyle name="Comma 4 3 2 2 9 2 2" xfId="23871" xr:uid="{00000000-0005-0000-0000-00005F1B0000}"/>
    <cellStyle name="Comma 4 3 2 2 9 2 2 2" xfId="40739" xr:uid="{D7C3F2C4-4281-423E-B91B-D33FAA457D72}"/>
    <cellStyle name="Comma 4 3 2 2 9 2 3" xfId="15436" xr:uid="{00000000-0005-0000-0000-0000601B0000}"/>
    <cellStyle name="Comma 4 3 2 2 9 2 4" xfId="32305" xr:uid="{0EE5C80C-0883-4C41-852F-5DFCA2479710}"/>
    <cellStyle name="Comma 4 3 2 2 9 3" xfId="19653" xr:uid="{00000000-0005-0000-0000-0000611B0000}"/>
    <cellStyle name="Comma 4 3 2 2 9 3 2" xfId="36522" xr:uid="{C6B41E11-0BBC-4E17-A036-5B2475803A2D}"/>
    <cellStyle name="Comma 4 3 2 2 9 4" xfId="11218" xr:uid="{00000000-0005-0000-0000-0000621B0000}"/>
    <cellStyle name="Comma 4 3 2 2 9 5" xfId="28088" xr:uid="{72E29D8D-9BB0-460F-A45D-615EED67B8A9}"/>
    <cellStyle name="Comma 4 3 2 3" xfId="148" xr:uid="{00000000-0005-0000-0000-0000631B0000}"/>
    <cellStyle name="Comma 4 3 2 3 10" xfId="17272" xr:uid="{00000000-0005-0000-0000-0000641B0000}"/>
    <cellStyle name="Comma 4 3 2 3 10 2" xfId="34141" xr:uid="{B5354C49-23B6-45C6-94E5-3FF7EEE4F15C}"/>
    <cellStyle name="Comma 4 3 2 3 11" xfId="8837" xr:uid="{00000000-0005-0000-0000-0000651B0000}"/>
    <cellStyle name="Comma 4 3 2 3 12" xfId="25707" xr:uid="{DAB06849-95B7-422C-8428-675C209B04FA}"/>
    <cellStyle name="Comma 4 3 2 3 2" xfId="685" xr:uid="{00000000-0005-0000-0000-0000661B0000}"/>
    <cellStyle name="Comma 4 3 2 3 2 2" xfId="2956" xr:uid="{00000000-0005-0000-0000-0000671B0000}"/>
    <cellStyle name="Comma 4 3 2 3 2 2 2" xfId="7179" xr:uid="{00000000-0005-0000-0000-0000681B0000}"/>
    <cellStyle name="Comma 4 3 2 3 2 2 2 2" xfId="24049" xr:uid="{00000000-0005-0000-0000-0000691B0000}"/>
    <cellStyle name="Comma 4 3 2 3 2 2 2 2 2" xfId="40917" xr:uid="{F274126E-8E6B-44B7-A856-5E9055C99D8D}"/>
    <cellStyle name="Comma 4 3 2 3 2 2 2 3" xfId="15614" xr:uid="{00000000-0005-0000-0000-00006A1B0000}"/>
    <cellStyle name="Comma 4 3 2 3 2 2 2 4" xfId="32483" xr:uid="{EF97BE50-B3FC-4601-B848-AB7B0CEBC847}"/>
    <cellStyle name="Comma 4 3 2 3 2 2 3" xfId="19831" xr:uid="{00000000-0005-0000-0000-00006B1B0000}"/>
    <cellStyle name="Comma 4 3 2 3 2 2 3 2" xfId="36700" xr:uid="{8E58FA3F-3138-468F-B9CC-F74345D2351D}"/>
    <cellStyle name="Comma 4 3 2 3 2 2 4" xfId="11396" xr:uid="{00000000-0005-0000-0000-00006C1B0000}"/>
    <cellStyle name="Comma 4 3 2 3 2 2 5" xfId="28266" xr:uid="{CFECFA99-88C5-4383-ACFA-66E3749E37B4}"/>
    <cellStyle name="Comma 4 3 2 3 2 3" xfId="5034" xr:uid="{00000000-0005-0000-0000-00006D1B0000}"/>
    <cellStyle name="Comma 4 3 2 3 2 3 2" xfId="21904" xr:uid="{00000000-0005-0000-0000-00006E1B0000}"/>
    <cellStyle name="Comma 4 3 2 3 2 3 2 2" xfId="38772" xr:uid="{7DB65AA9-0392-489B-8D9D-AA7248AFE688}"/>
    <cellStyle name="Comma 4 3 2 3 2 3 3" xfId="13469" xr:uid="{00000000-0005-0000-0000-00006F1B0000}"/>
    <cellStyle name="Comma 4 3 2 3 2 3 4" xfId="30338" xr:uid="{2F82BAEB-39BE-4E0F-8314-029DA855C710}"/>
    <cellStyle name="Comma 4 3 2 3 2 4" xfId="17686" xr:uid="{00000000-0005-0000-0000-0000701B0000}"/>
    <cellStyle name="Comma 4 3 2 3 2 4 2" xfId="34555" xr:uid="{B1630941-1B44-4E5A-A458-4C3CA9D1606A}"/>
    <cellStyle name="Comma 4 3 2 3 2 5" xfId="9251" xr:uid="{00000000-0005-0000-0000-0000711B0000}"/>
    <cellStyle name="Comma 4 3 2 3 2 6" xfId="26121" xr:uid="{C294AB17-82B2-4617-9A6E-3897B3016F22}"/>
    <cellStyle name="Comma 4 3 2 3 3" xfId="1138" xr:uid="{00000000-0005-0000-0000-0000721B0000}"/>
    <cellStyle name="Comma 4 3 2 3 3 2" xfId="3369" xr:uid="{00000000-0005-0000-0000-0000731B0000}"/>
    <cellStyle name="Comma 4 3 2 3 3 2 2" xfId="7592" xr:uid="{00000000-0005-0000-0000-0000741B0000}"/>
    <cellStyle name="Comma 4 3 2 3 3 2 2 2" xfId="24462" xr:uid="{00000000-0005-0000-0000-0000751B0000}"/>
    <cellStyle name="Comma 4 3 2 3 3 2 2 2 2" xfId="41330" xr:uid="{16460B0A-14CF-4887-A12D-A2773BA3C076}"/>
    <cellStyle name="Comma 4 3 2 3 3 2 2 3" xfId="16027" xr:uid="{00000000-0005-0000-0000-0000761B0000}"/>
    <cellStyle name="Comma 4 3 2 3 3 2 2 4" xfId="32896" xr:uid="{B5B34663-22E8-4334-A7BE-EC2758783A25}"/>
    <cellStyle name="Comma 4 3 2 3 3 2 3" xfId="20244" xr:uid="{00000000-0005-0000-0000-0000771B0000}"/>
    <cellStyle name="Comma 4 3 2 3 3 2 3 2" xfId="37113" xr:uid="{4B4CD4DC-DB91-4BDD-B367-9F6ECC50A10C}"/>
    <cellStyle name="Comma 4 3 2 3 3 2 4" xfId="11809" xr:uid="{00000000-0005-0000-0000-0000781B0000}"/>
    <cellStyle name="Comma 4 3 2 3 3 2 5" xfId="28679" xr:uid="{7728B8EA-6349-4E7F-AA78-3276769D65C1}"/>
    <cellStyle name="Comma 4 3 2 3 3 3" xfId="5447" xr:uid="{00000000-0005-0000-0000-0000791B0000}"/>
    <cellStyle name="Comma 4 3 2 3 3 3 2" xfId="22317" xr:uid="{00000000-0005-0000-0000-00007A1B0000}"/>
    <cellStyle name="Comma 4 3 2 3 3 3 2 2" xfId="39185" xr:uid="{5615287C-1268-416D-84D7-F333C41B2074}"/>
    <cellStyle name="Comma 4 3 2 3 3 3 3" xfId="13882" xr:uid="{00000000-0005-0000-0000-00007B1B0000}"/>
    <cellStyle name="Comma 4 3 2 3 3 3 4" xfId="30751" xr:uid="{B9F8E23E-C625-418A-9C82-FA4ADE2F76A8}"/>
    <cellStyle name="Comma 4 3 2 3 3 4" xfId="18099" xr:uid="{00000000-0005-0000-0000-00007C1B0000}"/>
    <cellStyle name="Comma 4 3 2 3 3 4 2" xfId="34968" xr:uid="{03071F0C-A849-48BB-AA18-3D3004CBFF6A}"/>
    <cellStyle name="Comma 4 3 2 3 3 5" xfId="9664" xr:uid="{00000000-0005-0000-0000-00007D1B0000}"/>
    <cellStyle name="Comma 4 3 2 3 3 6" xfId="26534" xr:uid="{A1D8D8F6-3F2F-408A-B089-67911068B3AA}"/>
    <cellStyle name="Comma 4 3 2 3 4" xfId="1552" xr:uid="{00000000-0005-0000-0000-00007E1B0000}"/>
    <cellStyle name="Comma 4 3 2 3 4 2" xfId="3782" xr:uid="{00000000-0005-0000-0000-00007F1B0000}"/>
    <cellStyle name="Comma 4 3 2 3 4 2 2" xfId="8005" xr:uid="{00000000-0005-0000-0000-0000801B0000}"/>
    <cellStyle name="Comma 4 3 2 3 4 2 2 2" xfId="24875" xr:uid="{00000000-0005-0000-0000-0000811B0000}"/>
    <cellStyle name="Comma 4 3 2 3 4 2 2 2 2" xfId="41743" xr:uid="{17E3162F-8FC2-441E-AE04-D7BF72207448}"/>
    <cellStyle name="Comma 4 3 2 3 4 2 2 3" xfId="16440" xr:uid="{00000000-0005-0000-0000-0000821B0000}"/>
    <cellStyle name="Comma 4 3 2 3 4 2 2 4" xfId="33309" xr:uid="{3341A746-CB67-403A-98CA-6DC935E119C6}"/>
    <cellStyle name="Comma 4 3 2 3 4 2 3" xfId="20657" xr:uid="{00000000-0005-0000-0000-0000831B0000}"/>
    <cellStyle name="Comma 4 3 2 3 4 2 3 2" xfId="37526" xr:uid="{4615451A-77E6-4129-B4EC-2AC5232C5251}"/>
    <cellStyle name="Comma 4 3 2 3 4 2 4" xfId="12222" xr:uid="{00000000-0005-0000-0000-0000841B0000}"/>
    <cellStyle name="Comma 4 3 2 3 4 2 5" xfId="29092" xr:uid="{AD884DFE-1098-4CF6-8A1E-366C3CE408B0}"/>
    <cellStyle name="Comma 4 3 2 3 4 3" xfId="5860" xr:uid="{00000000-0005-0000-0000-0000851B0000}"/>
    <cellStyle name="Comma 4 3 2 3 4 3 2" xfId="22730" xr:uid="{00000000-0005-0000-0000-0000861B0000}"/>
    <cellStyle name="Comma 4 3 2 3 4 3 2 2" xfId="39598" xr:uid="{A9F0EDB6-D57C-4C5F-9C48-479852B6BC73}"/>
    <cellStyle name="Comma 4 3 2 3 4 3 3" xfId="14295" xr:uid="{00000000-0005-0000-0000-0000871B0000}"/>
    <cellStyle name="Comma 4 3 2 3 4 3 4" xfId="31164" xr:uid="{C8C4285F-AB59-49FB-B77E-BCADBCCE1BAA}"/>
    <cellStyle name="Comma 4 3 2 3 4 4" xfId="18512" xr:uid="{00000000-0005-0000-0000-0000881B0000}"/>
    <cellStyle name="Comma 4 3 2 3 4 4 2" xfId="35381" xr:uid="{8C6D5630-349A-483C-8BEF-9042512A9681}"/>
    <cellStyle name="Comma 4 3 2 3 4 5" xfId="10077" xr:uid="{00000000-0005-0000-0000-0000891B0000}"/>
    <cellStyle name="Comma 4 3 2 3 4 6" xfId="26947" xr:uid="{31E779ED-2CBB-4855-8F3C-76FE85843A33}"/>
    <cellStyle name="Comma 4 3 2 3 5" xfId="1966" xr:uid="{00000000-0005-0000-0000-00008A1B0000}"/>
    <cellStyle name="Comma 4 3 2 3 5 2" xfId="4195" xr:uid="{00000000-0005-0000-0000-00008B1B0000}"/>
    <cellStyle name="Comma 4 3 2 3 5 2 2" xfId="8418" xr:uid="{00000000-0005-0000-0000-00008C1B0000}"/>
    <cellStyle name="Comma 4 3 2 3 5 2 2 2" xfId="25288" xr:uid="{00000000-0005-0000-0000-00008D1B0000}"/>
    <cellStyle name="Comma 4 3 2 3 5 2 2 2 2" xfId="42156" xr:uid="{F75D5734-54E4-444C-B63D-74D5A32AC5AF}"/>
    <cellStyle name="Comma 4 3 2 3 5 2 2 3" xfId="16853" xr:uid="{00000000-0005-0000-0000-00008E1B0000}"/>
    <cellStyle name="Comma 4 3 2 3 5 2 2 4" xfId="33722" xr:uid="{701C483A-E5E5-421C-AA82-29A336F39729}"/>
    <cellStyle name="Comma 4 3 2 3 5 2 3" xfId="21070" xr:uid="{00000000-0005-0000-0000-00008F1B0000}"/>
    <cellStyle name="Comma 4 3 2 3 5 2 3 2" xfId="37939" xr:uid="{BE995AEA-A504-46C1-8F0A-2DF869679A01}"/>
    <cellStyle name="Comma 4 3 2 3 5 2 4" xfId="12635" xr:uid="{00000000-0005-0000-0000-0000901B0000}"/>
    <cellStyle name="Comma 4 3 2 3 5 2 5" xfId="29505" xr:uid="{353B5E3B-F06D-45B0-9914-0A76E3DA2C66}"/>
    <cellStyle name="Comma 4 3 2 3 5 3" xfId="6273" xr:uid="{00000000-0005-0000-0000-0000911B0000}"/>
    <cellStyle name="Comma 4 3 2 3 5 3 2" xfId="23143" xr:uid="{00000000-0005-0000-0000-0000921B0000}"/>
    <cellStyle name="Comma 4 3 2 3 5 3 2 2" xfId="40011" xr:uid="{AADD1001-2CBC-477F-87FF-C1AA9C4DE54A}"/>
    <cellStyle name="Comma 4 3 2 3 5 3 3" xfId="14708" xr:uid="{00000000-0005-0000-0000-0000931B0000}"/>
    <cellStyle name="Comma 4 3 2 3 5 3 4" xfId="31577" xr:uid="{4FFE8B3E-769C-44AB-BE27-ADF05678412E}"/>
    <cellStyle name="Comma 4 3 2 3 5 4" xfId="18925" xr:uid="{00000000-0005-0000-0000-0000941B0000}"/>
    <cellStyle name="Comma 4 3 2 3 5 4 2" xfId="35794" xr:uid="{3E79CAD2-9EA9-400D-8179-BEBAB804162D}"/>
    <cellStyle name="Comma 4 3 2 3 5 5" xfId="10490" xr:uid="{00000000-0005-0000-0000-0000951B0000}"/>
    <cellStyle name="Comma 4 3 2 3 5 6" xfId="27360" xr:uid="{FBBE17BD-5F3A-44C4-BD26-C680837977DE}"/>
    <cellStyle name="Comma 4 3 2 3 6" xfId="2401" xr:uid="{00000000-0005-0000-0000-0000961B0000}"/>
    <cellStyle name="Comma 4 3 2 3 6 2" xfId="6686" xr:uid="{00000000-0005-0000-0000-0000971B0000}"/>
    <cellStyle name="Comma 4 3 2 3 6 2 2" xfId="23556" xr:uid="{00000000-0005-0000-0000-0000981B0000}"/>
    <cellStyle name="Comma 4 3 2 3 6 2 2 2" xfId="40424" xr:uid="{55CCEB9E-D8FD-40C0-A5B5-C5DB707A0A1B}"/>
    <cellStyle name="Comma 4 3 2 3 6 2 3" xfId="15121" xr:uid="{00000000-0005-0000-0000-0000991B0000}"/>
    <cellStyle name="Comma 4 3 2 3 6 2 4" xfId="31990" xr:uid="{02F8A543-8C55-4028-8A18-B8172B302BE6}"/>
    <cellStyle name="Comma 4 3 2 3 6 3" xfId="19338" xr:uid="{00000000-0005-0000-0000-00009A1B0000}"/>
    <cellStyle name="Comma 4 3 2 3 6 3 2" xfId="36207" xr:uid="{3658AF67-8C13-4CD2-9E8B-6C669BD82483}"/>
    <cellStyle name="Comma 4 3 2 3 6 4" xfId="10903" xr:uid="{00000000-0005-0000-0000-00009B1B0000}"/>
    <cellStyle name="Comma 4 3 2 3 6 5" xfId="27773" xr:uid="{DD64FDEB-C674-44CA-B889-CC437574A20B}"/>
    <cellStyle name="Comma 4 3 2 3 7" xfId="2362" xr:uid="{00000000-0005-0000-0000-00009C1B0000}"/>
    <cellStyle name="Comma 4 3 2 3 8" xfId="2779" xr:uid="{00000000-0005-0000-0000-00009D1B0000}"/>
    <cellStyle name="Comma 4 3 2 3 8 2" xfId="7003" xr:uid="{00000000-0005-0000-0000-00009E1B0000}"/>
    <cellStyle name="Comma 4 3 2 3 8 2 2" xfId="23873" xr:uid="{00000000-0005-0000-0000-00009F1B0000}"/>
    <cellStyle name="Comma 4 3 2 3 8 2 2 2" xfId="40741" xr:uid="{D5DBF559-061D-44CF-BE58-C6990BEDD8CA}"/>
    <cellStyle name="Comma 4 3 2 3 8 2 3" xfId="15438" xr:uid="{00000000-0005-0000-0000-0000A01B0000}"/>
    <cellStyle name="Comma 4 3 2 3 8 2 4" xfId="32307" xr:uid="{546DE9CA-EE75-4712-A1F8-B60E548528DD}"/>
    <cellStyle name="Comma 4 3 2 3 8 3" xfId="19655" xr:uid="{00000000-0005-0000-0000-0000A11B0000}"/>
    <cellStyle name="Comma 4 3 2 3 8 3 2" xfId="36524" xr:uid="{D1E33C66-CBE2-4D31-B28C-74E2E8CC495A}"/>
    <cellStyle name="Comma 4 3 2 3 8 4" xfId="11220" xr:uid="{00000000-0005-0000-0000-0000A21B0000}"/>
    <cellStyle name="Comma 4 3 2 3 8 5" xfId="28090" xr:uid="{BDD74D08-E1CC-49B6-92AA-3BF4A1F1B964}"/>
    <cellStyle name="Comma 4 3 2 3 9" xfId="4620" xr:uid="{00000000-0005-0000-0000-0000A31B0000}"/>
    <cellStyle name="Comma 4 3 2 3 9 2" xfId="21490" xr:uid="{00000000-0005-0000-0000-0000A41B0000}"/>
    <cellStyle name="Comma 4 3 2 3 9 2 2" xfId="38358" xr:uid="{2E49075E-9CE5-4839-A737-6A9EA581E423}"/>
    <cellStyle name="Comma 4 3 2 3 9 3" xfId="13055" xr:uid="{00000000-0005-0000-0000-0000A51B0000}"/>
    <cellStyle name="Comma 4 3 2 3 9 4" xfId="29924" xr:uid="{91F5FCA6-FA25-4FD7-9C1A-D00AD4F02C3A}"/>
    <cellStyle name="Comma 4 3 2 4" xfId="682" xr:uid="{00000000-0005-0000-0000-0000A61B0000}"/>
    <cellStyle name="Comma 4 3 2 4 2" xfId="2953" xr:uid="{00000000-0005-0000-0000-0000A71B0000}"/>
    <cellStyle name="Comma 4 3 2 4 2 2" xfId="7176" xr:uid="{00000000-0005-0000-0000-0000A81B0000}"/>
    <cellStyle name="Comma 4 3 2 4 2 2 2" xfId="24046" xr:uid="{00000000-0005-0000-0000-0000A91B0000}"/>
    <cellStyle name="Comma 4 3 2 4 2 2 2 2" xfId="40914" xr:uid="{353617E4-D24F-46F9-BA51-8A4EA90DB9AB}"/>
    <cellStyle name="Comma 4 3 2 4 2 2 3" xfId="15611" xr:uid="{00000000-0005-0000-0000-0000AA1B0000}"/>
    <cellStyle name="Comma 4 3 2 4 2 2 4" xfId="32480" xr:uid="{A5B3CFC4-1C82-4636-A9F3-E845750F2435}"/>
    <cellStyle name="Comma 4 3 2 4 2 3" xfId="19828" xr:uid="{00000000-0005-0000-0000-0000AB1B0000}"/>
    <cellStyle name="Comma 4 3 2 4 2 3 2" xfId="36697" xr:uid="{D5D6F675-AD04-419E-AD5C-527BF4DBAA3D}"/>
    <cellStyle name="Comma 4 3 2 4 2 4" xfId="11393" xr:uid="{00000000-0005-0000-0000-0000AC1B0000}"/>
    <cellStyle name="Comma 4 3 2 4 2 5" xfId="28263" xr:uid="{C4EF6B60-2E08-4632-8FDB-D574D78D5B9A}"/>
    <cellStyle name="Comma 4 3 2 4 3" xfId="5031" xr:uid="{00000000-0005-0000-0000-0000AD1B0000}"/>
    <cellStyle name="Comma 4 3 2 4 3 2" xfId="21901" xr:uid="{00000000-0005-0000-0000-0000AE1B0000}"/>
    <cellStyle name="Comma 4 3 2 4 3 2 2" xfId="38769" xr:uid="{D738359F-0E3D-49E0-9600-191436B9D63D}"/>
    <cellStyle name="Comma 4 3 2 4 3 3" xfId="13466" xr:uid="{00000000-0005-0000-0000-0000AF1B0000}"/>
    <cellStyle name="Comma 4 3 2 4 3 4" xfId="30335" xr:uid="{7D611EC7-EFDF-48CE-B497-B64FCA0C8E72}"/>
    <cellStyle name="Comma 4 3 2 4 4" xfId="17683" xr:uid="{00000000-0005-0000-0000-0000B01B0000}"/>
    <cellStyle name="Comma 4 3 2 4 4 2" xfId="34552" xr:uid="{DA70CA38-8374-48BB-9B50-511C613E38FC}"/>
    <cellStyle name="Comma 4 3 2 4 5" xfId="9248" xr:uid="{00000000-0005-0000-0000-0000B11B0000}"/>
    <cellStyle name="Comma 4 3 2 4 6" xfId="26118" xr:uid="{17CA37D9-5A11-4C7A-AA46-3278F1466D02}"/>
    <cellStyle name="Comma 4 3 2 5" xfId="1135" xr:uid="{00000000-0005-0000-0000-0000B21B0000}"/>
    <cellStyle name="Comma 4 3 2 5 2" xfId="3366" xr:uid="{00000000-0005-0000-0000-0000B31B0000}"/>
    <cellStyle name="Comma 4 3 2 5 2 2" xfId="7589" xr:uid="{00000000-0005-0000-0000-0000B41B0000}"/>
    <cellStyle name="Comma 4 3 2 5 2 2 2" xfId="24459" xr:uid="{00000000-0005-0000-0000-0000B51B0000}"/>
    <cellStyle name="Comma 4 3 2 5 2 2 2 2" xfId="41327" xr:uid="{5B4EE6C0-D828-4EA0-A723-DDD9858DACD7}"/>
    <cellStyle name="Comma 4 3 2 5 2 2 3" xfId="16024" xr:uid="{00000000-0005-0000-0000-0000B61B0000}"/>
    <cellStyle name="Comma 4 3 2 5 2 2 4" xfId="32893" xr:uid="{C6011F7D-96A5-4DAA-AEBE-996E357A7F8A}"/>
    <cellStyle name="Comma 4 3 2 5 2 3" xfId="20241" xr:uid="{00000000-0005-0000-0000-0000B71B0000}"/>
    <cellStyle name="Comma 4 3 2 5 2 3 2" xfId="37110" xr:uid="{024FA768-3AE6-49D5-BE14-9E687D7D1426}"/>
    <cellStyle name="Comma 4 3 2 5 2 4" xfId="11806" xr:uid="{00000000-0005-0000-0000-0000B81B0000}"/>
    <cellStyle name="Comma 4 3 2 5 2 5" xfId="28676" xr:uid="{A390FC2F-7283-462C-B709-C2EB03AD8B5B}"/>
    <cellStyle name="Comma 4 3 2 5 3" xfId="5444" xr:uid="{00000000-0005-0000-0000-0000B91B0000}"/>
    <cellStyle name="Comma 4 3 2 5 3 2" xfId="22314" xr:uid="{00000000-0005-0000-0000-0000BA1B0000}"/>
    <cellStyle name="Comma 4 3 2 5 3 2 2" xfId="39182" xr:uid="{4FE8DE75-8474-4F82-9E7E-A3C30C42232D}"/>
    <cellStyle name="Comma 4 3 2 5 3 3" xfId="13879" xr:uid="{00000000-0005-0000-0000-0000BB1B0000}"/>
    <cellStyle name="Comma 4 3 2 5 3 4" xfId="30748" xr:uid="{DCD811F6-6883-4F5D-BFA9-C7E8FB1C6CE1}"/>
    <cellStyle name="Comma 4 3 2 5 4" xfId="18096" xr:uid="{00000000-0005-0000-0000-0000BC1B0000}"/>
    <cellStyle name="Comma 4 3 2 5 4 2" xfId="34965" xr:uid="{B7CA7FCE-843E-481E-8E06-8C25D7A0EDB8}"/>
    <cellStyle name="Comma 4 3 2 5 5" xfId="9661" xr:uid="{00000000-0005-0000-0000-0000BD1B0000}"/>
    <cellStyle name="Comma 4 3 2 5 6" xfId="26531" xr:uid="{D0B38F3A-4FCE-454D-9CBA-911483CA3C71}"/>
    <cellStyle name="Comma 4 3 2 6" xfId="1549" xr:uid="{00000000-0005-0000-0000-0000BE1B0000}"/>
    <cellStyle name="Comma 4 3 2 6 2" xfId="3779" xr:uid="{00000000-0005-0000-0000-0000BF1B0000}"/>
    <cellStyle name="Comma 4 3 2 6 2 2" xfId="8002" xr:uid="{00000000-0005-0000-0000-0000C01B0000}"/>
    <cellStyle name="Comma 4 3 2 6 2 2 2" xfId="24872" xr:uid="{00000000-0005-0000-0000-0000C11B0000}"/>
    <cellStyle name="Comma 4 3 2 6 2 2 2 2" xfId="41740" xr:uid="{A33DFD27-CD0C-48AC-AD63-37BAB51A709D}"/>
    <cellStyle name="Comma 4 3 2 6 2 2 3" xfId="16437" xr:uid="{00000000-0005-0000-0000-0000C21B0000}"/>
    <cellStyle name="Comma 4 3 2 6 2 2 4" xfId="33306" xr:uid="{FBD685D6-A9B8-4224-81A4-7C4552738663}"/>
    <cellStyle name="Comma 4 3 2 6 2 3" xfId="20654" xr:uid="{00000000-0005-0000-0000-0000C31B0000}"/>
    <cellStyle name="Comma 4 3 2 6 2 3 2" xfId="37523" xr:uid="{E3B6112D-BB73-491F-8DFA-4FB3621454F8}"/>
    <cellStyle name="Comma 4 3 2 6 2 4" xfId="12219" xr:uid="{00000000-0005-0000-0000-0000C41B0000}"/>
    <cellStyle name="Comma 4 3 2 6 2 5" xfId="29089" xr:uid="{9310E796-CA87-417C-B0A6-818143717BFB}"/>
    <cellStyle name="Comma 4 3 2 6 3" xfId="5857" xr:uid="{00000000-0005-0000-0000-0000C51B0000}"/>
    <cellStyle name="Comma 4 3 2 6 3 2" xfId="22727" xr:uid="{00000000-0005-0000-0000-0000C61B0000}"/>
    <cellStyle name="Comma 4 3 2 6 3 2 2" xfId="39595" xr:uid="{F0427EB3-AF3A-4E93-BA5F-A12753158086}"/>
    <cellStyle name="Comma 4 3 2 6 3 3" xfId="14292" xr:uid="{00000000-0005-0000-0000-0000C71B0000}"/>
    <cellStyle name="Comma 4 3 2 6 3 4" xfId="31161" xr:uid="{6BA3A4BD-644B-4B0B-8C85-5C494A8072B9}"/>
    <cellStyle name="Comma 4 3 2 6 4" xfId="18509" xr:uid="{00000000-0005-0000-0000-0000C81B0000}"/>
    <cellStyle name="Comma 4 3 2 6 4 2" xfId="35378" xr:uid="{CA32E6CF-DE29-4C9F-A9AC-331582F29D31}"/>
    <cellStyle name="Comma 4 3 2 6 5" xfId="10074" xr:uid="{00000000-0005-0000-0000-0000C91B0000}"/>
    <cellStyle name="Comma 4 3 2 6 6" xfId="26944" xr:uid="{2B07A605-B380-48D1-B36D-B3C41B73F0B7}"/>
    <cellStyle name="Comma 4 3 2 7" xfId="1963" xr:uid="{00000000-0005-0000-0000-0000CA1B0000}"/>
    <cellStyle name="Comma 4 3 2 7 2" xfId="4192" xr:uid="{00000000-0005-0000-0000-0000CB1B0000}"/>
    <cellStyle name="Comma 4 3 2 7 2 2" xfId="8415" xr:uid="{00000000-0005-0000-0000-0000CC1B0000}"/>
    <cellStyle name="Comma 4 3 2 7 2 2 2" xfId="25285" xr:uid="{00000000-0005-0000-0000-0000CD1B0000}"/>
    <cellStyle name="Comma 4 3 2 7 2 2 2 2" xfId="42153" xr:uid="{DDB51F81-D26D-4357-848C-A57996F6A9A5}"/>
    <cellStyle name="Comma 4 3 2 7 2 2 3" xfId="16850" xr:uid="{00000000-0005-0000-0000-0000CE1B0000}"/>
    <cellStyle name="Comma 4 3 2 7 2 2 4" xfId="33719" xr:uid="{91034344-8C63-41D4-A496-66042E5A2935}"/>
    <cellStyle name="Comma 4 3 2 7 2 3" xfId="21067" xr:uid="{00000000-0005-0000-0000-0000CF1B0000}"/>
    <cellStyle name="Comma 4 3 2 7 2 3 2" xfId="37936" xr:uid="{6B075E98-2904-4E07-A832-CD28EEEF432C}"/>
    <cellStyle name="Comma 4 3 2 7 2 4" xfId="12632" xr:uid="{00000000-0005-0000-0000-0000D01B0000}"/>
    <cellStyle name="Comma 4 3 2 7 2 5" xfId="29502" xr:uid="{A5AF84FA-24E4-4B13-9FEA-86B7CB5D401B}"/>
    <cellStyle name="Comma 4 3 2 7 3" xfId="6270" xr:uid="{00000000-0005-0000-0000-0000D11B0000}"/>
    <cellStyle name="Comma 4 3 2 7 3 2" xfId="23140" xr:uid="{00000000-0005-0000-0000-0000D21B0000}"/>
    <cellStyle name="Comma 4 3 2 7 3 2 2" xfId="40008" xr:uid="{E9B67E86-82BA-4B23-82C7-ACFDBE0FC7DC}"/>
    <cellStyle name="Comma 4 3 2 7 3 3" xfId="14705" xr:uid="{00000000-0005-0000-0000-0000D31B0000}"/>
    <cellStyle name="Comma 4 3 2 7 3 4" xfId="31574" xr:uid="{A530A474-4CB5-426F-B750-8926D7802EC2}"/>
    <cellStyle name="Comma 4 3 2 7 4" xfId="18922" xr:uid="{00000000-0005-0000-0000-0000D41B0000}"/>
    <cellStyle name="Comma 4 3 2 7 4 2" xfId="35791" xr:uid="{4A2BED9C-11E2-4CD0-91D3-21A5375BFC84}"/>
    <cellStyle name="Comma 4 3 2 7 5" xfId="10487" xr:uid="{00000000-0005-0000-0000-0000D51B0000}"/>
    <cellStyle name="Comma 4 3 2 7 6" xfId="27357" xr:uid="{54FD1648-FDD2-4735-80CF-472249C2C694}"/>
    <cellStyle name="Comma 4 3 2 8" xfId="2398" xr:uid="{00000000-0005-0000-0000-0000D61B0000}"/>
    <cellStyle name="Comma 4 3 2 8 2" xfId="6683" xr:uid="{00000000-0005-0000-0000-0000D71B0000}"/>
    <cellStyle name="Comma 4 3 2 8 2 2" xfId="23553" xr:uid="{00000000-0005-0000-0000-0000D81B0000}"/>
    <cellStyle name="Comma 4 3 2 8 2 2 2" xfId="40421" xr:uid="{FE913F84-58DC-4556-9C5B-075A14A97EC4}"/>
    <cellStyle name="Comma 4 3 2 8 2 3" xfId="15118" xr:uid="{00000000-0005-0000-0000-0000D91B0000}"/>
    <cellStyle name="Comma 4 3 2 8 2 4" xfId="31987" xr:uid="{F113FA54-2BB1-4CF8-95CF-6BDA32F70700}"/>
    <cellStyle name="Comma 4 3 2 8 3" xfId="19335" xr:uid="{00000000-0005-0000-0000-0000DA1B0000}"/>
    <cellStyle name="Comma 4 3 2 8 3 2" xfId="36204" xr:uid="{86E2A3DF-5EE0-4E30-9170-CBFDB781D6F2}"/>
    <cellStyle name="Comma 4 3 2 8 4" xfId="10900" xr:uid="{00000000-0005-0000-0000-0000DB1B0000}"/>
    <cellStyle name="Comma 4 3 2 8 5" xfId="27770" xr:uid="{0A1DA0E3-0ED6-4C62-8D5C-A1F18B49A4C8}"/>
    <cellStyle name="Comma 4 3 2 9" xfId="2365" xr:uid="{00000000-0005-0000-0000-0000DC1B0000}"/>
    <cellStyle name="Comma 4 3 3" xfId="149" xr:uid="{00000000-0005-0000-0000-0000DD1B0000}"/>
    <cellStyle name="Comma 4 3 3 10" xfId="4621" xr:uid="{00000000-0005-0000-0000-0000DE1B0000}"/>
    <cellStyle name="Comma 4 3 3 10 2" xfId="21491" xr:uid="{00000000-0005-0000-0000-0000DF1B0000}"/>
    <cellStyle name="Comma 4 3 3 10 2 2" xfId="38359" xr:uid="{309B09D8-B2A1-4AE2-98A7-100BBB09DD40}"/>
    <cellStyle name="Comma 4 3 3 10 3" xfId="13056" xr:uid="{00000000-0005-0000-0000-0000E01B0000}"/>
    <cellStyle name="Comma 4 3 3 10 4" xfId="29925" xr:uid="{9609F832-4E48-427D-8122-631B9F433A15}"/>
    <cellStyle name="Comma 4 3 3 11" xfId="17273" xr:uid="{00000000-0005-0000-0000-0000E11B0000}"/>
    <cellStyle name="Comma 4 3 3 11 2" xfId="34142" xr:uid="{A7D26EF5-AC73-48D0-9A64-EC9E5F91D8E6}"/>
    <cellStyle name="Comma 4 3 3 12" xfId="8838" xr:uid="{00000000-0005-0000-0000-0000E21B0000}"/>
    <cellStyle name="Comma 4 3 3 13" xfId="25708" xr:uid="{2576BAF7-E980-4C05-B9BD-769E7BF1949C}"/>
    <cellStyle name="Comma 4 3 3 2" xfId="150" xr:uid="{00000000-0005-0000-0000-0000E31B0000}"/>
    <cellStyle name="Comma 4 3 3 2 10" xfId="17274" xr:uid="{00000000-0005-0000-0000-0000E41B0000}"/>
    <cellStyle name="Comma 4 3 3 2 10 2" xfId="34143" xr:uid="{79D308B8-B832-495D-AFA9-9AF3DB597877}"/>
    <cellStyle name="Comma 4 3 3 2 11" xfId="8839" xr:uid="{00000000-0005-0000-0000-0000E51B0000}"/>
    <cellStyle name="Comma 4 3 3 2 12" xfId="25709" xr:uid="{7F0BB31B-B384-477E-A0C9-826B06DAB869}"/>
    <cellStyle name="Comma 4 3 3 2 2" xfId="687" xr:uid="{00000000-0005-0000-0000-0000E61B0000}"/>
    <cellStyle name="Comma 4 3 3 2 2 2" xfId="2958" xr:uid="{00000000-0005-0000-0000-0000E71B0000}"/>
    <cellStyle name="Comma 4 3 3 2 2 2 2" xfId="7181" xr:uid="{00000000-0005-0000-0000-0000E81B0000}"/>
    <cellStyle name="Comma 4 3 3 2 2 2 2 2" xfId="24051" xr:uid="{00000000-0005-0000-0000-0000E91B0000}"/>
    <cellStyle name="Comma 4 3 3 2 2 2 2 2 2" xfId="40919" xr:uid="{F1542109-27E5-4C78-BBA1-7141EE41EF11}"/>
    <cellStyle name="Comma 4 3 3 2 2 2 2 3" xfId="15616" xr:uid="{00000000-0005-0000-0000-0000EA1B0000}"/>
    <cellStyle name="Comma 4 3 3 2 2 2 2 4" xfId="32485" xr:uid="{479714AB-8C49-45F8-A4FC-8C8D8620CE93}"/>
    <cellStyle name="Comma 4 3 3 2 2 2 3" xfId="19833" xr:uid="{00000000-0005-0000-0000-0000EB1B0000}"/>
    <cellStyle name="Comma 4 3 3 2 2 2 3 2" xfId="36702" xr:uid="{60A8D4AD-015A-486D-B68C-D95C2C00E216}"/>
    <cellStyle name="Comma 4 3 3 2 2 2 4" xfId="11398" xr:uid="{00000000-0005-0000-0000-0000EC1B0000}"/>
    <cellStyle name="Comma 4 3 3 2 2 2 5" xfId="28268" xr:uid="{09E3B3BB-EB4D-4C96-B6F0-580C78DB82C9}"/>
    <cellStyle name="Comma 4 3 3 2 2 3" xfId="5036" xr:uid="{00000000-0005-0000-0000-0000ED1B0000}"/>
    <cellStyle name="Comma 4 3 3 2 2 3 2" xfId="21906" xr:uid="{00000000-0005-0000-0000-0000EE1B0000}"/>
    <cellStyle name="Comma 4 3 3 2 2 3 2 2" xfId="38774" xr:uid="{3C6EE977-901C-4CD7-8B92-C8F67E4AB6C6}"/>
    <cellStyle name="Comma 4 3 3 2 2 3 3" xfId="13471" xr:uid="{00000000-0005-0000-0000-0000EF1B0000}"/>
    <cellStyle name="Comma 4 3 3 2 2 3 4" xfId="30340" xr:uid="{B2528FA6-A0B3-495C-A329-6F0B1931AB80}"/>
    <cellStyle name="Comma 4 3 3 2 2 4" xfId="17688" xr:uid="{00000000-0005-0000-0000-0000F01B0000}"/>
    <cellStyle name="Comma 4 3 3 2 2 4 2" xfId="34557" xr:uid="{AFE50C6B-A402-40FC-AC94-4E336ACCE84A}"/>
    <cellStyle name="Comma 4 3 3 2 2 5" xfId="9253" xr:uid="{00000000-0005-0000-0000-0000F11B0000}"/>
    <cellStyle name="Comma 4 3 3 2 2 6" xfId="26123" xr:uid="{8CD5F290-22EE-4020-BBDD-3B3B39FB32A2}"/>
    <cellStyle name="Comma 4 3 3 2 3" xfId="1140" xr:uid="{00000000-0005-0000-0000-0000F21B0000}"/>
    <cellStyle name="Comma 4 3 3 2 3 2" xfId="3371" xr:uid="{00000000-0005-0000-0000-0000F31B0000}"/>
    <cellStyle name="Comma 4 3 3 2 3 2 2" xfId="7594" xr:uid="{00000000-0005-0000-0000-0000F41B0000}"/>
    <cellStyle name="Comma 4 3 3 2 3 2 2 2" xfId="24464" xr:uid="{00000000-0005-0000-0000-0000F51B0000}"/>
    <cellStyle name="Comma 4 3 3 2 3 2 2 2 2" xfId="41332" xr:uid="{7FEA74AF-BD14-4295-8619-D5784B05C22E}"/>
    <cellStyle name="Comma 4 3 3 2 3 2 2 3" xfId="16029" xr:uid="{00000000-0005-0000-0000-0000F61B0000}"/>
    <cellStyle name="Comma 4 3 3 2 3 2 2 4" xfId="32898" xr:uid="{BF15B19E-4828-4EB2-A755-5C68DC2B492E}"/>
    <cellStyle name="Comma 4 3 3 2 3 2 3" xfId="20246" xr:uid="{00000000-0005-0000-0000-0000F71B0000}"/>
    <cellStyle name="Comma 4 3 3 2 3 2 3 2" xfId="37115" xr:uid="{0DDE6325-6A07-4E4E-9A98-BA67E8496A9B}"/>
    <cellStyle name="Comma 4 3 3 2 3 2 4" xfId="11811" xr:uid="{00000000-0005-0000-0000-0000F81B0000}"/>
    <cellStyle name="Comma 4 3 3 2 3 2 5" xfId="28681" xr:uid="{EDC77229-5B18-45B3-B858-7803BB312E04}"/>
    <cellStyle name="Comma 4 3 3 2 3 3" xfId="5449" xr:uid="{00000000-0005-0000-0000-0000F91B0000}"/>
    <cellStyle name="Comma 4 3 3 2 3 3 2" xfId="22319" xr:uid="{00000000-0005-0000-0000-0000FA1B0000}"/>
    <cellStyle name="Comma 4 3 3 2 3 3 2 2" xfId="39187" xr:uid="{7F9E4E41-AA57-4045-8280-583380A41B30}"/>
    <cellStyle name="Comma 4 3 3 2 3 3 3" xfId="13884" xr:uid="{00000000-0005-0000-0000-0000FB1B0000}"/>
    <cellStyle name="Comma 4 3 3 2 3 3 4" xfId="30753" xr:uid="{A61F41C2-6EF1-4F21-94FE-D8AE34F1941A}"/>
    <cellStyle name="Comma 4 3 3 2 3 4" xfId="18101" xr:uid="{00000000-0005-0000-0000-0000FC1B0000}"/>
    <cellStyle name="Comma 4 3 3 2 3 4 2" xfId="34970" xr:uid="{7D6FFD07-A854-4C46-BD12-D92356ACA739}"/>
    <cellStyle name="Comma 4 3 3 2 3 5" xfId="9666" xr:uid="{00000000-0005-0000-0000-0000FD1B0000}"/>
    <cellStyle name="Comma 4 3 3 2 3 6" xfId="26536" xr:uid="{918B2D21-5599-41DE-8DF4-5CCB5752F238}"/>
    <cellStyle name="Comma 4 3 3 2 4" xfId="1554" xr:uid="{00000000-0005-0000-0000-0000FE1B0000}"/>
    <cellStyle name="Comma 4 3 3 2 4 2" xfId="3784" xr:uid="{00000000-0005-0000-0000-0000FF1B0000}"/>
    <cellStyle name="Comma 4 3 3 2 4 2 2" xfId="8007" xr:uid="{00000000-0005-0000-0000-0000001C0000}"/>
    <cellStyle name="Comma 4 3 3 2 4 2 2 2" xfId="24877" xr:uid="{00000000-0005-0000-0000-0000011C0000}"/>
    <cellStyle name="Comma 4 3 3 2 4 2 2 2 2" xfId="41745" xr:uid="{931F20E5-7042-4CA6-963A-AD15A9EED66B}"/>
    <cellStyle name="Comma 4 3 3 2 4 2 2 3" xfId="16442" xr:uid="{00000000-0005-0000-0000-0000021C0000}"/>
    <cellStyle name="Comma 4 3 3 2 4 2 2 4" xfId="33311" xr:uid="{44FBD81D-9D2D-41FF-A048-6EC779FFA6CB}"/>
    <cellStyle name="Comma 4 3 3 2 4 2 3" xfId="20659" xr:uid="{00000000-0005-0000-0000-0000031C0000}"/>
    <cellStyle name="Comma 4 3 3 2 4 2 3 2" xfId="37528" xr:uid="{4B86AB4D-3F89-4CC8-B956-78E25AAE276C}"/>
    <cellStyle name="Comma 4 3 3 2 4 2 4" xfId="12224" xr:uid="{00000000-0005-0000-0000-0000041C0000}"/>
    <cellStyle name="Comma 4 3 3 2 4 2 5" xfId="29094" xr:uid="{35D461C7-C48F-47BC-A0CE-D48D8A046699}"/>
    <cellStyle name="Comma 4 3 3 2 4 3" xfId="5862" xr:uid="{00000000-0005-0000-0000-0000051C0000}"/>
    <cellStyle name="Comma 4 3 3 2 4 3 2" xfId="22732" xr:uid="{00000000-0005-0000-0000-0000061C0000}"/>
    <cellStyle name="Comma 4 3 3 2 4 3 2 2" xfId="39600" xr:uid="{042B5EC4-D8FC-4AD0-9476-3E5877F0FB8C}"/>
    <cellStyle name="Comma 4 3 3 2 4 3 3" xfId="14297" xr:uid="{00000000-0005-0000-0000-0000071C0000}"/>
    <cellStyle name="Comma 4 3 3 2 4 3 4" xfId="31166" xr:uid="{D7856D97-33E9-49A2-844E-2850F0B3A311}"/>
    <cellStyle name="Comma 4 3 3 2 4 4" xfId="18514" xr:uid="{00000000-0005-0000-0000-0000081C0000}"/>
    <cellStyle name="Comma 4 3 3 2 4 4 2" xfId="35383" xr:uid="{649CFB01-FA7F-4297-B293-FFF20CE99BBE}"/>
    <cellStyle name="Comma 4 3 3 2 4 5" xfId="10079" xr:uid="{00000000-0005-0000-0000-0000091C0000}"/>
    <cellStyle name="Comma 4 3 3 2 4 6" xfId="26949" xr:uid="{1DFE8378-91A6-4211-93DA-07B6629DD566}"/>
    <cellStyle name="Comma 4 3 3 2 5" xfId="1968" xr:uid="{00000000-0005-0000-0000-00000A1C0000}"/>
    <cellStyle name="Comma 4 3 3 2 5 2" xfId="4197" xr:uid="{00000000-0005-0000-0000-00000B1C0000}"/>
    <cellStyle name="Comma 4 3 3 2 5 2 2" xfId="8420" xr:uid="{00000000-0005-0000-0000-00000C1C0000}"/>
    <cellStyle name="Comma 4 3 3 2 5 2 2 2" xfId="25290" xr:uid="{00000000-0005-0000-0000-00000D1C0000}"/>
    <cellStyle name="Comma 4 3 3 2 5 2 2 2 2" xfId="42158" xr:uid="{5252E76C-D58B-4AE2-AB4D-243E713F630D}"/>
    <cellStyle name="Comma 4 3 3 2 5 2 2 3" xfId="16855" xr:uid="{00000000-0005-0000-0000-00000E1C0000}"/>
    <cellStyle name="Comma 4 3 3 2 5 2 2 4" xfId="33724" xr:uid="{6B7BC6DE-71D3-4874-8D2F-ED20FED70F0B}"/>
    <cellStyle name="Comma 4 3 3 2 5 2 3" xfId="21072" xr:uid="{00000000-0005-0000-0000-00000F1C0000}"/>
    <cellStyle name="Comma 4 3 3 2 5 2 3 2" xfId="37941" xr:uid="{4B9BCF24-B303-4925-A600-CD79A4DB56A7}"/>
    <cellStyle name="Comma 4 3 3 2 5 2 4" xfId="12637" xr:uid="{00000000-0005-0000-0000-0000101C0000}"/>
    <cellStyle name="Comma 4 3 3 2 5 2 5" xfId="29507" xr:uid="{7554D48E-5549-4E70-BC9E-D225DEFBA0BC}"/>
    <cellStyle name="Comma 4 3 3 2 5 3" xfId="6275" xr:uid="{00000000-0005-0000-0000-0000111C0000}"/>
    <cellStyle name="Comma 4 3 3 2 5 3 2" xfId="23145" xr:uid="{00000000-0005-0000-0000-0000121C0000}"/>
    <cellStyle name="Comma 4 3 3 2 5 3 2 2" xfId="40013" xr:uid="{4ABE2893-8331-4FF3-AD1E-C99F21341149}"/>
    <cellStyle name="Comma 4 3 3 2 5 3 3" xfId="14710" xr:uid="{00000000-0005-0000-0000-0000131C0000}"/>
    <cellStyle name="Comma 4 3 3 2 5 3 4" xfId="31579" xr:uid="{6A22C36B-86F1-4D29-A927-08C6E84BA3F4}"/>
    <cellStyle name="Comma 4 3 3 2 5 4" xfId="18927" xr:uid="{00000000-0005-0000-0000-0000141C0000}"/>
    <cellStyle name="Comma 4 3 3 2 5 4 2" xfId="35796" xr:uid="{D06EA4CF-9E33-4CBB-A08F-F0D6422EF4DF}"/>
    <cellStyle name="Comma 4 3 3 2 5 5" xfId="10492" xr:uid="{00000000-0005-0000-0000-0000151C0000}"/>
    <cellStyle name="Comma 4 3 3 2 5 6" xfId="27362" xr:uid="{A1AFDE69-7CE6-477A-8E6D-83B652255AFA}"/>
    <cellStyle name="Comma 4 3 3 2 6" xfId="2403" xr:uid="{00000000-0005-0000-0000-0000161C0000}"/>
    <cellStyle name="Comma 4 3 3 2 6 2" xfId="6688" xr:uid="{00000000-0005-0000-0000-0000171C0000}"/>
    <cellStyle name="Comma 4 3 3 2 6 2 2" xfId="23558" xr:uid="{00000000-0005-0000-0000-0000181C0000}"/>
    <cellStyle name="Comma 4 3 3 2 6 2 2 2" xfId="40426" xr:uid="{B77CDD7E-74E0-4967-B6F7-C477706CB758}"/>
    <cellStyle name="Comma 4 3 3 2 6 2 3" xfId="15123" xr:uid="{00000000-0005-0000-0000-0000191C0000}"/>
    <cellStyle name="Comma 4 3 3 2 6 2 4" xfId="31992" xr:uid="{3B5F4284-F160-45C1-B2BB-1B5D4BAA2202}"/>
    <cellStyle name="Comma 4 3 3 2 6 3" xfId="19340" xr:uid="{00000000-0005-0000-0000-00001A1C0000}"/>
    <cellStyle name="Comma 4 3 3 2 6 3 2" xfId="36209" xr:uid="{47DBC71F-9B26-4001-99AE-E8F297C6EF7A}"/>
    <cellStyle name="Comma 4 3 3 2 6 4" xfId="10905" xr:uid="{00000000-0005-0000-0000-00001B1C0000}"/>
    <cellStyle name="Comma 4 3 3 2 6 5" xfId="27775" xr:uid="{AA0247C8-5152-4B31-868E-6F4390B0E7DE}"/>
    <cellStyle name="Comma 4 3 3 2 7" xfId="2360" xr:uid="{00000000-0005-0000-0000-00001C1C0000}"/>
    <cellStyle name="Comma 4 3 3 2 8" xfId="2781" xr:uid="{00000000-0005-0000-0000-00001D1C0000}"/>
    <cellStyle name="Comma 4 3 3 2 8 2" xfId="7005" xr:uid="{00000000-0005-0000-0000-00001E1C0000}"/>
    <cellStyle name="Comma 4 3 3 2 8 2 2" xfId="23875" xr:uid="{00000000-0005-0000-0000-00001F1C0000}"/>
    <cellStyle name="Comma 4 3 3 2 8 2 2 2" xfId="40743" xr:uid="{2240064D-E875-4E84-95CC-733B9C976241}"/>
    <cellStyle name="Comma 4 3 3 2 8 2 3" xfId="15440" xr:uid="{00000000-0005-0000-0000-0000201C0000}"/>
    <cellStyle name="Comma 4 3 3 2 8 2 4" xfId="32309" xr:uid="{A9F8B924-B80B-4CF7-8EDE-9269BA44B91F}"/>
    <cellStyle name="Comma 4 3 3 2 8 3" xfId="19657" xr:uid="{00000000-0005-0000-0000-0000211C0000}"/>
    <cellStyle name="Comma 4 3 3 2 8 3 2" xfId="36526" xr:uid="{A98BDCEF-6E6D-4075-AB15-0AF639CE2BC9}"/>
    <cellStyle name="Comma 4 3 3 2 8 4" xfId="11222" xr:uid="{00000000-0005-0000-0000-0000221C0000}"/>
    <cellStyle name="Comma 4 3 3 2 8 5" xfId="28092" xr:uid="{EB89FD7F-EF0C-44BD-8BA8-96B55925376B}"/>
    <cellStyle name="Comma 4 3 3 2 9" xfId="4622" xr:uid="{00000000-0005-0000-0000-0000231C0000}"/>
    <cellStyle name="Comma 4 3 3 2 9 2" xfId="21492" xr:uid="{00000000-0005-0000-0000-0000241C0000}"/>
    <cellStyle name="Comma 4 3 3 2 9 2 2" xfId="38360" xr:uid="{2D99D648-7D5B-4507-BD1E-CB98A63FC925}"/>
    <cellStyle name="Comma 4 3 3 2 9 3" xfId="13057" xr:uid="{00000000-0005-0000-0000-0000251C0000}"/>
    <cellStyle name="Comma 4 3 3 2 9 4" xfId="29926" xr:uid="{AC9F9CBE-235C-4A8F-B4BE-644D9B72E799}"/>
    <cellStyle name="Comma 4 3 3 3" xfId="686" xr:uid="{00000000-0005-0000-0000-0000261C0000}"/>
    <cellStyle name="Comma 4 3 3 3 2" xfId="2957" xr:uid="{00000000-0005-0000-0000-0000271C0000}"/>
    <cellStyle name="Comma 4 3 3 3 2 2" xfId="7180" xr:uid="{00000000-0005-0000-0000-0000281C0000}"/>
    <cellStyle name="Comma 4 3 3 3 2 2 2" xfId="24050" xr:uid="{00000000-0005-0000-0000-0000291C0000}"/>
    <cellStyle name="Comma 4 3 3 3 2 2 2 2" xfId="40918" xr:uid="{9643CEA9-AE48-40CC-8B9A-811903CB9884}"/>
    <cellStyle name="Comma 4 3 3 3 2 2 3" xfId="15615" xr:uid="{00000000-0005-0000-0000-00002A1C0000}"/>
    <cellStyle name="Comma 4 3 3 3 2 2 4" xfId="32484" xr:uid="{207C0C01-0A65-4F31-BA74-00F00F593453}"/>
    <cellStyle name="Comma 4 3 3 3 2 3" xfId="19832" xr:uid="{00000000-0005-0000-0000-00002B1C0000}"/>
    <cellStyle name="Comma 4 3 3 3 2 3 2" xfId="36701" xr:uid="{1746EEB1-25C4-490E-B4BD-5CBED28681A7}"/>
    <cellStyle name="Comma 4 3 3 3 2 4" xfId="11397" xr:uid="{00000000-0005-0000-0000-00002C1C0000}"/>
    <cellStyle name="Comma 4 3 3 3 2 5" xfId="28267" xr:uid="{6B198688-9046-4090-BABC-350F5736E524}"/>
    <cellStyle name="Comma 4 3 3 3 3" xfId="5035" xr:uid="{00000000-0005-0000-0000-00002D1C0000}"/>
    <cellStyle name="Comma 4 3 3 3 3 2" xfId="21905" xr:uid="{00000000-0005-0000-0000-00002E1C0000}"/>
    <cellStyle name="Comma 4 3 3 3 3 2 2" xfId="38773" xr:uid="{825A3A75-34C7-45BC-A630-E0B2A3098CBE}"/>
    <cellStyle name="Comma 4 3 3 3 3 3" xfId="13470" xr:uid="{00000000-0005-0000-0000-00002F1C0000}"/>
    <cellStyle name="Comma 4 3 3 3 3 4" xfId="30339" xr:uid="{12944926-022E-455A-BEFF-FF29C664D710}"/>
    <cellStyle name="Comma 4 3 3 3 4" xfId="17687" xr:uid="{00000000-0005-0000-0000-0000301C0000}"/>
    <cellStyle name="Comma 4 3 3 3 4 2" xfId="34556" xr:uid="{D1408837-666E-436A-B9E7-7122198A6CA5}"/>
    <cellStyle name="Comma 4 3 3 3 5" xfId="9252" xr:uid="{00000000-0005-0000-0000-0000311C0000}"/>
    <cellStyle name="Comma 4 3 3 3 6" xfId="26122" xr:uid="{C8B949BE-C93A-4FFF-9036-178506E4F3EE}"/>
    <cellStyle name="Comma 4 3 3 4" xfId="1139" xr:uid="{00000000-0005-0000-0000-0000321C0000}"/>
    <cellStyle name="Comma 4 3 3 4 2" xfId="3370" xr:uid="{00000000-0005-0000-0000-0000331C0000}"/>
    <cellStyle name="Comma 4 3 3 4 2 2" xfId="7593" xr:uid="{00000000-0005-0000-0000-0000341C0000}"/>
    <cellStyle name="Comma 4 3 3 4 2 2 2" xfId="24463" xr:uid="{00000000-0005-0000-0000-0000351C0000}"/>
    <cellStyle name="Comma 4 3 3 4 2 2 2 2" xfId="41331" xr:uid="{356B178E-B373-4720-BFD0-7E8C9DC7B805}"/>
    <cellStyle name="Comma 4 3 3 4 2 2 3" xfId="16028" xr:uid="{00000000-0005-0000-0000-0000361C0000}"/>
    <cellStyle name="Comma 4 3 3 4 2 2 4" xfId="32897" xr:uid="{4F6438C6-3AED-480A-88EA-E71BA7057488}"/>
    <cellStyle name="Comma 4 3 3 4 2 3" xfId="20245" xr:uid="{00000000-0005-0000-0000-0000371C0000}"/>
    <cellStyle name="Comma 4 3 3 4 2 3 2" xfId="37114" xr:uid="{7295DC7A-C52A-4E50-B8A2-58E4A8EB9B97}"/>
    <cellStyle name="Comma 4 3 3 4 2 4" xfId="11810" xr:uid="{00000000-0005-0000-0000-0000381C0000}"/>
    <cellStyle name="Comma 4 3 3 4 2 5" xfId="28680" xr:uid="{AF75E20D-E2CC-48A1-8E0F-2E5EC708C09D}"/>
    <cellStyle name="Comma 4 3 3 4 3" xfId="5448" xr:uid="{00000000-0005-0000-0000-0000391C0000}"/>
    <cellStyle name="Comma 4 3 3 4 3 2" xfId="22318" xr:uid="{00000000-0005-0000-0000-00003A1C0000}"/>
    <cellStyle name="Comma 4 3 3 4 3 2 2" xfId="39186" xr:uid="{D608BA1D-9DF6-48DF-B332-B9A7AD8EE2CC}"/>
    <cellStyle name="Comma 4 3 3 4 3 3" xfId="13883" xr:uid="{00000000-0005-0000-0000-00003B1C0000}"/>
    <cellStyle name="Comma 4 3 3 4 3 4" xfId="30752" xr:uid="{B85AF75B-829A-4043-93A3-37FF18E86EF7}"/>
    <cellStyle name="Comma 4 3 3 4 4" xfId="18100" xr:uid="{00000000-0005-0000-0000-00003C1C0000}"/>
    <cellStyle name="Comma 4 3 3 4 4 2" xfId="34969" xr:uid="{571CEACA-9E3E-47FC-B079-F3F88C4FEAC4}"/>
    <cellStyle name="Comma 4 3 3 4 5" xfId="9665" xr:uid="{00000000-0005-0000-0000-00003D1C0000}"/>
    <cellStyle name="Comma 4 3 3 4 6" xfId="26535" xr:uid="{437AE179-656C-45DF-AAD5-4E067BE3B6C8}"/>
    <cellStyle name="Comma 4 3 3 5" xfId="1553" xr:uid="{00000000-0005-0000-0000-00003E1C0000}"/>
    <cellStyle name="Comma 4 3 3 5 2" xfId="3783" xr:uid="{00000000-0005-0000-0000-00003F1C0000}"/>
    <cellStyle name="Comma 4 3 3 5 2 2" xfId="8006" xr:uid="{00000000-0005-0000-0000-0000401C0000}"/>
    <cellStyle name="Comma 4 3 3 5 2 2 2" xfId="24876" xr:uid="{00000000-0005-0000-0000-0000411C0000}"/>
    <cellStyle name="Comma 4 3 3 5 2 2 2 2" xfId="41744" xr:uid="{78644F1D-AE30-407E-A3E0-6F00E4BA93AD}"/>
    <cellStyle name="Comma 4 3 3 5 2 2 3" xfId="16441" xr:uid="{00000000-0005-0000-0000-0000421C0000}"/>
    <cellStyle name="Comma 4 3 3 5 2 2 4" xfId="33310" xr:uid="{2064EE8B-1629-4008-AE26-FC47A76C2A77}"/>
    <cellStyle name="Comma 4 3 3 5 2 3" xfId="20658" xr:uid="{00000000-0005-0000-0000-0000431C0000}"/>
    <cellStyle name="Comma 4 3 3 5 2 3 2" xfId="37527" xr:uid="{CCF5849F-1435-4FE3-9805-202170E6FAA9}"/>
    <cellStyle name="Comma 4 3 3 5 2 4" xfId="12223" xr:uid="{00000000-0005-0000-0000-0000441C0000}"/>
    <cellStyle name="Comma 4 3 3 5 2 5" xfId="29093" xr:uid="{8579FDAC-9B5E-4C5A-8046-7C406E102BFE}"/>
    <cellStyle name="Comma 4 3 3 5 3" xfId="5861" xr:uid="{00000000-0005-0000-0000-0000451C0000}"/>
    <cellStyle name="Comma 4 3 3 5 3 2" xfId="22731" xr:uid="{00000000-0005-0000-0000-0000461C0000}"/>
    <cellStyle name="Comma 4 3 3 5 3 2 2" xfId="39599" xr:uid="{33BEA080-99EE-446E-805D-696DE264CE9D}"/>
    <cellStyle name="Comma 4 3 3 5 3 3" xfId="14296" xr:uid="{00000000-0005-0000-0000-0000471C0000}"/>
    <cellStyle name="Comma 4 3 3 5 3 4" xfId="31165" xr:uid="{56269EC5-FB60-46C8-88B8-15E89F8A04F0}"/>
    <cellStyle name="Comma 4 3 3 5 4" xfId="18513" xr:uid="{00000000-0005-0000-0000-0000481C0000}"/>
    <cellStyle name="Comma 4 3 3 5 4 2" xfId="35382" xr:uid="{BE2A5266-DA38-461B-8CF6-64805A508F81}"/>
    <cellStyle name="Comma 4 3 3 5 5" xfId="10078" xr:uid="{00000000-0005-0000-0000-0000491C0000}"/>
    <cellStyle name="Comma 4 3 3 5 6" xfId="26948" xr:uid="{6095D106-159F-4D72-BA89-757C7A6D3360}"/>
    <cellStyle name="Comma 4 3 3 6" xfId="1967" xr:uid="{00000000-0005-0000-0000-00004A1C0000}"/>
    <cellStyle name="Comma 4 3 3 6 2" xfId="4196" xr:uid="{00000000-0005-0000-0000-00004B1C0000}"/>
    <cellStyle name="Comma 4 3 3 6 2 2" xfId="8419" xr:uid="{00000000-0005-0000-0000-00004C1C0000}"/>
    <cellStyle name="Comma 4 3 3 6 2 2 2" xfId="25289" xr:uid="{00000000-0005-0000-0000-00004D1C0000}"/>
    <cellStyle name="Comma 4 3 3 6 2 2 2 2" xfId="42157" xr:uid="{B5FD4541-B55F-4E83-A34F-B74E02D42D09}"/>
    <cellStyle name="Comma 4 3 3 6 2 2 3" xfId="16854" xr:uid="{00000000-0005-0000-0000-00004E1C0000}"/>
    <cellStyle name="Comma 4 3 3 6 2 2 4" xfId="33723" xr:uid="{3B39C317-1E3C-4398-B6AB-ABCBE5045FCE}"/>
    <cellStyle name="Comma 4 3 3 6 2 3" xfId="21071" xr:uid="{00000000-0005-0000-0000-00004F1C0000}"/>
    <cellStyle name="Comma 4 3 3 6 2 3 2" xfId="37940" xr:uid="{32433A97-BF1A-4943-8A4D-49079F8F253E}"/>
    <cellStyle name="Comma 4 3 3 6 2 4" xfId="12636" xr:uid="{00000000-0005-0000-0000-0000501C0000}"/>
    <cellStyle name="Comma 4 3 3 6 2 5" xfId="29506" xr:uid="{8D997C4E-7367-4D26-ADA9-E451D86E458B}"/>
    <cellStyle name="Comma 4 3 3 6 3" xfId="6274" xr:uid="{00000000-0005-0000-0000-0000511C0000}"/>
    <cellStyle name="Comma 4 3 3 6 3 2" xfId="23144" xr:uid="{00000000-0005-0000-0000-0000521C0000}"/>
    <cellStyle name="Comma 4 3 3 6 3 2 2" xfId="40012" xr:uid="{794F50CE-A844-4A01-815B-499213F09345}"/>
    <cellStyle name="Comma 4 3 3 6 3 3" xfId="14709" xr:uid="{00000000-0005-0000-0000-0000531C0000}"/>
    <cellStyle name="Comma 4 3 3 6 3 4" xfId="31578" xr:uid="{5AF1B28B-58A5-4983-976C-D46023D2E71A}"/>
    <cellStyle name="Comma 4 3 3 6 4" xfId="18926" xr:uid="{00000000-0005-0000-0000-0000541C0000}"/>
    <cellStyle name="Comma 4 3 3 6 4 2" xfId="35795" xr:uid="{32C678D5-8CB6-41A0-8317-8FDA742669DC}"/>
    <cellStyle name="Comma 4 3 3 6 5" xfId="10491" xr:uid="{00000000-0005-0000-0000-0000551C0000}"/>
    <cellStyle name="Comma 4 3 3 6 6" xfId="27361" xr:uid="{D694D4E9-6906-47B4-994A-D20CE4F2C6F3}"/>
    <cellStyle name="Comma 4 3 3 7" xfId="2402" xr:uid="{00000000-0005-0000-0000-0000561C0000}"/>
    <cellStyle name="Comma 4 3 3 7 2" xfId="6687" xr:uid="{00000000-0005-0000-0000-0000571C0000}"/>
    <cellStyle name="Comma 4 3 3 7 2 2" xfId="23557" xr:uid="{00000000-0005-0000-0000-0000581C0000}"/>
    <cellStyle name="Comma 4 3 3 7 2 2 2" xfId="40425" xr:uid="{632A9FF6-7BFB-4F36-A085-4082D356E5C3}"/>
    <cellStyle name="Comma 4 3 3 7 2 3" xfId="15122" xr:uid="{00000000-0005-0000-0000-0000591C0000}"/>
    <cellStyle name="Comma 4 3 3 7 2 4" xfId="31991" xr:uid="{79306102-41B3-4AF8-8CC0-1F69AB5254F5}"/>
    <cellStyle name="Comma 4 3 3 7 3" xfId="19339" xr:uid="{00000000-0005-0000-0000-00005A1C0000}"/>
    <cellStyle name="Comma 4 3 3 7 3 2" xfId="36208" xr:uid="{6A1CB0CE-2AC7-4F65-9F4A-225003568270}"/>
    <cellStyle name="Comma 4 3 3 7 4" xfId="10904" xr:uid="{00000000-0005-0000-0000-00005B1C0000}"/>
    <cellStyle name="Comma 4 3 3 7 5" xfId="27774" xr:uid="{5D1818A9-CF45-4BC2-B9A9-EE3DFACD23CD}"/>
    <cellStyle name="Comma 4 3 3 8" xfId="2361" xr:uid="{00000000-0005-0000-0000-00005C1C0000}"/>
    <cellStyle name="Comma 4 3 3 9" xfId="2780" xr:uid="{00000000-0005-0000-0000-00005D1C0000}"/>
    <cellStyle name="Comma 4 3 3 9 2" xfId="7004" xr:uid="{00000000-0005-0000-0000-00005E1C0000}"/>
    <cellStyle name="Comma 4 3 3 9 2 2" xfId="23874" xr:uid="{00000000-0005-0000-0000-00005F1C0000}"/>
    <cellStyle name="Comma 4 3 3 9 2 2 2" xfId="40742" xr:uid="{B6255AFA-D4E4-4C25-B4CA-ABC64CDE5C36}"/>
    <cellStyle name="Comma 4 3 3 9 2 3" xfId="15439" xr:uid="{00000000-0005-0000-0000-0000601C0000}"/>
    <cellStyle name="Comma 4 3 3 9 2 4" xfId="32308" xr:uid="{251A88B1-C66F-416E-8BA5-4DECC6F9D0F3}"/>
    <cellStyle name="Comma 4 3 3 9 3" xfId="19656" xr:uid="{00000000-0005-0000-0000-0000611C0000}"/>
    <cellStyle name="Comma 4 3 3 9 3 2" xfId="36525" xr:uid="{2754FABD-60C1-4292-A8F8-147075EA7FB5}"/>
    <cellStyle name="Comma 4 3 3 9 4" xfId="11221" xr:uid="{00000000-0005-0000-0000-0000621C0000}"/>
    <cellStyle name="Comma 4 3 3 9 5" xfId="28091" xr:uid="{0EB78BAE-3664-4271-916D-F736F884301E}"/>
    <cellStyle name="Comma 4 3 4" xfId="151" xr:uid="{00000000-0005-0000-0000-0000631C0000}"/>
    <cellStyle name="Comma 4 3 4 10" xfId="17275" xr:uid="{00000000-0005-0000-0000-0000641C0000}"/>
    <cellStyle name="Comma 4 3 4 10 2" xfId="34144" xr:uid="{A65B2C39-E006-4BA2-B077-675FEAFFC3EF}"/>
    <cellStyle name="Comma 4 3 4 11" xfId="8840" xr:uid="{00000000-0005-0000-0000-0000651C0000}"/>
    <cellStyle name="Comma 4 3 4 12" xfId="25710" xr:uid="{5EFB42F9-7828-40BF-89CB-784B425F96AB}"/>
    <cellStyle name="Comma 4 3 4 2" xfId="688" xr:uid="{00000000-0005-0000-0000-0000661C0000}"/>
    <cellStyle name="Comma 4 3 4 2 2" xfId="2959" xr:uid="{00000000-0005-0000-0000-0000671C0000}"/>
    <cellStyle name="Comma 4 3 4 2 2 2" xfId="7182" xr:uid="{00000000-0005-0000-0000-0000681C0000}"/>
    <cellStyle name="Comma 4 3 4 2 2 2 2" xfId="24052" xr:uid="{00000000-0005-0000-0000-0000691C0000}"/>
    <cellStyle name="Comma 4 3 4 2 2 2 2 2" xfId="40920" xr:uid="{A86589E0-DF52-473C-B732-D8C8B7AEDA86}"/>
    <cellStyle name="Comma 4 3 4 2 2 2 3" xfId="15617" xr:uid="{00000000-0005-0000-0000-00006A1C0000}"/>
    <cellStyle name="Comma 4 3 4 2 2 2 4" xfId="32486" xr:uid="{172E5046-B209-4887-A80E-2062531A00FD}"/>
    <cellStyle name="Comma 4 3 4 2 2 3" xfId="19834" xr:uid="{00000000-0005-0000-0000-00006B1C0000}"/>
    <cellStyle name="Comma 4 3 4 2 2 3 2" xfId="36703" xr:uid="{FDBBD532-3DFE-439E-8A7C-7C0F86533916}"/>
    <cellStyle name="Comma 4 3 4 2 2 4" xfId="11399" xr:uid="{00000000-0005-0000-0000-00006C1C0000}"/>
    <cellStyle name="Comma 4 3 4 2 2 5" xfId="28269" xr:uid="{19F21C36-3909-42C4-BF79-CCD264A24BF7}"/>
    <cellStyle name="Comma 4 3 4 2 3" xfId="5037" xr:uid="{00000000-0005-0000-0000-00006D1C0000}"/>
    <cellStyle name="Comma 4 3 4 2 3 2" xfId="21907" xr:uid="{00000000-0005-0000-0000-00006E1C0000}"/>
    <cellStyle name="Comma 4 3 4 2 3 2 2" xfId="38775" xr:uid="{B7B8F105-3013-4EE2-A47F-044E9F1F65F6}"/>
    <cellStyle name="Comma 4 3 4 2 3 3" xfId="13472" xr:uid="{00000000-0005-0000-0000-00006F1C0000}"/>
    <cellStyle name="Comma 4 3 4 2 3 4" xfId="30341" xr:uid="{9EC7847B-EDFD-40FF-B023-02481470DB60}"/>
    <cellStyle name="Comma 4 3 4 2 4" xfId="17689" xr:uid="{00000000-0005-0000-0000-0000701C0000}"/>
    <cellStyle name="Comma 4 3 4 2 4 2" xfId="34558" xr:uid="{58239FE9-0076-4266-BB4D-BC6EC76F293D}"/>
    <cellStyle name="Comma 4 3 4 2 5" xfId="9254" xr:uid="{00000000-0005-0000-0000-0000711C0000}"/>
    <cellStyle name="Comma 4 3 4 2 6" xfId="26124" xr:uid="{1DCB47F3-D4CC-451F-B06C-79780AC99584}"/>
    <cellStyle name="Comma 4 3 4 3" xfId="1141" xr:uid="{00000000-0005-0000-0000-0000721C0000}"/>
    <cellStyle name="Comma 4 3 4 3 2" xfId="3372" xr:uid="{00000000-0005-0000-0000-0000731C0000}"/>
    <cellStyle name="Comma 4 3 4 3 2 2" xfId="7595" xr:uid="{00000000-0005-0000-0000-0000741C0000}"/>
    <cellStyle name="Comma 4 3 4 3 2 2 2" xfId="24465" xr:uid="{00000000-0005-0000-0000-0000751C0000}"/>
    <cellStyle name="Comma 4 3 4 3 2 2 2 2" xfId="41333" xr:uid="{BB3E5DBA-9B5F-4326-8EE9-5543048FE3B2}"/>
    <cellStyle name="Comma 4 3 4 3 2 2 3" xfId="16030" xr:uid="{00000000-0005-0000-0000-0000761C0000}"/>
    <cellStyle name="Comma 4 3 4 3 2 2 4" xfId="32899" xr:uid="{5E7D8B7D-CB3D-4813-8530-A6D84DCB475E}"/>
    <cellStyle name="Comma 4 3 4 3 2 3" xfId="20247" xr:uid="{00000000-0005-0000-0000-0000771C0000}"/>
    <cellStyle name="Comma 4 3 4 3 2 3 2" xfId="37116" xr:uid="{BF901320-2C56-49DA-8D43-2489F1B466BE}"/>
    <cellStyle name="Comma 4 3 4 3 2 4" xfId="11812" xr:uid="{00000000-0005-0000-0000-0000781C0000}"/>
    <cellStyle name="Comma 4 3 4 3 2 5" xfId="28682" xr:uid="{B5FFE32A-1FB1-4A19-9D08-9F0EAC4077EA}"/>
    <cellStyle name="Comma 4 3 4 3 3" xfId="5450" xr:uid="{00000000-0005-0000-0000-0000791C0000}"/>
    <cellStyle name="Comma 4 3 4 3 3 2" xfId="22320" xr:uid="{00000000-0005-0000-0000-00007A1C0000}"/>
    <cellStyle name="Comma 4 3 4 3 3 2 2" xfId="39188" xr:uid="{1BE07F18-6C6F-41B9-8DA0-998153BD9884}"/>
    <cellStyle name="Comma 4 3 4 3 3 3" xfId="13885" xr:uid="{00000000-0005-0000-0000-00007B1C0000}"/>
    <cellStyle name="Comma 4 3 4 3 3 4" xfId="30754" xr:uid="{C17CAE7E-5A0A-424C-ACD0-D8F01F958968}"/>
    <cellStyle name="Comma 4 3 4 3 4" xfId="18102" xr:uid="{00000000-0005-0000-0000-00007C1C0000}"/>
    <cellStyle name="Comma 4 3 4 3 4 2" xfId="34971" xr:uid="{7190FC19-A4B1-42A4-86D5-4156072C7619}"/>
    <cellStyle name="Comma 4 3 4 3 5" xfId="9667" xr:uid="{00000000-0005-0000-0000-00007D1C0000}"/>
    <cellStyle name="Comma 4 3 4 3 6" xfId="26537" xr:uid="{79A35F44-D449-4DD1-B3AD-AC50759247FF}"/>
    <cellStyle name="Comma 4 3 4 4" xfId="1555" xr:uid="{00000000-0005-0000-0000-00007E1C0000}"/>
    <cellStyle name="Comma 4 3 4 4 2" xfId="3785" xr:uid="{00000000-0005-0000-0000-00007F1C0000}"/>
    <cellStyle name="Comma 4 3 4 4 2 2" xfId="8008" xr:uid="{00000000-0005-0000-0000-0000801C0000}"/>
    <cellStyle name="Comma 4 3 4 4 2 2 2" xfId="24878" xr:uid="{00000000-0005-0000-0000-0000811C0000}"/>
    <cellStyle name="Comma 4 3 4 4 2 2 2 2" xfId="41746" xr:uid="{D32034CF-057F-41EC-A85D-0853A932D604}"/>
    <cellStyle name="Comma 4 3 4 4 2 2 3" xfId="16443" xr:uid="{00000000-0005-0000-0000-0000821C0000}"/>
    <cellStyle name="Comma 4 3 4 4 2 2 4" xfId="33312" xr:uid="{6EF773E3-1F30-4A87-B343-BE8EA1403B9D}"/>
    <cellStyle name="Comma 4 3 4 4 2 3" xfId="20660" xr:uid="{00000000-0005-0000-0000-0000831C0000}"/>
    <cellStyle name="Comma 4 3 4 4 2 3 2" xfId="37529" xr:uid="{D5C9B756-F0CD-4E20-BC8C-173C1AAE933B}"/>
    <cellStyle name="Comma 4 3 4 4 2 4" xfId="12225" xr:uid="{00000000-0005-0000-0000-0000841C0000}"/>
    <cellStyle name="Comma 4 3 4 4 2 5" xfId="29095" xr:uid="{4FABD5A3-C84F-4814-93C1-D4A255C713A5}"/>
    <cellStyle name="Comma 4 3 4 4 3" xfId="5863" xr:uid="{00000000-0005-0000-0000-0000851C0000}"/>
    <cellStyle name="Comma 4 3 4 4 3 2" xfId="22733" xr:uid="{00000000-0005-0000-0000-0000861C0000}"/>
    <cellStyle name="Comma 4 3 4 4 3 2 2" xfId="39601" xr:uid="{8327121A-D987-4004-800E-6938DC414D13}"/>
    <cellStyle name="Comma 4 3 4 4 3 3" xfId="14298" xr:uid="{00000000-0005-0000-0000-0000871C0000}"/>
    <cellStyle name="Comma 4 3 4 4 3 4" xfId="31167" xr:uid="{0AEE69EA-A2A6-49EE-8389-78407FAC2BF6}"/>
    <cellStyle name="Comma 4 3 4 4 4" xfId="18515" xr:uid="{00000000-0005-0000-0000-0000881C0000}"/>
    <cellStyle name="Comma 4 3 4 4 4 2" xfId="35384" xr:uid="{CA9562F0-0839-4AA8-8D53-0E38B93FCCBF}"/>
    <cellStyle name="Comma 4 3 4 4 5" xfId="10080" xr:uid="{00000000-0005-0000-0000-0000891C0000}"/>
    <cellStyle name="Comma 4 3 4 4 6" xfId="26950" xr:uid="{36AE1790-7FD5-48C3-A656-04676571C1F4}"/>
    <cellStyle name="Comma 4 3 4 5" xfId="1969" xr:uid="{00000000-0005-0000-0000-00008A1C0000}"/>
    <cellStyle name="Comma 4 3 4 5 2" xfId="4198" xr:uid="{00000000-0005-0000-0000-00008B1C0000}"/>
    <cellStyle name="Comma 4 3 4 5 2 2" xfId="8421" xr:uid="{00000000-0005-0000-0000-00008C1C0000}"/>
    <cellStyle name="Comma 4 3 4 5 2 2 2" xfId="25291" xr:uid="{00000000-0005-0000-0000-00008D1C0000}"/>
    <cellStyle name="Comma 4 3 4 5 2 2 2 2" xfId="42159" xr:uid="{7CA834EE-EDC6-47D5-B5A9-8E3E9F891C4A}"/>
    <cellStyle name="Comma 4 3 4 5 2 2 3" xfId="16856" xr:uid="{00000000-0005-0000-0000-00008E1C0000}"/>
    <cellStyle name="Comma 4 3 4 5 2 2 4" xfId="33725" xr:uid="{FEDCF574-D3C0-4CE1-BDB8-C1B8E870D28F}"/>
    <cellStyle name="Comma 4 3 4 5 2 3" xfId="21073" xr:uid="{00000000-0005-0000-0000-00008F1C0000}"/>
    <cellStyle name="Comma 4 3 4 5 2 3 2" xfId="37942" xr:uid="{45FA1AD4-AA09-4037-969A-90E3AABC261C}"/>
    <cellStyle name="Comma 4 3 4 5 2 4" xfId="12638" xr:uid="{00000000-0005-0000-0000-0000901C0000}"/>
    <cellStyle name="Comma 4 3 4 5 2 5" xfId="29508" xr:uid="{719CB925-9EA9-4378-882D-11809317F8A5}"/>
    <cellStyle name="Comma 4 3 4 5 3" xfId="6276" xr:uid="{00000000-0005-0000-0000-0000911C0000}"/>
    <cellStyle name="Comma 4 3 4 5 3 2" xfId="23146" xr:uid="{00000000-0005-0000-0000-0000921C0000}"/>
    <cellStyle name="Comma 4 3 4 5 3 2 2" xfId="40014" xr:uid="{F8FC5773-1A46-4F49-A059-B567D6B087C7}"/>
    <cellStyle name="Comma 4 3 4 5 3 3" xfId="14711" xr:uid="{00000000-0005-0000-0000-0000931C0000}"/>
    <cellStyle name="Comma 4 3 4 5 3 4" xfId="31580" xr:uid="{B4C3759C-0EF4-419A-9176-22E5F3C4505E}"/>
    <cellStyle name="Comma 4 3 4 5 4" xfId="18928" xr:uid="{00000000-0005-0000-0000-0000941C0000}"/>
    <cellStyle name="Comma 4 3 4 5 4 2" xfId="35797" xr:uid="{9B98EA0E-1972-4A7D-BFB2-D6AC385E89B4}"/>
    <cellStyle name="Comma 4 3 4 5 5" xfId="10493" xr:uid="{00000000-0005-0000-0000-0000951C0000}"/>
    <cellStyle name="Comma 4 3 4 5 6" xfId="27363" xr:uid="{0278ECEE-173F-4B5B-B7A7-417F4A4A79A7}"/>
    <cellStyle name="Comma 4 3 4 6" xfId="2404" xr:uid="{00000000-0005-0000-0000-0000961C0000}"/>
    <cellStyle name="Comma 4 3 4 6 2" xfId="6689" xr:uid="{00000000-0005-0000-0000-0000971C0000}"/>
    <cellStyle name="Comma 4 3 4 6 2 2" xfId="23559" xr:uid="{00000000-0005-0000-0000-0000981C0000}"/>
    <cellStyle name="Comma 4 3 4 6 2 2 2" xfId="40427" xr:uid="{1A3F9A58-9C96-47C2-8891-351945FB898D}"/>
    <cellStyle name="Comma 4 3 4 6 2 3" xfId="15124" xr:uid="{00000000-0005-0000-0000-0000991C0000}"/>
    <cellStyle name="Comma 4 3 4 6 2 4" xfId="31993" xr:uid="{758414F1-2577-402F-AA15-FA8C4191EE4D}"/>
    <cellStyle name="Comma 4 3 4 6 3" xfId="19341" xr:uid="{00000000-0005-0000-0000-00009A1C0000}"/>
    <cellStyle name="Comma 4 3 4 6 3 2" xfId="36210" xr:uid="{5F571864-5020-49FD-9C44-686449385046}"/>
    <cellStyle name="Comma 4 3 4 6 4" xfId="10906" xr:uid="{00000000-0005-0000-0000-00009B1C0000}"/>
    <cellStyle name="Comma 4 3 4 6 5" xfId="27776" xr:uid="{AA355653-3F9B-4175-B6F7-C59120E4BDA3}"/>
    <cellStyle name="Comma 4 3 4 7" xfId="2700" xr:uid="{00000000-0005-0000-0000-00009C1C0000}"/>
    <cellStyle name="Comma 4 3 4 8" xfId="2782" xr:uid="{00000000-0005-0000-0000-00009D1C0000}"/>
    <cellStyle name="Comma 4 3 4 8 2" xfId="7006" xr:uid="{00000000-0005-0000-0000-00009E1C0000}"/>
    <cellStyle name="Comma 4 3 4 8 2 2" xfId="23876" xr:uid="{00000000-0005-0000-0000-00009F1C0000}"/>
    <cellStyle name="Comma 4 3 4 8 2 2 2" xfId="40744" xr:uid="{52A77DDB-90B2-43A0-826E-F38991DE29B2}"/>
    <cellStyle name="Comma 4 3 4 8 2 3" xfId="15441" xr:uid="{00000000-0005-0000-0000-0000A01C0000}"/>
    <cellStyle name="Comma 4 3 4 8 2 4" xfId="32310" xr:uid="{AD92DFDB-44B0-4DD5-94A4-5C2F2589FD5A}"/>
    <cellStyle name="Comma 4 3 4 8 3" xfId="19658" xr:uid="{00000000-0005-0000-0000-0000A11C0000}"/>
    <cellStyle name="Comma 4 3 4 8 3 2" xfId="36527" xr:uid="{D7752982-0AD4-4122-9962-1B6504E999CD}"/>
    <cellStyle name="Comma 4 3 4 8 4" xfId="11223" xr:uid="{00000000-0005-0000-0000-0000A21C0000}"/>
    <cellStyle name="Comma 4 3 4 8 5" xfId="28093" xr:uid="{D531F066-0349-4FCD-962B-60273A15BEF6}"/>
    <cellStyle name="Comma 4 3 4 9" xfId="4623" xr:uid="{00000000-0005-0000-0000-0000A31C0000}"/>
    <cellStyle name="Comma 4 3 4 9 2" xfId="21493" xr:uid="{00000000-0005-0000-0000-0000A41C0000}"/>
    <cellStyle name="Comma 4 3 4 9 2 2" xfId="38361" xr:uid="{29F993A1-87A0-4FAC-A4A6-2EA62CBF4A4A}"/>
    <cellStyle name="Comma 4 3 4 9 3" xfId="13058" xr:uid="{00000000-0005-0000-0000-0000A51C0000}"/>
    <cellStyle name="Comma 4 3 4 9 4" xfId="29927" xr:uid="{69C16D46-53B2-4195-BA39-45E6D867A414}"/>
    <cellStyle name="Comma 4 3 5" xfId="152" xr:uid="{00000000-0005-0000-0000-0000A61C0000}"/>
    <cellStyle name="Comma 4 3 5 10" xfId="17276" xr:uid="{00000000-0005-0000-0000-0000A71C0000}"/>
    <cellStyle name="Comma 4 3 5 10 2" xfId="34145" xr:uid="{90A190CE-8EBB-4958-878A-58BB2EF9EF44}"/>
    <cellStyle name="Comma 4 3 5 11" xfId="8841" xr:uid="{00000000-0005-0000-0000-0000A81C0000}"/>
    <cellStyle name="Comma 4 3 5 12" xfId="25711" xr:uid="{BF01308B-4EF4-4FB3-A43E-7D0A176ACBD9}"/>
    <cellStyle name="Comma 4 3 5 2" xfId="689" xr:uid="{00000000-0005-0000-0000-0000A91C0000}"/>
    <cellStyle name="Comma 4 3 5 2 2" xfId="2960" xr:uid="{00000000-0005-0000-0000-0000AA1C0000}"/>
    <cellStyle name="Comma 4 3 5 2 2 2" xfId="7183" xr:uid="{00000000-0005-0000-0000-0000AB1C0000}"/>
    <cellStyle name="Comma 4 3 5 2 2 2 2" xfId="24053" xr:uid="{00000000-0005-0000-0000-0000AC1C0000}"/>
    <cellStyle name="Comma 4 3 5 2 2 2 2 2" xfId="40921" xr:uid="{08E976D4-DCAC-43C2-82FE-109C8C2695D0}"/>
    <cellStyle name="Comma 4 3 5 2 2 2 3" xfId="15618" xr:uid="{00000000-0005-0000-0000-0000AD1C0000}"/>
    <cellStyle name="Comma 4 3 5 2 2 2 4" xfId="32487" xr:uid="{3C024970-5300-4225-A85A-E2C533159E66}"/>
    <cellStyle name="Comma 4 3 5 2 2 3" xfId="19835" xr:uid="{00000000-0005-0000-0000-0000AE1C0000}"/>
    <cellStyle name="Comma 4 3 5 2 2 3 2" xfId="36704" xr:uid="{A86ECD90-CB6B-41C3-A945-4158AB3364C9}"/>
    <cellStyle name="Comma 4 3 5 2 2 4" xfId="11400" xr:uid="{00000000-0005-0000-0000-0000AF1C0000}"/>
    <cellStyle name="Comma 4 3 5 2 2 5" xfId="28270" xr:uid="{9EF6BAC9-F311-406F-B2E8-00DFABCA28A9}"/>
    <cellStyle name="Comma 4 3 5 2 3" xfId="5038" xr:uid="{00000000-0005-0000-0000-0000B01C0000}"/>
    <cellStyle name="Comma 4 3 5 2 3 2" xfId="21908" xr:uid="{00000000-0005-0000-0000-0000B11C0000}"/>
    <cellStyle name="Comma 4 3 5 2 3 2 2" xfId="38776" xr:uid="{074CEDAB-4BE6-4B0C-9A51-AEF0330E8214}"/>
    <cellStyle name="Comma 4 3 5 2 3 3" xfId="13473" xr:uid="{00000000-0005-0000-0000-0000B21C0000}"/>
    <cellStyle name="Comma 4 3 5 2 3 4" xfId="30342" xr:uid="{0D32CB3D-2566-49F0-A5EE-4ADBC5843DED}"/>
    <cellStyle name="Comma 4 3 5 2 4" xfId="17690" xr:uid="{00000000-0005-0000-0000-0000B31C0000}"/>
    <cellStyle name="Comma 4 3 5 2 4 2" xfId="34559" xr:uid="{035328A6-025E-4A0B-800B-A6962CA2A729}"/>
    <cellStyle name="Comma 4 3 5 2 5" xfId="9255" xr:uid="{00000000-0005-0000-0000-0000B41C0000}"/>
    <cellStyle name="Comma 4 3 5 2 6" xfId="26125" xr:uid="{1948416F-F523-4DDF-BB10-40C413AE0899}"/>
    <cellStyle name="Comma 4 3 5 3" xfId="1142" xr:uid="{00000000-0005-0000-0000-0000B51C0000}"/>
    <cellStyle name="Comma 4 3 5 3 2" xfId="3373" xr:uid="{00000000-0005-0000-0000-0000B61C0000}"/>
    <cellStyle name="Comma 4 3 5 3 2 2" xfId="7596" xr:uid="{00000000-0005-0000-0000-0000B71C0000}"/>
    <cellStyle name="Comma 4 3 5 3 2 2 2" xfId="24466" xr:uid="{00000000-0005-0000-0000-0000B81C0000}"/>
    <cellStyle name="Comma 4 3 5 3 2 2 2 2" xfId="41334" xr:uid="{CB2A1864-14DF-48B5-81C5-AC4EDA1019B7}"/>
    <cellStyle name="Comma 4 3 5 3 2 2 3" xfId="16031" xr:uid="{00000000-0005-0000-0000-0000B91C0000}"/>
    <cellStyle name="Comma 4 3 5 3 2 2 4" xfId="32900" xr:uid="{124CF5BA-12D0-42B8-861D-208B9F0BB0F7}"/>
    <cellStyle name="Comma 4 3 5 3 2 3" xfId="20248" xr:uid="{00000000-0005-0000-0000-0000BA1C0000}"/>
    <cellStyle name="Comma 4 3 5 3 2 3 2" xfId="37117" xr:uid="{EB0F9FBD-509E-41CD-9441-35E2CBBE5BE5}"/>
    <cellStyle name="Comma 4 3 5 3 2 4" xfId="11813" xr:uid="{00000000-0005-0000-0000-0000BB1C0000}"/>
    <cellStyle name="Comma 4 3 5 3 2 5" xfId="28683" xr:uid="{87DA0D80-B819-4EC6-BEB6-36774D07C782}"/>
    <cellStyle name="Comma 4 3 5 3 3" xfId="5451" xr:uid="{00000000-0005-0000-0000-0000BC1C0000}"/>
    <cellStyle name="Comma 4 3 5 3 3 2" xfId="22321" xr:uid="{00000000-0005-0000-0000-0000BD1C0000}"/>
    <cellStyle name="Comma 4 3 5 3 3 2 2" xfId="39189" xr:uid="{CBAE9B04-6647-4579-91DD-5A4BC1D87F8D}"/>
    <cellStyle name="Comma 4 3 5 3 3 3" xfId="13886" xr:uid="{00000000-0005-0000-0000-0000BE1C0000}"/>
    <cellStyle name="Comma 4 3 5 3 3 4" xfId="30755" xr:uid="{0D7CCE9F-8E94-4D3B-BF70-DE9978EC3185}"/>
    <cellStyle name="Comma 4 3 5 3 4" xfId="18103" xr:uid="{00000000-0005-0000-0000-0000BF1C0000}"/>
    <cellStyle name="Comma 4 3 5 3 4 2" xfId="34972" xr:uid="{963DC7E6-E5B3-46AF-8C8A-093CC4402347}"/>
    <cellStyle name="Comma 4 3 5 3 5" xfId="9668" xr:uid="{00000000-0005-0000-0000-0000C01C0000}"/>
    <cellStyle name="Comma 4 3 5 3 6" xfId="26538" xr:uid="{24031818-E48D-4C74-9827-4C67E5572510}"/>
    <cellStyle name="Comma 4 3 5 4" xfId="1556" xr:uid="{00000000-0005-0000-0000-0000C11C0000}"/>
    <cellStyle name="Comma 4 3 5 4 2" xfId="3786" xr:uid="{00000000-0005-0000-0000-0000C21C0000}"/>
    <cellStyle name="Comma 4 3 5 4 2 2" xfId="8009" xr:uid="{00000000-0005-0000-0000-0000C31C0000}"/>
    <cellStyle name="Comma 4 3 5 4 2 2 2" xfId="24879" xr:uid="{00000000-0005-0000-0000-0000C41C0000}"/>
    <cellStyle name="Comma 4 3 5 4 2 2 2 2" xfId="41747" xr:uid="{3D1FE015-8991-494F-A940-E53EB94A9400}"/>
    <cellStyle name="Comma 4 3 5 4 2 2 3" xfId="16444" xr:uid="{00000000-0005-0000-0000-0000C51C0000}"/>
    <cellStyle name="Comma 4 3 5 4 2 2 4" xfId="33313" xr:uid="{86E0C523-4705-4C7F-98E0-A2CCD5F6BF20}"/>
    <cellStyle name="Comma 4 3 5 4 2 3" xfId="20661" xr:uid="{00000000-0005-0000-0000-0000C61C0000}"/>
    <cellStyle name="Comma 4 3 5 4 2 3 2" xfId="37530" xr:uid="{B8520B33-4C30-43C5-8030-750512C295E1}"/>
    <cellStyle name="Comma 4 3 5 4 2 4" xfId="12226" xr:uid="{00000000-0005-0000-0000-0000C71C0000}"/>
    <cellStyle name="Comma 4 3 5 4 2 5" xfId="29096" xr:uid="{743C91A9-C2EF-45B2-BF6B-8BC65EBB5D60}"/>
    <cellStyle name="Comma 4 3 5 4 3" xfId="5864" xr:uid="{00000000-0005-0000-0000-0000C81C0000}"/>
    <cellStyle name="Comma 4 3 5 4 3 2" xfId="22734" xr:uid="{00000000-0005-0000-0000-0000C91C0000}"/>
    <cellStyle name="Comma 4 3 5 4 3 2 2" xfId="39602" xr:uid="{1DB9E2B2-D4F5-444B-9760-173EA5A22CCA}"/>
    <cellStyle name="Comma 4 3 5 4 3 3" xfId="14299" xr:uid="{00000000-0005-0000-0000-0000CA1C0000}"/>
    <cellStyle name="Comma 4 3 5 4 3 4" xfId="31168" xr:uid="{98688193-F97C-489F-8278-918AEE8CA317}"/>
    <cellStyle name="Comma 4 3 5 4 4" xfId="18516" xr:uid="{00000000-0005-0000-0000-0000CB1C0000}"/>
    <cellStyle name="Comma 4 3 5 4 4 2" xfId="35385" xr:uid="{6AF1C6AF-6213-41AA-B24C-C20EA95DCECB}"/>
    <cellStyle name="Comma 4 3 5 4 5" xfId="10081" xr:uid="{00000000-0005-0000-0000-0000CC1C0000}"/>
    <cellStyle name="Comma 4 3 5 4 6" xfId="26951" xr:uid="{DB24C63D-3070-4A03-98AA-2E0F8B63FFAF}"/>
    <cellStyle name="Comma 4 3 5 5" xfId="1970" xr:uid="{00000000-0005-0000-0000-0000CD1C0000}"/>
    <cellStyle name="Comma 4 3 5 5 2" xfId="4199" xr:uid="{00000000-0005-0000-0000-0000CE1C0000}"/>
    <cellStyle name="Comma 4 3 5 5 2 2" xfId="8422" xr:uid="{00000000-0005-0000-0000-0000CF1C0000}"/>
    <cellStyle name="Comma 4 3 5 5 2 2 2" xfId="25292" xr:uid="{00000000-0005-0000-0000-0000D01C0000}"/>
    <cellStyle name="Comma 4 3 5 5 2 2 2 2" xfId="42160" xr:uid="{5335E6F7-DF21-4177-B99A-4E1814FE4B55}"/>
    <cellStyle name="Comma 4 3 5 5 2 2 3" xfId="16857" xr:uid="{00000000-0005-0000-0000-0000D11C0000}"/>
    <cellStyle name="Comma 4 3 5 5 2 2 4" xfId="33726" xr:uid="{7EF4EB84-F673-477E-A561-8E7C2B66D3E3}"/>
    <cellStyle name="Comma 4 3 5 5 2 3" xfId="21074" xr:uid="{00000000-0005-0000-0000-0000D21C0000}"/>
    <cellStyle name="Comma 4 3 5 5 2 3 2" xfId="37943" xr:uid="{D9CA6475-F2C8-4688-9476-5D7DABBEFD27}"/>
    <cellStyle name="Comma 4 3 5 5 2 4" xfId="12639" xr:uid="{00000000-0005-0000-0000-0000D31C0000}"/>
    <cellStyle name="Comma 4 3 5 5 2 5" xfId="29509" xr:uid="{42421B86-BE85-4DB4-B648-E3D50EA40F72}"/>
    <cellStyle name="Comma 4 3 5 5 3" xfId="6277" xr:uid="{00000000-0005-0000-0000-0000D41C0000}"/>
    <cellStyle name="Comma 4 3 5 5 3 2" xfId="23147" xr:uid="{00000000-0005-0000-0000-0000D51C0000}"/>
    <cellStyle name="Comma 4 3 5 5 3 2 2" xfId="40015" xr:uid="{042C3B51-AAEC-4BF7-99A2-48CB02BCC836}"/>
    <cellStyle name="Comma 4 3 5 5 3 3" xfId="14712" xr:uid="{00000000-0005-0000-0000-0000D61C0000}"/>
    <cellStyle name="Comma 4 3 5 5 3 4" xfId="31581" xr:uid="{845A5DD0-8F0A-48A5-BF51-72EB86394F23}"/>
    <cellStyle name="Comma 4 3 5 5 4" xfId="18929" xr:uid="{00000000-0005-0000-0000-0000D71C0000}"/>
    <cellStyle name="Comma 4 3 5 5 4 2" xfId="35798" xr:uid="{85F09CE5-9266-4886-B7A2-A3500943CFA9}"/>
    <cellStyle name="Comma 4 3 5 5 5" xfId="10494" xr:uid="{00000000-0005-0000-0000-0000D81C0000}"/>
    <cellStyle name="Comma 4 3 5 5 6" xfId="27364" xr:uid="{70432B93-1423-4593-B12E-29BAEDDA00AF}"/>
    <cellStyle name="Comma 4 3 5 6" xfId="2405" xr:uid="{00000000-0005-0000-0000-0000D91C0000}"/>
    <cellStyle name="Comma 4 3 5 6 2" xfId="6690" xr:uid="{00000000-0005-0000-0000-0000DA1C0000}"/>
    <cellStyle name="Comma 4 3 5 6 2 2" xfId="23560" xr:uid="{00000000-0005-0000-0000-0000DB1C0000}"/>
    <cellStyle name="Comma 4 3 5 6 2 2 2" xfId="40428" xr:uid="{3B950563-5AAB-4A56-A6A6-FCF2065FC3D4}"/>
    <cellStyle name="Comma 4 3 5 6 2 3" xfId="15125" xr:uid="{00000000-0005-0000-0000-0000DC1C0000}"/>
    <cellStyle name="Comma 4 3 5 6 2 4" xfId="31994" xr:uid="{9018028E-FB7D-4462-8F3E-1CE8E419D66F}"/>
    <cellStyle name="Comma 4 3 5 6 3" xfId="19342" xr:uid="{00000000-0005-0000-0000-0000DD1C0000}"/>
    <cellStyle name="Comma 4 3 5 6 3 2" xfId="36211" xr:uid="{2C1FB646-304E-41D9-88E3-92402050C373}"/>
    <cellStyle name="Comma 4 3 5 6 4" xfId="10907" xr:uid="{00000000-0005-0000-0000-0000DE1C0000}"/>
    <cellStyle name="Comma 4 3 5 6 5" xfId="27777" xr:uid="{370917A0-678B-4800-9A58-A851FCE6A05B}"/>
    <cellStyle name="Comma 4 3 5 7" xfId="2701" xr:uid="{00000000-0005-0000-0000-0000DF1C0000}"/>
    <cellStyle name="Comma 4 3 5 8" xfId="2783" xr:uid="{00000000-0005-0000-0000-0000E01C0000}"/>
    <cellStyle name="Comma 4 3 5 8 2" xfId="7007" xr:uid="{00000000-0005-0000-0000-0000E11C0000}"/>
    <cellStyle name="Comma 4 3 5 8 2 2" xfId="23877" xr:uid="{00000000-0005-0000-0000-0000E21C0000}"/>
    <cellStyle name="Comma 4 3 5 8 2 2 2" xfId="40745" xr:uid="{6D78834F-AFD5-42D9-B473-18D305FA715F}"/>
    <cellStyle name="Comma 4 3 5 8 2 3" xfId="15442" xr:uid="{00000000-0005-0000-0000-0000E31C0000}"/>
    <cellStyle name="Comma 4 3 5 8 2 4" xfId="32311" xr:uid="{D85F5AF3-EE59-417E-952A-94594FB7E876}"/>
    <cellStyle name="Comma 4 3 5 8 3" xfId="19659" xr:uid="{00000000-0005-0000-0000-0000E41C0000}"/>
    <cellStyle name="Comma 4 3 5 8 3 2" xfId="36528" xr:uid="{A54E1392-A561-4283-BB1B-1DCBB4822C7D}"/>
    <cellStyle name="Comma 4 3 5 8 4" xfId="11224" xr:uid="{00000000-0005-0000-0000-0000E51C0000}"/>
    <cellStyle name="Comma 4 3 5 8 5" xfId="28094" xr:uid="{C668CC26-9675-438A-8635-CF904A903BF3}"/>
    <cellStyle name="Comma 4 3 5 9" xfId="4624" xr:uid="{00000000-0005-0000-0000-0000E61C0000}"/>
    <cellStyle name="Comma 4 3 5 9 2" xfId="21494" xr:uid="{00000000-0005-0000-0000-0000E71C0000}"/>
    <cellStyle name="Comma 4 3 5 9 2 2" xfId="38362" xr:uid="{4C1C59C5-0C2D-4E09-BF19-54A8711E1E35}"/>
    <cellStyle name="Comma 4 3 5 9 3" xfId="13059" xr:uid="{00000000-0005-0000-0000-0000E81C0000}"/>
    <cellStyle name="Comma 4 3 5 9 4" xfId="29928" xr:uid="{637BBC9E-5F54-4A10-9BCE-2E10FBF41153}"/>
    <cellStyle name="Comma 4 4" xfId="153" xr:uid="{00000000-0005-0000-0000-0000E91C0000}"/>
    <cellStyle name="Comma 4 4 10" xfId="2784" xr:uid="{00000000-0005-0000-0000-0000EA1C0000}"/>
    <cellStyle name="Comma 4 4 10 2" xfId="7008" xr:uid="{00000000-0005-0000-0000-0000EB1C0000}"/>
    <cellStyle name="Comma 4 4 10 2 2" xfId="23878" xr:uid="{00000000-0005-0000-0000-0000EC1C0000}"/>
    <cellStyle name="Comma 4 4 10 2 2 2" xfId="40746" xr:uid="{2C7B864C-7776-4724-8C60-653E72033B24}"/>
    <cellStyle name="Comma 4 4 10 2 3" xfId="15443" xr:uid="{00000000-0005-0000-0000-0000ED1C0000}"/>
    <cellStyle name="Comma 4 4 10 2 4" xfId="32312" xr:uid="{499E5D92-1E24-42CF-BD90-AB911DB837B0}"/>
    <cellStyle name="Comma 4 4 10 3" xfId="19660" xr:uid="{00000000-0005-0000-0000-0000EE1C0000}"/>
    <cellStyle name="Comma 4 4 10 3 2" xfId="36529" xr:uid="{4B101A92-3235-474C-8ECF-41FFB4212D65}"/>
    <cellStyle name="Comma 4 4 10 4" xfId="11225" xr:uid="{00000000-0005-0000-0000-0000EF1C0000}"/>
    <cellStyle name="Comma 4 4 10 5" xfId="28095" xr:uid="{F7435244-98E8-462A-B6F8-C214FB3444F1}"/>
    <cellStyle name="Comma 4 4 11" xfId="4625" xr:uid="{00000000-0005-0000-0000-0000F01C0000}"/>
    <cellStyle name="Comma 4 4 11 2" xfId="21495" xr:uid="{00000000-0005-0000-0000-0000F11C0000}"/>
    <cellStyle name="Comma 4 4 11 2 2" xfId="38363" xr:uid="{25E43FE7-02D7-4B8F-9665-3DDB055FE907}"/>
    <cellStyle name="Comma 4 4 11 3" xfId="13060" xr:uid="{00000000-0005-0000-0000-0000F21C0000}"/>
    <cellStyle name="Comma 4 4 11 4" xfId="29929" xr:uid="{5C93849F-9545-40A7-A43D-0B10816968BA}"/>
    <cellStyle name="Comma 4 4 12" xfId="17277" xr:uid="{00000000-0005-0000-0000-0000F31C0000}"/>
    <cellStyle name="Comma 4 4 12 2" xfId="34146" xr:uid="{BDDD170F-BEDE-48DF-8E0C-46B938008BDB}"/>
    <cellStyle name="Comma 4 4 13" xfId="8842" xr:uid="{00000000-0005-0000-0000-0000F41C0000}"/>
    <cellStyle name="Comma 4 4 14" xfId="25712" xr:uid="{A49F2A00-4680-4C3B-A9B3-4A32CE5DFDF0}"/>
    <cellStyle name="Comma 4 4 2" xfId="154" xr:uid="{00000000-0005-0000-0000-0000F51C0000}"/>
    <cellStyle name="Comma 4 4 2 10" xfId="4626" xr:uid="{00000000-0005-0000-0000-0000F61C0000}"/>
    <cellStyle name="Comma 4 4 2 10 2" xfId="21496" xr:uid="{00000000-0005-0000-0000-0000F71C0000}"/>
    <cellStyle name="Comma 4 4 2 10 2 2" xfId="38364" xr:uid="{16996E6C-F3D7-4BCF-9696-B72469DBB768}"/>
    <cellStyle name="Comma 4 4 2 10 3" xfId="13061" xr:uid="{00000000-0005-0000-0000-0000F81C0000}"/>
    <cellStyle name="Comma 4 4 2 10 4" xfId="29930" xr:uid="{68527133-5C4F-4D29-85A5-5894D7F58927}"/>
    <cellStyle name="Comma 4 4 2 11" xfId="17278" xr:uid="{00000000-0005-0000-0000-0000F91C0000}"/>
    <cellStyle name="Comma 4 4 2 11 2" xfId="34147" xr:uid="{E42ECDB0-84C7-4F6E-B3A1-01B4B27AED06}"/>
    <cellStyle name="Comma 4 4 2 12" xfId="8843" xr:uid="{00000000-0005-0000-0000-0000FA1C0000}"/>
    <cellStyle name="Comma 4 4 2 13" xfId="25713" xr:uid="{013CC3E9-88D2-476B-B563-BAB69104171D}"/>
    <cellStyle name="Comma 4 4 2 2" xfId="155" xr:uid="{00000000-0005-0000-0000-0000FB1C0000}"/>
    <cellStyle name="Comma 4 4 2 2 10" xfId="17279" xr:uid="{00000000-0005-0000-0000-0000FC1C0000}"/>
    <cellStyle name="Comma 4 4 2 2 10 2" xfId="34148" xr:uid="{4E9B01E5-681A-4ABF-9E6E-068C5F65FA62}"/>
    <cellStyle name="Comma 4 4 2 2 11" xfId="8844" xr:uid="{00000000-0005-0000-0000-0000FD1C0000}"/>
    <cellStyle name="Comma 4 4 2 2 12" xfId="25714" xr:uid="{BE617F0C-9674-4C8A-A14C-1E45923DB55C}"/>
    <cellStyle name="Comma 4 4 2 2 2" xfId="692" xr:uid="{00000000-0005-0000-0000-0000FE1C0000}"/>
    <cellStyle name="Comma 4 4 2 2 2 2" xfId="2963" xr:uid="{00000000-0005-0000-0000-0000FF1C0000}"/>
    <cellStyle name="Comma 4 4 2 2 2 2 2" xfId="7186" xr:uid="{00000000-0005-0000-0000-0000001D0000}"/>
    <cellStyle name="Comma 4 4 2 2 2 2 2 2" xfId="24056" xr:uid="{00000000-0005-0000-0000-0000011D0000}"/>
    <cellStyle name="Comma 4 4 2 2 2 2 2 2 2" xfId="40924" xr:uid="{6ACC769A-164E-46F7-B79B-2246C0D5FF1B}"/>
    <cellStyle name="Comma 4 4 2 2 2 2 2 3" xfId="15621" xr:uid="{00000000-0005-0000-0000-0000021D0000}"/>
    <cellStyle name="Comma 4 4 2 2 2 2 2 4" xfId="32490" xr:uid="{DC71F715-172E-4B74-8A89-19C80CED3FFF}"/>
    <cellStyle name="Comma 4 4 2 2 2 2 3" xfId="19838" xr:uid="{00000000-0005-0000-0000-0000031D0000}"/>
    <cellStyle name="Comma 4 4 2 2 2 2 3 2" xfId="36707" xr:uid="{F75B5C32-7A51-4B2B-BD88-500B4E13D292}"/>
    <cellStyle name="Comma 4 4 2 2 2 2 4" xfId="11403" xr:uid="{00000000-0005-0000-0000-0000041D0000}"/>
    <cellStyle name="Comma 4 4 2 2 2 2 5" xfId="28273" xr:uid="{E6E00411-685E-4787-8AEA-81C2AD3E02FA}"/>
    <cellStyle name="Comma 4 4 2 2 2 3" xfId="5041" xr:uid="{00000000-0005-0000-0000-0000051D0000}"/>
    <cellStyle name="Comma 4 4 2 2 2 3 2" xfId="21911" xr:uid="{00000000-0005-0000-0000-0000061D0000}"/>
    <cellStyle name="Comma 4 4 2 2 2 3 2 2" xfId="38779" xr:uid="{C65144B8-3FF5-45E4-B865-231BA880981F}"/>
    <cellStyle name="Comma 4 4 2 2 2 3 3" xfId="13476" xr:uid="{00000000-0005-0000-0000-0000071D0000}"/>
    <cellStyle name="Comma 4 4 2 2 2 3 4" xfId="30345" xr:uid="{FB6B9A37-369C-4008-BAE8-D641FFD80BD7}"/>
    <cellStyle name="Comma 4 4 2 2 2 4" xfId="17693" xr:uid="{00000000-0005-0000-0000-0000081D0000}"/>
    <cellStyle name="Comma 4 4 2 2 2 4 2" xfId="34562" xr:uid="{CE83DD72-0A71-481C-A495-10E54D431A35}"/>
    <cellStyle name="Comma 4 4 2 2 2 5" xfId="9258" xr:uid="{00000000-0005-0000-0000-0000091D0000}"/>
    <cellStyle name="Comma 4 4 2 2 2 6" xfId="26128" xr:uid="{AB4A225A-E219-4C18-805B-2F9C14FF177F}"/>
    <cellStyle name="Comma 4 4 2 2 3" xfId="1145" xr:uid="{00000000-0005-0000-0000-00000A1D0000}"/>
    <cellStyle name="Comma 4 4 2 2 3 2" xfId="3376" xr:uid="{00000000-0005-0000-0000-00000B1D0000}"/>
    <cellStyle name="Comma 4 4 2 2 3 2 2" xfId="7599" xr:uid="{00000000-0005-0000-0000-00000C1D0000}"/>
    <cellStyle name="Comma 4 4 2 2 3 2 2 2" xfId="24469" xr:uid="{00000000-0005-0000-0000-00000D1D0000}"/>
    <cellStyle name="Comma 4 4 2 2 3 2 2 2 2" xfId="41337" xr:uid="{B5232D8F-1408-4203-BD87-FEA77E462FF5}"/>
    <cellStyle name="Comma 4 4 2 2 3 2 2 3" xfId="16034" xr:uid="{00000000-0005-0000-0000-00000E1D0000}"/>
    <cellStyle name="Comma 4 4 2 2 3 2 2 4" xfId="32903" xr:uid="{9B5235BC-B40D-4BF5-A8E5-E6F5AF2FDE2C}"/>
    <cellStyle name="Comma 4 4 2 2 3 2 3" xfId="20251" xr:uid="{00000000-0005-0000-0000-00000F1D0000}"/>
    <cellStyle name="Comma 4 4 2 2 3 2 3 2" xfId="37120" xr:uid="{BC27B1BC-6052-4CC3-8411-E4F55F025906}"/>
    <cellStyle name="Comma 4 4 2 2 3 2 4" xfId="11816" xr:uid="{00000000-0005-0000-0000-0000101D0000}"/>
    <cellStyle name="Comma 4 4 2 2 3 2 5" xfId="28686" xr:uid="{F2775CD2-B51D-46C5-9840-388C3FFEA02E}"/>
    <cellStyle name="Comma 4 4 2 2 3 3" xfId="5454" xr:uid="{00000000-0005-0000-0000-0000111D0000}"/>
    <cellStyle name="Comma 4 4 2 2 3 3 2" xfId="22324" xr:uid="{00000000-0005-0000-0000-0000121D0000}"/>
    <cellStyle name="Comma 4 4 2 2 3 3 2 2" xfId="39192" xr:uid="{35A92EF9-CD18-4C2A-8330-FBA9737A428D}"/>
    <cellStyle name="Comma 4 4 2 2 3 3 3" xfId="13889" xr:uid="{00000000-0005-0000-0000-0000131D0000}"/>
    <cellStyle name="Comma 4 4 2 2 3 3 4" xfId="30758" xr:uid="{28B1D158-43D7-4077-8E5C-663004353DD8}"/>
    <cellStyle name="Comma 4 4 2 2 3 4" xfId="18106" xr:uid="{00000000-0005-0000-0000-0000141D0000}"/>
    <cellStyle name="Comma 4 4 2 2 3 4 2" xfId="34975" xr:uid="{FF1828DC-602F-4557-BCC9-8106B767EE22}"/>
    <cellStyle name="Comma 4 4 2 2 3 5" xfId="9671" xr:uid="{00000000-0005-0000-0000-0000151D0000}"/>
    <cellStyle name="Comma 4 4 2 2 3 6" xfId="26541" xr:uid="{441D84D1-1968-4928-BE28-41FE2708E79D}"/>
    <cellStyle name="Comma 4 4 2 2 4" xfId="1559" xr:uid="{00000000-0005-0000-0000-0000161D0000}"/>
    <cellStyle name="Comma 4 4 2 2 4 2" xfId="3789" xr:uid="{00000000-0005-0000-0000-0000171D0000}"/>
    <cellStyle name="Comma 4 4 2 2 4 2 2" xfId="8012" xr:uid="{00000000-0005-0000-0000-0000181D0000}"/>
    <cellStyle name="Comma 4 4 2 2 4 2 2 2" xfId="24882" xr:uid="{00000000-0005-0000-0000-0000191D0000}"/>
    <cellStyle name="Comma 4 4 2 2 4 2 2 2 2" xfId="41750" xr:uid="{58E2BCA9-C00A-47CB-8D4D-3E331DDFAFE4}"/>
    <cellStyle name="Comma 4 4 2 2 4 2 2 3" xfId="16447" xr:uid="{00000000-0005-0000-0000-00001A1D0000}"/>
    <cellStyle name="Comma 4 4 2 2 4 2 2 4" xfId="33316" xr:uid="{48473793-27E3-41F8-AAAD-CC2D8DE46CD9}"/>
    <cellStyle name="Comma 4 4 2 2 4 2 3" xfId="20664" xr:uid="{00000000-0005-0000-0000-00001B1D0000}"/>
    <cellStyle name="Comma 4 4 2 2 4 2 3 2" xfId="37533" xr:uid="{C12E7BA1-4C7F-4357-B750-772CA20CB567}"/>
    <cellStyle name="Comma 4 4 2 2 4 2 4" xfId="12229" xr:uid="{00000000-0005-0000-0000-00001C1D0000}"/>
    <cellStyle name="Comma 4 4 2 2 4 2 5" xfId="29099" xr:uid="{5CE5E078-7119-4FB5-B13A-B224A011E580}"/>
    <cellStyle name="Comma 4 4 2 2 4 3" xfId="5867" xr:uid="{00000000-0005-0000-0000-00001D1D0000}"/>
    <cellStyle name="Comma 4 4 2 2 4 3 2" xfId="22737" xr:uid="{00000000-0005-0000-0000-00001E1D0000}"/>
    <cellStyle name="Comma 4 4 2 2 4 3 2 2" xfId="39605" xr:uid="{8626C41B-64BE-4414-9417-CD37C2C525E6}"/>
    <cellStyle name="Comma 4 4 2 2 4 3 3" xfId="14302" xr:uid="{00000000-0005-0000-0000-00001F1D0000}"/>
    <cellStyle name="Comma 4 4 2 2 4 3 4" xfId="31171" xr:uid="{3EA07C37-AF7A-4CFD-9202-2827A87A2C5A}"/>
    <cellStyle name="Comma 4 4 2 2 4 4" xfId="18519" xr:uid="{00000000-0005-0000-0000-0000201D0000}"/>
    <cellStyle name="Comma 4 4 2 2 4 4 2" xfId="35388" xr:uid="{A4E95C59-4BF1-4F31-908A-15B29C3CC4AC}"/>
    <cellStyle name="Comma 4 4 2 2 4 5" xfId="10084" xr:uid="{00000000-0005-0000-0000-0000211D0000}"/>
    <cellStyle name="Comma 4 4 2 2 4 6" xfId="26954" xr:uid="{29857E3E-DB60-458C-92D6-7BEF11C91E8E}"/>
    <cellStyle name="Comma 4 4 2 2 5" xfId="1973" xr:uid="{00000000-0005-0000-0000-0000221D0000}"/>
    <cellStyle name="Comma 4 4 2 2 5 2" xfId="4202" xr:uid="{00000000-0005-0000-0000-0000231D0000}"/>
    <cellStyle name="Comma 4 4 2 2 5 2 2" xfId="8425" xr:uid="{00000000-0005-0000-0000-0000241D0000}"/>
    <cellStyle name="Comma 4 4 2 2 5 2 2 2" xfId="25295" xr:uid="{00000000-0005-0000-0000-0000251D0000}"/>
    <cellStyle name="Comma 4 4 2 2 5 2 2 2 2" xfId="42163" xr:uid="{CFDB6176-DA16-4520-84A0-93508A473910}"/>
    <cellStyle name="Comma 4 4 2 2 5 2 2 3" xfId="16860" xr:uid="{00000000-0005-0000-0000-0000261D0000}"/>
    <cellStyle name="Comma 4 4 2 2 5 2 2 4" xfId="33729" xr:uid="{53A4D458-5672-4C3F-A6DE-4050B8FD3E7C}"/>
    <cellStyle name="Comma 4 4 2 2 5 2 3" xfId="21077" xr:uid="{00000000-0005-0000-0000-0000271D0000}"/>
    <cellStyle name="Comma 4 4 2 2 5 2 3 2" xfId="37946" xr:uid="{76445D3C-9072-4B66-AB13-12151F37A547}"/>
    <cellStyle name="Comma 4 4 2 2 5 2 4" xfId="12642" xr:uid="{00000000-0005-0000-0000-0000281D0000}"/>
    <cellStyle name="Comma 4 4 2 2 5 2 5" xfId="29512" xr:uid="{915FE36F-327F-4155-AB38-156444CF5F44}"/>
    <cellStyle name="Comma 4 4 2 2 5 3" xfId="6280" xr:uid="{00000000-0005-0000-0000-0000291D0000}"/>
    <cellStyle name="Comma 4 4 2 2 5 3 2" xfId="23150" xr:uid="{00000000-0005-0000-0000-00002A1D0000}"/>
    <cellStyle name="Comma 4 4 2 2 5 3 2 2" xfId="40018" xr:uid="{63E5F0DD-9290-4970-A9E3-EDF67B604C78}"/>
    <cellStyle name="Comma 4 4 2 2 5 3 3" xfId="14715" xr:uid="{00000000-0005-0000-0000-00002B1D0000}"/>
    <cellStyle name="Comma 4 4 2 2 5 3 4" xfId="31584" xr:uid="{5A507A18-09D9-4C4A-A3F3-61725B2F7D11}"/>
    <cellStyle name="Comma 4 4 2 2 5 4" xfId="18932" xr:uid="{00000000-0005-0000-0000-00002C1D0000}"/>
    <cellStyle name="Comma 4 4 2 2 5 4 2" xfId="35801" xr:uid="{367C9D91-F24B-4A5B-8CD8-87AC8E3AF06A}"/>
    <cellStyle name="Comma 4 4 2 2 5 5" xfId="10497" xr:uid="{00000000-0005-0000-0000-00002D1D0000}"/>
    <cellStyle name="Comma 4 4 2 2 5 6" xfId="27367" xr:uid="{C391D305-B210-4BDC-9381-E82A54DF1826}"/>
    <cellStyle name="Comma 4 4 2 2 6" xfId="2408" xr:uid="{00000000-0005-0000-0000-00002E1D0000}"/>
    <cellStyle name="Comma 4 4 2 2 6 2" xfId="6693" xr:uid="{00000000-0005-0000-0000-00002F1D0000}"/>
    <cellStyle name="Comma 4 4 2 2 6 2 2" xfId="23563" xr:uid="{00000000-0005-0000-0000-0000301D0000}"/>
    <cellStyle name="Comma 4 4 2 2 6 2 2 2" xfId="40431" xr:uid="{21E12299-984B-47B3-9A96-916B57D033A8}"/>
    <cellStyle name="Comma 4 4 2 2 6 2 3" xfId="15128" xr:uid="{00000000-0005-0000-0000-0000311D0000}"/>
    <cellStyle name="Comma 4 4 2 2 6 2 4" xfId="31997" xr:uid="{BCD85666-450C-40B5-A41E-0B9A29F02426}"/>
    <cellStyle name="Comma 4 4 2 2 6 3" xfId="19345" xr:uid="{00000000-0005-0000-0000-0000321D0000}"/>
    <cellStyle name="Comma 4 4 2 2 6 3 2" xfId="36214" xr:uid="{CFF48AF7-1694-44DE-9BCD-C9DCAA54E4C9}"/>
    <cellStyle name="Comma 4 4 2 2 6 4" xfId="10910" xr:uid="{00000000-0005-0000-0000-0000331D0000}"/>
    <cellStyle name="Comma 4 4 2 2 6 5" xfId="27780" xr:uid="{A386A675-4350-4004-ABFC-D2E826F42DF7}"/>
    <cellStyle name="Comma 4 4 2 2 7" xfId="2704" xr:uid="{00000000-0005-0000-0000-0000341D0000}"/>
    <cellStyle name="Comma 4 4 2 2 8" xfId="2786" xr:uid="{00000000-0005-0000-0000-0000351D0000}"/>
    <cellStyle name="Comma 4 4 2 2 8 2" xfId="7010" xr:uid="{00000000-0005-0000-0000-0000361D0000}"/>
    <cellStyle name="Comma 4 4 2 2 8 2 2" xfId="23880" xr:uid="{00000000-0005-0000-0000-0000371D0000}"/>
    <cellStyle name="Comma 4 4 2 2 8 2 2 2" xfId="40748" xr:uid="{587F4490-3F73-4D3C-94D4-75F285D0EE59}"/>
    <cellStyle name="Comma 4 4 2 2 8 2 3" xfId="15445" xr:uid="{00000000-0005-0000-0000-0000381D0000}"/>
    <cellStyle name="Comma 4 4 2 2 8 2 4" xfId="32314" xr:uid="{47E6EC02-8879-456E-AC7E-B22810B4FC75}"/>
    <cellStyle name="Comma 4 4 2 2 8 3" xfId="19662" xr:uid="{00000000-0005-0000-0000-0000391D0000}"/>
    <cellStyle name="Comma 4 4 2 2 8 3 2" xfId="36531" xr:uid="{434C0310-947B-4FF4-BED6-903F8508A5CA}"/>
    <cellStyle name="Comma 4 4 2 2 8 4" xfId="11227" xr:uid="{00000000-0005-0000-0000-00003A1D0000}"/>
    <cellStyle name="Comma 4 4 2 2 8 5" xfId="28097" xr:uid="{1CE32F5D-F8F7-41B8-B326-33702AD6537A}"/>
    <cellStyle name="Comma 4 4 2 2 9" xfId="4627" xr:uid="{00000000-0005-0000-0000-00003B1D0000}"/>
    <cellStyle name="Comma 4 4 2 2 9 2" xfId="21497" xr:uid="{00000000-0005-0000-0000-00003C1D0000}"/>
    <cellStyle name="Comma 4 4 2 2 9 2 2" xfId="38365" xr:uid="{3435B035-48A7-4830-8DE2-E30BAD82072D}"/>
    <cellStyle name="Comma 4 4 2 2 9 3" xfId="13062" xr:uid="{00000000-0005-0000-0000-00003D1D0000}"/>
    <cellStyle name="Comma 4 4 2 2 9 4" xfId="29931" xr:uid="{0CCE424B-7858-4CCD-BCFF-22F0B9087EE6}"/>
    <cellStyle name="Comma 4 4 2 3" xfId="691" xr:uid="{00000000-0005-0000-0000-00003E1D0000}"/>
    <cellStyle name="Comma 4 4 2 3 2" xfId="2962" xr:uid="{00000000-0005-0000-0000-00003F1D0000}"/>
    <cellStyle name="Comma 4 4 2 3 2 2" xfId="7185" xr:uid="{00000000-0005-0000-0000-0000401D0000}"/>
    <cellStyle name="Comma 4 4 2 3 2 2 2" xfId="24055" xr:uid="{00000000-0005-0000-0000-0000411D0000}"/>
    <cellStyle name="Comma 4 4 2 3 2 2 2 2" xfId="40923" xr:uid="{B72C020D-DEDC-4F65-AD29-06E108E80AF8}"/>
    <cellStyle name="Comma 4 4 2 3 2 2 3" xfId="15620" xr:uid="{00000000-0005-0000-0000-0000421D0000}"/>
    <cellStyle name="Comma 4 4 2 3 2 2 4" xfId="32489" xr:uid="{F6F47F20-1023-4B78-925A-4DC06D6DAF93}"/>
    <cellStyle name="Comma 4 4 2 3 2 3" xfId="19837" xr:uid="{00000000-0005-0000-0000-0000431D0000}"/>
    <cellStyle name="Comma 4 4 2 3 2 3 2" xfId="36706" xr:uid="{5262A208-77E1-41FB-AA85-CD1FB711B4F4}"/>
    <cellStyle name="Comma 4 4 2 3 2 4" xfId="11402" xr:uid="{00000000-0005-0000-0000-0000441D0000}"/>
    <cellStyle name="Comma 4 4 2 3 2 5" xfId="28272" xr:uid="{0C5770EB-CA69-4FAD-A4E6-4F83A3E8DF9E}"/>
    <cellStyle name="Comma 4 4 2 3 3" xfId="5040" xr:uid="{00000000-0005-0000-0000-0000451D0000}"/>
    <cellStyle name="Comma 4 4 2 3 3 2" xfId="21910" xr:uid="{00000000-0005-0000-0000-0000461D0000}"/>
    <cellStyle name="Comma 4 4 2 3 3 2 2" xfId="38778" xr:uid="{94BAFA0A-8A3F-41D0-9CA0-A7AA899737AF}"/>
    <cellStyle name="Comma 4 4 2 3 3 3" xfId="13475" xr:uid="{00000000-0005-0000-0000-0000471D0000}"/>
    <cellStyle name="Comma 4 4 2 3 3 4" xfId="30344" xr:uid="{612F9DD3-F41F-4DD2-B75E-42BFE2BD3834}"/>
    <cellStyle name="Comma 4 4 2 3 4" xfId="17692" xr:uid="{00000000-0005-0000-0000-0000481D0000}"/>
    <cellStyle name="Comma 4 4 2 3 4 2" xfId="34561" xr:uid="{1E90CE97-DBA4-4C5A-BE71-1AAED1DDFA03}"/>
    <cellStyle name="Comma 4 4 2 3 5" xfId="9257" xr:uid="{00000000-0005-0000-0000-0000491D0000}"/>
    <cellStyle name="Comma 4 4 2 3 6" xfId="26127" xr:uid="{FC6A32B9-A536-4F9B-8F0E-D044089B801D}"/>
    <cellStyle name="Comma 4 4 2 4" xfId="1144" xr:uid="{00000000-0005-0000-0000-00004A1D0000}"/>
    <cellStyle name="Comma 4 4 2 4 2" xfId="3375" xr:uid="{00000000-0005-0000-0000-00004B1D0000}"/>
    <cellStyle name="Comma 4 4 2 4 2 2" xfId="7598" xr:uid="{00000000-0005-0000-0000-00004C1D0000}"/>
    <cellStyle name="Comma 4 4 2 4 2 2 2" xfId="24468" xr:uid="{00000000-0005-0000-0000-00004D1D0000}"/>
    <cellStyle name="Comma 4 4 2 4 2 2 2 2" xfId="41336" xr:uid="{6478B0D5-DFAA-42AD-8714-DFAF78FAC2C8}"/>
    <cellStyle name="Comma 4 4 2 4 2 2 3" xfId="16033" xr:uid="{00000000-0005-0000-0000-00004E1D0000}"/>
    <cellStyle name="Comma 4 4 2 4 2 2 4" xfId="32902" xr:uid="{57CCEFF5-EC5D-490A-B2AA-8848AB928B84}"/>
    <cellStyle name="Comma 4 4 2 4 2 3" xfId="20250" xr:uid="{00000000-0005-0000-0000-00004F1D0000}"/>
    <cellStyle name="Comma 4 4 2 4 2 3 2" xfId="37119" xr:uid="{71EC82E0-BF5E-4A39-A53E-D4370AE4D22E}"/>
    <cellStyle name="Comma 4 4 2 4 2 4" xfId="11815" xr:uid="{00000000-0005-0000-0000-0000501D0000}"/>
    <cellStyle name="Comma 4 4 2 4 2 5" xfId="28685" xr:uid="{D6BFCF65-AEF4-4232-AB39-4976AE2387D1}"/>
    <cellStyle name="Comma 4 4 2 4 3" xfId="5453" xr:uid="{00000000-0005-0000-0000-0000511D0000}"/>
    <cellStyle name="Comma 4 4 2 4 3 2" xfId="22323" xr:uid="{00000000-0005-0000-0000-0000521D0000}"/>
    <cellStyle name="Comma 4 4 2 4 3 2 2" xfId="39191" xr:uid="{0380931F-F184-4BD1-8992-A1390788339F}"/>
    <cellStyle name="Comma 4 4 2 4 3 3" xfId="13888" xr:uid="{00000000-0005-0000-0000-0000531D0000}"/>
    <cellStyle name="Comma 4 4 2 4 3 4" xfId="30757" xr:uid="{EBFBA981-0120-4676-BAA7-DDB3167EC6A7}"/>
    <cellStyle name="Comma 4 4 2 4 4" xfId="18105" xr:uid="{00000000-0005-0000-0000-0000541D0000}"/>
    <cellStyle name="Comma 4 4 2 4 4 2" xfId="34974" xr:uid="{CE344FF1-AF83-47B3-87C2-0070E0BD00F7}"/>
    <cellStyle name="Comma 4 4 2 4 5" xfId="9670" xr:uid="{00000000-0005-0000-0000-0000551D0000}"/>
    <cellStyle name="Comma 4 4 2 4 6" xfId="26540" xr:uid="{2818C41F-81BC-4078-A91B-472923B7471C}"/>
    <cellStyle name="Comma 4 4 2 5" xfId="1558" xr:uid="{00000000-0005-0000-0000-0000561D0000}"/>
    <cellStyle name="Comma 4 4 2 5 2" xfId="3788" xr:uid="{00000000-0005-0000-0000-0000571D0000}"/>
    <cellStyle name="Comma 4 4 2 5 2 2" xfId="8011" xr:uid="{00000000-0005-0000-0000-0000581D0000}"/>
    <cellStyle name="Comma 4 4 2 5 2 2 2" xfId="24881" xr:uid="{00000000-0005-0000-0000-0000591D0000}"/>
    <cellStyle name="Comma 4 4 2 5 2 2 2 2" xfId="41749" xr:uid="{0D9158DB-719E-456D-9867-005FEB3BE7B9}"/>
    <cellStyle name="Comma 4 4 2 5 2 2 3" xfId="16446" xr:uid="{00000000-0005-0000-0000-00005A1D0000}"/>
    <cellStyle name="Comma 4 4 2 5 2 2 4" xfId="33315" xr:uid="{C30BD55F-BB74-4C71-BA18-724319FCC86A}"/>
    <cellStyle name="Comma 4 4 2 5 2 3" xfId="20663" xr:uid="{00000000-0005-0000-0000-00005B1D0000}"/>
    <cellStyle name="Comma 4 4 2 5 2 3 2" xfId="37532" xr:uid="{BE80511D-D91F-4498-94A9-2FA3B1CF09F3}"/>
    <cellStyle name="Comma 4 4 2 5 2 4" xfId="12228" xr:uid="{00000000-0005-0000-0000-00005C1D0000}"/>
    <cellStyle name="Comma 4 4 2 5 2 5" xfId="29098" xr:uid="{978BD07F-5D6C-4202-B701-B65D59C47CD3}"/>
    <cellStyle name="Comma 4 4 2 5 3" xfId="5866" xr:uid="{00000000-0005-0000-0000-00005D1D0000}"/>
    <cellStyle name="Comma 4 4 2 5 3 2" xfId="22736" xr:uid="{00000000-0005-0000-0000-00005E1D0000}"/>
    <cellStyle name="Comma 4 4 2 5 3 2 2" xfId="39604" xr:uid="{EE8C51A7-0E0E-4D9C-8FBC-163B49CA11D5}"/>
    <cellStyle name="Comma 4 4 2 5 3 3" xfId="14301" xr:uid="{00000000-0005-0000-0000-00005F1D0000}"/>
    <cellStyle name="Comma 4 4 2 5 3 4" xfId="31170" xr:uid="{0BD435B0-54BD-4C46-94ED-811D760F830A}"/>
    <cellStyle name="Comma 4 4 2 5 4" xfId="18518" xr:uid="{00000000-0005-0000-0000-0000601D0000}"/>
    <cellStyle name="Comma 4 4 2 5 4 2" xfId="35387" xr:uid="{8B4FF3FC-C19A-4315-B3A4-20A2A87162F6}"/>
    <cellStyle name="Comma 4 4 2 5 5" xfId="10083" xr:uid="{00000000-0005-0000-0000-0000611D0000}"/>
    <cellStyle name="Comma 4 4 2 5 6" xfId="26953" xr:uid="{7BB0FE44-A8C2-463E-B8F9-3DA6CA7F46EB}"/>
    <cellStyle name="Comma 4 4 2 6" xfId="1972" xr:uid="{00000000-0005-0000-0000-0000621D0000}"/>
    <cellStyle name="Comma 4 4 2 6 2" xfId="4201" xr:uid="{00000000-0005-0000-0000-0000631D0000}"/>
    <cellStyle name="Comma 4 4 2 6 2 2" xfId="8424" xr:uid="{00000000-0005-0000-0000-0000641D0000}"/>
    <cellStyle name="Comma 4 4 2 6 2 2 2" xfId="25294" xr:uid="{00000000-0005-0000-0000-0000651D0000}"/>
    <cellStyle name="Comma 4 4 2 6 2 2 2 2" xfId="42162" xr:uid="{2070A7E7-0626-4529-874A-BB0D252FD07E}"/>
    <cellStyle name="Comma 4 4 2 6 2 2 3" xfId="16859" xr:uid="{00000000-0005-0000-0000-0000661D0000}"/>
    <cellStyle name="Comma 4 4 2 6 2 2 4" xfId="33728" xr:uid="{277AD453-CD36-41FE-8092-F1CA96BCF71A}"/>
    <cellStyle name="Comma 4 4 2 6 2 3" xfId="21076" xr:uid="{00000000-0005-0000-0000-0000671D0000}"/>
    <cellStyle name="Comma 4 4 2 6 2 3 2" xfId="37945" xr:uid="{C488EFA4-23D0-4702-ACA9-E15B2A9E3C0C}"/>
    <cellStyle name="Comma 4 4 2 6 2 4" xfId="12641" xr:uid="{00000000-0005-0000-0000-0000681D0000}"/>
    <cellStyle name="Comma 4 4 2 6 2 5" xfId="29511" xr:uid="{A6A63FB1-9616-4DCD-97A7-FD0321DC3F14}"/>
    <cellStyle name="Comma 4 4 2 6 3" xfId="6279" xr:uid="{00000000-0005-0000-0000-0000691D0000}"/>
    <cellStyle name="Comma 4 4 2 6 3 2" xfId="23149" xr:uid="{00000000-0005-0000-0000-00006A1D0000}"/>
    <cellStyle name="Comma 4 4 2 6 3 2 2" xfId="40017" xr:uid="{0E8CC9ED-B285-4F38-930F-9B60EE6DB7F7}"/>
    <cellStyle name="Comma 4 4 2 6 3 3" xfId="14714" xr:uid="{00000000-0005-0000-0000-00006B1D0000}"/>
    <cellStyle name="Comma 4 4 2 6 3 4" xfId="31583" xr:uid="{0316800A-5FDF-4954-A30A-DDB06970CEC7}"/>
    <cellStyle name="Comma 4 4 2 6 4" xfId="18931" xr:uid="{00000000-0005-0000-0000-00006C1D0000}"/>
    <cellStyle name="Comma 4 4 2 6 4 2" xfId="35800" xr:uid="{CDA4B409-58E8-4EEA-AA27-BF016D158E27}"/>
    <cellStyle name="Comma 4 4 2 6 5" xfId="10496" xr:uid="{00000000-0005-0000-0000-00006D1D0000}"/>
    <cellStyle name="Comma 4 4 2 6 6" xfId="27366" xr:uid="{66B82C31-29D7-48FA-A78E-25D6EB893044}"/>
    <cellStyle name="Comma 4 4 2 7" xfId="2407" xr:uid="{00000000-0005-0000-0000-00006E1D0000}"/>
    <cellStyle name="Comma 4 4 2 7 2" xfId="6692" xr:uid="{00000000-0005-0000-0000-00006F1D0000}"/>
    <cellStyle name="Comma 4 4 2 7 2 2" xfId="23562" xr:uid="{00000000-0005-0000-0000-0000701D0000}"/>
    <cellStyle name="Comma 4 4 2 7 2 2 2" xfId="40430" xr:uid="{DA0748C0-87C4-4301-8CF9-7B3492355BE8}"/>
    <cellStyle name="Comma 4 4 2 7 2 3" xfId="15127" xr:uid="{00000000-0005-0000-0000-0000711D0000}"/>
    <cellStyle name="Comma 4 4 2 7 2 4" xfId="31996" xr:uid="{4A4095F7-9EF9-4FDC-AAD0-C4B00A723284}"/>
    <cellStyle name="Comma 4 4 2 7 3" xfId="19344" xr:uid="{00000000-0005-0000-0000-0000721D0000}"/>
    <cellStyle name="Comma 4 4 2 7 3 2" xfId="36213" xr:uid="{689F5545-95D8-456B-8BCF-62A80AE93B6F}"/>
    <cellStyle name="Comma 4 4 2 7 4" xfId="10909" xr:uid="{00000000-0005-0000-0000-0000731D0000}"/>
    <cellStyle name="Comma 4 4 2 7 5" xfId="27779" xr:uid="{7E904308-4AD0-434C-B5B5-ECFA7B5C8F36}"/>
    <cellStyle name="Comma 4 4 2 8" xfId="2703" xr:uid="{00000000-0005-0000-0000-0000741D0000}"/>
    <cellStyle name="Comma 4 4 2 9" xfId="2785" xr:uid="{00000000-0005-0000-0000-0000751D0000}"/>
    <cellStyle name="Comma 4 4 2 9 2" xfId="7009" xr:uid="{00000000-0005-0000-0000-0000761D0000}"/>
    <cellStyle name="Comma 4 4 2 9 2 2" xfId="23879" xr:uid="{00000000-0005-0000-0000-0000771D0000}"/>
    <cellStyle name="Comma 4 4 2 9 2 2 2" xfId="40747" xr:uid="{8476B7CE-AB67-48CB-BE4E-348FDA16A231}"/>
    <cellStyle name="Comma 4 4 2 9 2 3" xfId="15444" xr:uid="{00000000-0005-0000-0000-0000781D0000}"/>
    <cellStyle name="Comma 4 4 2 9 2 4" xfId="32313" xr:uid="{632755CB-4AD2-4352-9DFE-B9839EDA56A1}"/>
    <cellStyle name="Comma 4 4 2 9 3" xfId="19661" xr:uid="{00000000-0005-0000-0000-0000791D0000}"/>
    <cellStyle name="Comma 4 4 2 9 3 2" xfId="36530" xr:uid="{368A05E9-904F-45B8-8976-9890F61FC211}"/>
    <cellStyle name="Comma 4 4 2 9 4" xfId="11226" xr:uid="{00000000-0005-0000-0000-00007A1D0000}"/>
    <cellStyle name="Comma 4 4 2 9 5" xfId="28096" xr:uid="{C3FB29E1-1725-4787-92DF-E8E1FF9E293F}"/>
    <cellStyle name="Comma 4 4 3" xfId="156" xr:uid="{00000000-0005-0000-0000-00007B1D0000}"/>
    <cellStyle name="Comma 4 4 3 10" xfId="17280" xr:uid="{00000000-0005-0000-0000-00007C1D0000}"/>
    <cellStyle name="Comma 4 4 3 10 2" xfId="34149" xr:uid="{A8294FBD-D3B0-4B66-AC2B-B701346AA82E}"/>
    <cellStyle name="Comma 4 4 3 11" xfId="8845" xr:uid="{00000000-0005-0000-0000-00007D1D0000}"/>
    <cellStyle name="Comma 4 4 3 12" xfId="25715" xr:uid="{8C355FD7-AFD3-4317-8B86-7C1DFC08F77A}"/>
    <cellStyle name="Comma 4 4 3 2" xfId="693" xr:uid="{00000000-0005-0000-0000-00007E1D0000}"/>
    <cellStyle name="Comma 4 4 3 2 2" xfId="2964" xr:uid="{00000000-0005-0000-0000-00007F1D0000}"/>
    <cellStyle name="Comma 4 4 3 2 2 2" xfId="7187" xr:uid="{00000000-0005-0000-0000-0000801D0000}"/>
    <cellStyle name="Comma 4 4 3 2 2 2 2" xfId="24057" xr:uid="{00000000-0005-0000-0000-0000811D0000}"/>
    <cellStyle name="Comma 4 4 3 2 2 2 2 2" xfId="40925" xr:uid="{BC6B236B-6322-400D-A8BB-C84047CCEA9B}"/>
    <cellStyle name="Comma 4 4 3 2 2 2 3" xfId="15622" xr:uid="{00000000-0005-0000-0000-0000821D0000}"/>
    <cellStyle name="Comma 4 4 3 2 2 2 4" xfId="32491" xr:uid="{76BBB0A5-FAA4-44AA-80E7-8B514786770B}"/>
    <cellStyle name="Comma 4 4 3 2 2 3" xfId="19839" xr:uid="{00000000-0005-0000-0000-0000831D0000}"/>
    <cellStyle name="Comma 4 4 3 2 2 3 2" xfId="36708" xr:uid="{0C80F043-8AAF-4FFE-9E87-41E7655E54C9}"/>
    <cellStyle name="Comma 4 4 3 2 2 4" xfId="11404" xr:uid="{00000000-0005-0000-0000-0000841D0000}"/>
    <cellStyle name="Comma 4 4 3 2 2 5" xfId="28274" xr:uid="{C939261D-E033-418E-873C-94ABD3BE6945}"/>
    <cellStyle name="Comma 4 4 3 2 3" xfId="5042" xr:uid="{00000000-0005-0000-0000-0000851D0000}"/>
    <cellStyle name="Comma 4 4 3 2 3 2" xfId="21912" xr:uid="{00000000-0005-0000-0000-0000861D0000}"/>
    <cellStyle name="Comma 4 4 3 2 3 2 2" xfId="38780" xr:uid="{6B9563A1-53C8-409D-8120-BDB76B1036C9}"/>
    <cellStyle name="Comma 4 4 3 2 3 3" xfId="13477" xr:uid="{00000000-0005-0000-0000-0000871D0000}"/>
    <cellStyle name="Comma 4 4 3 2 3 4" xfId="30346" xr:uid="{10799287-E695-4A11-A08A-423C542EA5F6}"/>
    <cellStyle name="Comma 4 4 3 2 4" xfId="17694" xr:uid="{00000000-0005-0000-0000-0000881D0000}"/>
    <cellStyle name="Comma 4 4 3 2 4 2" xfId="34563" xr:uid="{90540B7E-E442-45C5-81F3-3F06DA6AD5E4}"/>
    <cellStyle name="Comma 4 4 3 2 5" xfId="9259" xr:uid="{00000000-0005-0000-0000-0000891D0000}"/>
    <cellStyle name="Comma 4 4 3 2 6" xfId="26129" xr:uid="{E41E097C-22C2-4AE4-908E-C5DA36680F32}"/>
    <cellStyle name="Comma 4 4 3 3" xfId="1146" xr:uid="{00000000-0005-0000-0000-00008A1D0000}"/>
    <cellStyle name="Comma 4 4 3 3 2" xfId="3377" xr:uid="{00000000-0005-0000-0000-00008B1D0000}"/>
    <cellStyle name="Comma 4 4 3 3 2 2" xfId="7600" xr:uid="{00000000-0005-0000-0000-00008C1D0000}"/>
    <cellStyle name="Comma 4 4 3 3 2 2 2" xfId="24470" xr:uid="{00000000-0005-0000-0000-00008D1D0000}"/>
    <cellStyle name="Comma 4 4 3 3 2 2 2 2" xfId="41338" xr:uid="{342FEA04-A278-45AC-AEEF-F726AE185C8B}"/>
    <cellStyle name="Comma 4 4 3 3 2 2 3" xfId="16035" xr:uid="{00000000-0005-0000-0000-00008E1D0000}"/>
    <cellStyle name="Comma 4 4 3 3 2 2 4" xfId="32904" xr:uid="{0041EB7B-BE43-4D7F-86AF-C3F26AD3FF83}"/>
    <cellStyle name="Comma 4 4 3 3 2 3" xfId="20252" xr:uid="{00000000-0005-0000-0000-00008F1D0000}"/>
    <cellStyle name="Comma 4 4 3 3 2 3 2" xfId="37121" xr:uid="{678C1D5A-F594-4321-ADBD-D55585D96AE8}"/>
    <cellStyle name="Comma 4 4 3 3 2 4" xfId="11817" xr:uid="{00000000-0005-0000-0000-0000901D0000}"/>
    <cellStyle name="Comma 4 4 3 3 2 5" xfId="28687" xr:uid="{75CA62C9-EBA9-4E61-A051-8ED58FDDCAEA}"/>
    <cellStyle name="Comma 4 4 3 3 3" xfId="5455" xr:uid="{00000000-0005-0000-0000-0000911D0000}"/>
    <cellStyle name="Comma 4 4 3 3 3 2" xfId="22325" xr:uid="{00000000-0005-0000-0000-0000921D0000}"/>
    <cellStyle name="Comma 4 4 3 3 3 2 2" xfId="39193" xr:uid="{00326E9F-C003-48E2-A766-C36556706D33}"/>
    <cellStyle name="Comma 4 4 3 3 3 3" xfId="13890" xr:uid="{00000000-0005-0000-0000-0000931D0000}"/>
    <cellStyle name="Comma 4 4 3 3 3 4" xfId="30759" xr:uid="{5FB343FF-E8A5-4F56-8307-009BA2DCDA53}"/>
    <cellStyle name="Comma 4 4 3 3 4" xfId="18107" xr:uid="{00000000-0005-0000-0000-0000941D0000}"/>
    <cellStyle name="Comma 4 4 3 3 4 2" xfId="34976" xr:uid="{AA312BFF-0DD4-4532-AD61-A15B995288D8}"/>
    <cellStyle name="Comma 4 4 3 3 5" xfId="9672" xr:uid="{00000000-0005-0000-0000-0000951D0000}"/>
    <cellStyle name="Comma 4 4 3 3 6" xfId="26542" xr:uid="{A743B6DB-21A1-4295-94C7-C91221830E43}"/>
    <cellStyle name="Comma 4 4 3 4" xfId="1560" xr:uid="{00000000-0005-0000-0000-0000961D0000}"/>
    <cellStyle name="Comma 4 4 3 4 2" xfId="3790" xr:uid="{00000000-0005-0000-0000-0000971D0000}"/>
    <cellStyle name="Comma 4 4 3 4 2 2" xfId="8013" xr:uid="{00000000-0005-0000-0000-0000981D0000}"/>
    <cellStyle name="Comma 4 4 3 4 2 2 2" xfId="24883" xr:uid="{00000000-0005-0000-0000-0000991D0000}"/>
    <cellStyle name="Comma 4 4 3 4 2 2 2 2" xfId="41751" xr:uid="{6F9762C3-E6AE-42FA-973B-944ACA59689A}"/>
    <cellStyle name="Comma 4 4 3 4 2 2 3" xfId="16448" xr:uid="{00000000-0005-0000-0000-00009A1D0000}"/>
    <cellStyle name="Comma 4 4 3 4 2 2 4" xfId="33317" xr:uid="{E1A3EAFC-5018-4EFF-AB60-CE88BCBD0955}"/>
    <cellStyle name="Comma 4 4 3 4 2 3" xfId="20665" xr:uid="{00000000-0005-0000-0000-00009B1D0000}"/>
    <cellStyle name="Comma 4 4 3 4 2 3 2" xfId="37534" xr:uid="{1D2EA4F9-3518-47D3-8157-073FA4657269}"/>
    <cellStyle name="Comma 4 4 3 4 2 4" xfId="12230" xr:uid="{00000000-0005-0000-0000-00009C1D0000}"/>
    <cellStyle name="Comma 4 4 3 4 2 5" xfId="29100" xr:uid="{2E31F982-674E-40C3-A894-9AD0A337A331}"/>
    <cellStyle name="Comma 4 4 3 4 3" xfId="5868" xr:uid="{00000000-0005-0000-0000-00009D1D0000}"/>
    <cellStyle name="Comma 4 4 3 4 3 2" xfId="22738" xr:uid="{00000000-0005-0000-0000-00009E1D0000}"/>
    <cellStyle name="Comma 4 4 3 4 3 2 2" xfId="39606" xr:uid="{9C5FC680-EA5A-45A8-84F1-B0B10E28219E}"/>
    <cellStyle name="Comma 4 4 3 4 3 3" xfId="14303" xr:uid="{00000000-0005-0000-0000-00009F1D0000}"/>
    <cellStyle name="Comma 4 4 3 4 3 4" xfId="31172" xr:uid="{E2AE12D2-3484-4CA0-80E6-763C55A2EAD8}"/>
    <cellStyle name="Comma 4 4 3 4 4" xfId="18520" xr:uid="{00000000-0005-0000-0000-0000A01D0000}"/>
    <cellStyle name="Comma 4 4 3 4 4 2" xfId="35389" xr:uid="{7BEBE585-AC8B-4F43-A15D-98AF57A98A99}"/>
    <cellStyle name="Comma 4 4 3 4 5" xfId="10085" xr:uid="{00000000-0005-0000-0000-0000A11D0000}"/>
    <cellStyle name="Comma 4 4 3 4 6" xfId="26955" xr:uid="{A0F9A016-D14C-43AF-AD9A-3FF9D6D01BAB}"/>
    <cellStyle name="Comma 4 4 3 5" xfId="1974" xr:uid="{00000000-0005-0000-0000-0000A21D0000}"/>
    <cellStyle name="Comma 4 4 3 5 2" xfId="4203" xr:uid="{00000000-0005-0000-0000-0000A31D0000}"/>
    <cellStyle name="Comma 4 4 3 5 2 2" xfId="8426" xr:uid="{00000000-0005-0000-0000-0000A41D0000}"/>
    <cellStyle name="Comma 4 4 3 5 2 2 2" xfId="25296" xr:uid="{00000000-0005-0000-0000-0000A51D0000}"/>
    <cellStyle name="Comma 4 4 3 5 2 2 2 2" xfId="42164" xr:uid="{49638793-1C19-4E5B-9C34-59D419300D3B}"/>
    <cellStyle name="Comma 4 4 3 5 2 2 3" xfId="16861" xr:uid="{00000000-0005-0000-0000-0000A61D0000}"/>
    <cellStyle name="Comma 4 4 3 5 2 2 4" xfId="33730" xr:uid="{76DE270A-F803-49C8-ADDD-D167EB593812}"/>
    <cellStyle name="Comma 4 4 3 5 2 3" xfId="21078" xr:uid="{00000000-0005-0000-0000-0000A71D0000}"/>
    <cellStyle name="Comma 4 4 3 5 2 3 2" xfId="37947" xr:uid="{CE423B94-6A7E-484C-B13C-67AFC319F745}"/>
    <cellStyle name="Comma 4 4 3 5 2 4" xfId="12643" xr:uid="{00000000-0005-0000-0000-0000A81D0000}"/>
    <cellStyle name="Comma 4 4 3 5 2 5" xfId="29513" xr:uid="{E915765C-97E3-44A8-9125-16DBFAC40D39}"/>
    <cellStyle name="Comma 4 4 3 5 3" xfId="6281" xr:uid="{00000000-0005-0000-0000-0000A91D0000}"/>
    <cellStyle name="Comma 4 4 3 5 3 2" xfId="23151" xr:uid="{00000000-0005-0000-0000-0000AA1D0000}"/>
    <cellStyle name="Comma 4 4 3 5 3 2 2" xfId="40019" xr:uid="{06E3DABE-65F3-4C36-8272-59F37736F8ED}"/>
    <cellStyle name="Comma 4 4 3 5 3 3" xfId="14716" xr:uid="{00000000-0005-0000-0000-0000AB1D0000}"/>
    <cellStyle name="Comma 4 4 3 5 3 4" xfId="31585" xr:uid="{E067010C-5F57-4B90-991C-11607AB2559D}"/>
    <cellStyle name="Comma 4 4 3 5 4" xfId="18933" xr:uid="{00000000-0005-0000-0000-0000AC1D0000}"/>
    <cellStyle name="Comma 4 4 3 5 4 2" xfId="35802" xr:uid="{33D13C34-9481-413C-8B6A-0A7E6B6F99D0}"/>
    <cellStyle name="Comma 4 4 3 5 5" xfId="10498" xr:uid="{00000000-0005-0000-0000-0000AD1D0000}"/>
    <cellStyle name="Comma 4 4 3 5 6" xfId="27368" xr:uid="{6A753EAC-D2C7-487A-BF39-8774E18BCF15}"/>
    <cellStyle name="Comma 4 4 3 6" xfId="2409" xr:uid="{00000000-0005-0000-0000-0000AE1D0000}"/>
    <cellStyle name="Comma 4 4 3 6 2" xfId="6694" xr:uid="{00000000-0005-0000-0000-0000AF1D0000}"/>
    <cellStyle name="Comma 4 4 3 6 2 2" xfId="23564" xr:uid="{00000000-0005-0000-0000-0000B01D0000}"/>
    <cellStyle name="Comma 4 4 3 6 2 2 2" xfId="40432" xr:uid="{5E6A12EB-D661-487C-B4DA-E01DA10F5460}"/>
    <cellStyle name="Comma 4 4 3 6 2 3" xfId="15129" xr:uid="{00000000-0005-0000-0000-0000B11D0000}"/>
    <cellStyle name="Comma 4 4 3 6 2 4" xfId="31998" xr:uid="{6B5FB0F8-404F-49F2-8F30-EE2F04840873}"/>
    <cellStyle name="Comma 4 4 3 6 3" xfId="19346" xr:uid="{00000000-0005-0000-0000-0000B21D0000}"/>
    <cellStyle name="Comma 4 4 3 6 3 2" xfId="36215" xr:uid="{D47B7C41-1F9A-49B6-928D-6BB5D90BBD42}"/>
    <cellStyle name="Comma 4 4 3 6 4" xfId="10911" xr:uid="{00000000-0005-0000-0000-0000B31D0000}"/>
    <cellStyle name="Comma 4 4 3 6 5" xfId="27781" xr:uid="{90F8CF62-44F0-4627-AF59-F65DB42C0B89}"/>
    <cellStyle name="Comma 4 4 3 7" xfId="2705" xr:uid="{00000000-0005-0000-0000-0000B41D0000}"/>
    <cellStyle name="Comma 4 4 3 8" xfId="2787" xr:uid="{00000000-0005-0000-0000-0000B51D0000}"/>
    <cellStyle name="Comma 4 4 3 8 2" xfId="7011" xr:uid="{00000000-0005-0000-0000-0000B61D0000}"/>
    <cellStyle name="Comma 4 4 3 8 2 2" xfId="23881" xr:uid="{00000000-0005-0000-0000-0000B71D0000}"/>
    <cellStyle name="Comma 4 4 3 8 2 2 2" xfId="40749" xr:uid="{2701BF3E-386C-4928-91A4-64C4A3CD88ED}"/>
    <cellStyle name="Comma 4 4 3 8 2 3" xfId="15446" xr:uid="{00000000-0005-0000-0000-0000B81D0000}"/>
    <cellStyle name="Comma 4 4 3 8 2 4" xfId="32315" xr:uid="{AA5ACB3A-C5B4-4759-9B75-143AD7CC207D}"/>
    <cellStyle name="Comma 4 4 3 8 3" xfId="19663" xr:uid="{00000000-0005-0000-0000-0000B91D0000}"/>
    <cellStyle name="Comma 4 4 3 8 3 2" xfId="36532" xr:uid="{EB3E94FC-E662-4F37-84FE-D040DC5E076C}"/>
    <cellStyle name="Comma 4 4 3 8 4" xfId="11228" xr:uid="{00000000-0005-0000-0000-0000BA1D0000}"/>
    <cellStyle name="Comma 4 4 3 8 5" xfId="28098" xr:uid="{856A3B70-9AEA-49BF-B154-0BD6DF7B99DF}"/>
    <cellStyle name="Comma 4 4 3 9" xfId="4628" xr:uid="{00000000-0005-0000-0000-0000BB1D0000}"/>
    <cellStyle name="Comma 4 4 3 9 2" xfId="21498" xr:uid="{00000000-0005-0000-0000-0000BC1D0000}"/>
    <cellStyle name="Comma 4 4 3 9 2 2" xfId="38366" xr:uid="{26FF5AF4-F776-404F-B03E-2D74223D7A4F}"/>
    <cellStyle name="Comma 4 4 3 9 3" xfId="13063" xr:uid="{00000000-0005-0000-0000-0000BD1D0000}"/>
    <cellStyle name="Comma 4 4 3 9 4" xfId="29932" xr:uid="{6904BC5B-82AD-4C94-B620-067FC61D6EAE}"/>
    <cellStyle name="Comma 4 4 4" xfId="690" xr:uid="{00000000-0005-0000-0000-0000BE1D0000}"/>
    <cellStyle name="Comma 4 4 4 2" xfId="2961" xr:uid="{00000000-0005-0000-0000-0000BF1D0000}"/>
    <cellStyle name="Comma 4 4 4 2 2" xfId="7184" xr:uid="{00000000-0005-0000-0000-0000C01D0000}"/>
    <cellStyle name="Comma 4 4 4 2 2 2" xfId="24054" xr:uid="{00000000-0005-0000-0000-0000C11D0000}"/>
    <cellStyle name="Comma 4 4 4 2 2 2 2" xfId="40922" xr:uid="{5CB9F7BE-3B45-48E9-BE41-C8A31E02D5B0}"/>
    <cellStyle name="Comma 4 4 4 2 2 3" xfId="15619" xr:uid="{00000000-0005-0000-0000-0000C21D0000}"/>
    <cellStyle name="Comma 4 4 4 2 2 4" xfId="32488" xr:uid="{A40C23F3-DE41-4561-8CD3-ABF105C01C9E}"/>
    <cellStyle name="Comma 4 4 4 2 3" xfId="19836" xr:uid="{00000000-0005-0000-0000-0000C31D0000}"/>
    <cellStyle name="Comma 4 4 4 2 3 2" xfId="36705" xr:uid="{798D8E73-9EC8-43AF-A2D6-CE8245B0EBA8}"/>
    <cellStyle name="Comma 4 4 4 2 4" xfId="11401" xr:uid="{00000000-0005-0000-0000-0000C41D0000}"/>
    <cellStyle name="Comma 4 4 4 2 5" xfId="28271" xr:uid="{0DC406B5-736D-494F-956C-79787062770A}"/>
    <cellStyle name="Comma 4 4 4 3" xfId="5039" xr:uid="{00000000-0005-0000-0000-0000C51D0000}"/>
    <cellStyle name="Comma 4 4 4 3 2" xfId="21909" xr:uid="{00000000-0005-0000-0000-0000C61D0000}"/>
    <cellStyle name="Comma 4 4 4 3 2 2" xfId="38777" xr:uid="{B221D4B6-FB5E-4B73-B9F4-82946E65E926}"/>
    <cellStyle name="Comma 4 4 4 3 3" xfId="13474" xr:uid="{00000000-0005-0000-0000-0000C71D0000}"/>
    <cellStyle name="Comma 4 4 4 3 4" xfId="30343" xr:uid="{289BA2BC-614C-46F9-B057-81585403B985}"/>
    <cellStyle name="Comma 4 4 4 4" xfId="17691" xr:uid="{00000000-0005-0000-0000-0000C81D0000}"/>
    <cellStyle name="Comma 4 4 4 4 2" xfId="34560" xr:uid="{1384895E-98AE-4C57-8AEF-C6FE8637EA85}"/>
    <cellStyle name="Comma 4 4 4 5" xfId="9256" xr:uid="{00000000-0005-0000-0000-0000C91D0000}"/>
    <cellStyle name="Comma 4 4 4 6" xfId="26126" xr:uid="{7ACC153D-F470-4D0E-8367-713580694DF5}"/>
    <cellStyle name="Comma 4 4 5" xfId="1143" xr:uid="{00000000-0005-0000-0000-0000CA1D0000}"/>
    <cellStyle name="Comma 4 4 5 2" xfId="3374" xr:uid="{00000000-0005-0000-0000-0000CB1D0000}"/>
    <cellStyle name="Comma 4 4 5 2 2" xfId="7597" xr:uid="{00000000-0005-0000-0000-0000CC1D0000}"/>
    <cellStyle name="Comma 4 4 5 2 2 2" xfId="24467" xr:uid="{00000000-0005-0000-0000-0000CD1D0000}"/>
    <cellStyle name="Comma 4 4 5 2 2 2 2" xfId="41335" xr:uid="{6F373280-2EF4-4742-BF40-E7D64B4839C7}"/>
    <cellStyle name="Comma 4 4 5 2 2 3" xfId="16032" xr:uid="{00000000-0005-0000-0000-0000CE1D0000}"/>
    <cellStyle name="Comma 4 4 5 2 2 4" xfId="32901" xr:uid="{1F6D99B1-624E-4836-8B00-035D74853B7B}"/>
    <cellStyle name="Comma 4 4 5 2 3" xfId="20249" xr:uid="{00000000-0005-0000-0000-0000CF1D0000}"/>
    <cellStyle name="Comma 4 4 5 2 3 2" xfId="37118" xr:uid="{7512F118-45AC-479F-9ECE-228DF89A864B}"/>
    <cellStyle name="Comma 4 4 5 2 4" xfId="11814" xr:uid="{00000000-0005-0000-0000-0000D01D0000}"/>
    <cellStyle name="Comma 4 4 5 2 5" xfId="28684" xr:uid="{38F43F1F-C86B-4883-8246-3DBB1F0E38FA}"/>
    <cellStyle name="Comma 4 4 5 3" xfId="5452" xr:uid="{00000000-0005-0000-0000-0000D11D0000}"/>
    <cellStyle name="Comma 4 4 5 3 2" xfId="22322" xr:uid="{00000000-0005-0000-0000-0000D21D0000}"/>
    <cellStyle name="Comma 4 4 5 3 2 2" xfId="39190" xr:uid="{6B563565-734B-4844-9DBD-A670F4229724}"/>
    <cellStyle name="Comma 4 4 5 3 3" xfId="13887" xr:uid="{00000000-0005-0000-0000-0000D31D0000}"/>
    <cellStyle name="Comma 4 4 5 3 4" xfId="30756" xr:uid="{EBE27EED-2B1F-4A2F-A04E-F5296EF6246A}"/>
    <cellStyle name="Comma 4 4 5 4" xfId="18104" xr:uid="{00000000-0005-0000-0000-0000D41D0000}"/>
    <cellStyle name="Comma 4 4 5 4 2" xfId="34973" xr:uid="{F047BE71-CA4A-48A6-BC86-B1FD96314E6B}"/>
    <cellStyle name="Comma 4 4 5 5" xfId="9669" xr:uid="{00000000-0005-0000-0000-0000D51D0000}"/>
    <cellStyle name="Comma 4 4 5 6" xfId="26539" xr:uid="{E57E43AA-C8CD-43F4-B7EA-D882593CF15C}"/>
    <cellStyle name="Comma 4 4 6" xfId="1557" xr:uid="{00000000-0005-0000-0000-0000D61D0000}"/>
    <cellStyle name="Comma 4 4 6 2" xfId="3787" xr:uid="{00000000-0005-0000-0000-0000D71D0000}"/>
    <cellStyle name="Comma 4 4 6 2 2" xfId="8010" xr:uid="{00000000-0005-0000-0000-0000D81D0000}"/>
    <cellStyle name="Comma 4 4 6 2 2 2" xfId="24880" xr:uid="{00000000-0005-0000-0000-0000D91D0000}"/>
    <cellStyle name="Comma 4 4 6 2 2 2 2" xfId="41748" xr:uid="{C00B8A1B-D9E4-4691-A45F-678117FB5D08}"/>
    <cellStyle name="Comma 4 4 6 2 2 3" xfId="16445" xr:uid="{00000000-0005-0000-0000-0000DA1D0000}"/>
    <cellStyle name="Comma 4 4 6 2 2 4" xfId="33314" xr:uid="{5358DC1A-038F-4098-998E-08AACC56EE93}"/>
    <cellStyle name="Comma 4 4 6 2 3" xfId="20662" xr:uid="{00000000-0005-0000-0000-0000DB1D0000}"/>
    <cellStyle name="Comma 4 4 6 2 3 2" xfId="37531" xr:uid="{5A89EEA1-429E-4B5B-9630-2F9342FD56F9}"/>
    <cellStyle name="Comma 4 4 6 2 4" xfId="12227" xr:uid="{00000000-0005-0000-0000-0000DC1D0000}"/>
    <cellStyle name="Comma 4 4 6 2 5" xfId="29097" xr:uid="{CB74CE3B-1E11-403B-B483-054A9E57DD5A}"/>
    <cellStyle name="Comma 4 4 6 3" xfId="5865" xr:uid="{00000000-0005-0000-0000-0000DD1D0000}"/>
    <cellStyle name="Comma 4 4 6 3 2" xfId="22735" xr:uid="{00000000-0005-0000-0000-0000DE1D0000}"/>
    <cellStyle name="Comma 4 4 6 3 2 2" xfId="39603" xr:uid="{E2101DA7-E7B3-4D53-842D-7BD6DC46448C}"/>
    <cellStyle name="Comma 4 4 6 3 3" xfId="14300" xr:uid="{00000000-0005-0000-0000-0000DF1D0000}"/>
    <cellStyle name="Comma 4 4 6 3 4" xfId="31169" xr:uid="{FDE57189-D89C-41C9-9A60-45CE29FBA49E}"/>
    <cellStyle name="Comma 4 4 6 4" xfId="18517" xr:uid="{00000000-0005-0000-0000-0000E01D0000}"/>
    <cellStyle name="Comma 4 4 6 4 2" xfId="35386" xr:uid="{66F5AF8E-52B3-474C-B77E-1F61F1E6DD73}"/>
    <cellStyle name="Comma 4 4 6 5" xfId="10082" xr:uid="{00000000-0005-0000-0000-0000E11D0000}"/>
    <cellStyle name="Comma 4 4 6 6" xfId="26952" xr:uid="{8210EC53-F48A-475A-A577-847316E975A3}"/>
    <cellStyle name="Comma 4 4 7" xfId="1971" xr:uid="{00000000-0005-0000-0000-0000E21D0000}"/>
    <cellStyle name="Comma 4 4 7 2" xfId="4200" xr:uid="{00000000-0005-0000-0000-0000E31D0000}"/>
    <cellStyle name="Comma 4 4 7 2 2" xfId="8423" xr:uid="{00000000-0005-0000-0000-0000E41D0000}"/>
    <cellStyle name="Comma 4 4 7 2 2 2" xfId="25293" xr:uid="{00000000-0005-0000-0000-0000E51D0000}"/>
    <cellStyle name="Comma 4 4 7 2 2 2 2" xfId="42161" xr:uid="{C04F9BF4-02CA-4488-BDE7-053348C50EEE}"/>
    <cellStyle name="Comma 4 4 7 2 2 3" xfId="16858" xr:uid="{00000000-0005-0000-0000-0000E61D0000}"/>
    <cellStyle name="Comma 4 4 7 2 2 4" xfId="33727" xr:uid="{50593153-4974-4187-99F0-2C7CDE1E9F71}"/>
    <cellStyle name="Comma 4 4 7 2 3" xfId="21075" xr:uid="{00000000-0005-0000-0000-0000E71D0000}"/>
    <cellStyle name="Comma 4 4 7 2 3 2" xfId="37944" xr:uid="{D3678929-1D2A-4F91-9AB0-FF87C2A8C116}"/>
    <cellStyle name="Comma 4 4 7 2 4" xfId="12640" xr:uid="{00000000-0005-0000-0000-0000E81D0000}"/>
    <cellStyle name="Comma 4 4 7 2 5" xfId="29510" xr:uid="{6FDFF497-77A8-4179-BFE8-A5C6D83A6A8E}"/>
    <cellStyle name="Comma 4 4 7 3" xfId="6278" xr:uid="{00000000-0005-0000-0000-0000E91D0000}"/>
    <cellStyle name="Comma 4 4 7 3 2" xfId="23148" xr:uid="{00000000-0005-0000-0000-0000EA1D0000}"/>
    <cellStyle name="Comma 4 4 7 3 2 2" xfId="40016" xr:uid="{EE39622A-A8FF-4A42-8C6A-8FBE7735F12D}"/>
    <cellStyle name="Comma 4 4 7 3 3" xfId="14713" xr:uid="{00000000-0005-0000-0000-0000EB1D0000}"/>
    <cellStyle name="Comma 4 4 7 3 4" xfId="31582" xr:uid="{46BF23FC-88A7-4508-A2C2-154D93613400}"/>
    <cellStyle name="Comma 4 4 7 4" xfId="18930" xr:uid="{00000000-0005-0000-0000-0000EC1D0000}"/>
    <cellStyle name="Comma 4 4 7 4 2" xfId="35799" xr:uid="{E93B4D4F-891E-4F3A-9395-B5E20074E6D0}"/>
    <cellStyle name="Comma 4 4 7 5" xfId="10495" xr:uid="{00000000-0005-0000-0000-0000ED1D0000}"/>
    <cellStyle name="Comma 4 4 7 6" xfId="27365" xr:uid="{76B5C155-CAD1-413C-8653-83B69CCB85A1}"/>
    <cellStyle name="Comma 4 4 8" xfId="2406" xr:uid="{00000000-0005-0000-0000-0000EE1D0000}"/>
    <cellStyle name="Comma 4 4 8 2" xfId="6691" xr:uid="{00000000-0005-0000-0000-0000EF1D0000}"/>
    <cellStyle name="Comma 4 4 8 2 2" xfId="23561" xr:uid="{00000000-0005-0000-0000-0000F01D0000}"/>
    <cellStyle name="Comma 4 4 8 2 2 2" xfId="40429" xr:uid="{91E74086-E87F-4519-8883-E2447836A28F}"/>
    <cellStyle name="Comma 4 4 8 2 3" xfId="15126" xr:uid="{00000000-0005-0000-0000-0000F11D0000}"/>
    <cellStyle name="Comma 4 4 8 2 4" xfId="31995" xr:uid="{67612E4D-428A-4B70-A3A1-3CCF9E42E71F}"/>
    <cellStyle name="Comma 4 4 8 3" xfId="19343" xr:uid="{00000000-0005-0000-0000-0000F21D0000}"/>
    <cellStyle name="Comma 4 4 8 3 2" xfId="36212" xr:uid="{EFC756D7-06FF-4252-8D91-A07CDAD94CB0}"/>
    <cellStyle name="Comma 4 4 8 4" xfId="10908" xr:uid="{00000000-0005-0000-0000-0000F31D0000}"/>
    <cellStyle name="Comma 4 4 8 5" xfId="27778" xr:uid="{4166643B-C3C7-4CA6-BFA0-7C1D2BF78970}"/>
    <cellStyle name="Comma 4 4 9" xfId="2702" xr:uid="{00000000-0005-0000-0000-0000F41D0000}"/>
    <cellStyle name="Comma 4 5" xfId="157" xr:uid="{00000000-0005-0000-0000-0000F51D0000}"/>
    <cellStyle name="Comma 4 5 10" xfId="4629" xr:uid="{00000000-0005-0000-0000-0000F61D0000}"/>
    <cellStyle name="Comma 4 5 10 2" xfId="21499" xr:uid="{00000000-0005-0000-0000-0000F71D0000}"/>
    <cellStyle name="Comma 4 5 10 2 2" xfId="38367" xr:uid="{A1B75176-8ED0-4B69-A019-A4FC5354921C}"/>
    <cellStyle name="Comma 4 5 10 3" xfId="13064" xr:uid="{00000000-0005-0000-0000-0000F81D0000}"/>
    <cellStyle name="Comma 4 5 10 4" xfId="29933" xr:uid="{A6894735-C98F-4AD8-9DA3-BCAECF944384}"/>
    <cellStyle name="Comma 4 5 11" xfId="17281" xr:uid="{00000000-0005-0000-0000-0000F91D0000}"/>
    <cellStyle name="Comma 4 5 11 2" xfId="34150" xr:uid="{5B3D2958-D89A-4873-AD49-83DDD51444E0}"/>
    <cellStyle name="Comma 4 5 12" xfId="8846" xr:uid="{00000000-0005-0000-0000-0000FA1D0000}"/>
    <cellStyle name="Comma 4 5 13" xfId="25716" xr:uid="{41683C10-5ABF-428B-9157-7EB8E9441824}"/>
    <cellStyle name="Comma 4 5 2" xfId="158" xr:uid="{00000000-0005-0000-0000-0000FB1D0000}"/>
    <cellStyle name="Comma 4 5 2 10" xfId="17282" xr:uid="{00000000-0005-0000-0000-0000FC1D0000}"/>
    <cellStyle name="Comma 4 5 2 10 2" xfId="34151" xr:uid="{CC608827-6FAB-4889-AF20-9ECAEB2F9C54}"/>
    <cellStyle name="Comma 4 5 2 11" xfId="8847" xr:uid="{00000000-0005-0000-0000-0000FD1D0000}"/>
    <cellStyle name="Comma 4 5 2 12" xfId="25717" xr:uid="{E7FC3E6E-BFD9-4914-9BCC-5B49737B51FF}"/>
    <cellStyle name="Comma 4 5 2 2" xfId="695" xr:uid="{00000000-0005-0000-0000-0000FE1D0000}"/>
    <cellStyle name="Comma 4 5 2 2 2" xfId="2966" xr:uid="{00000000-0005-0000-0000-0000FF1D0000}"/>
    <cellStyle name="Comma 4 5 2 2 2 2" xfId="7189" xr:uid="{00000000-0005-0000-0000-0000001E0000}"/>
    <cellStyle name="Comma 4 5 2 2 2 2 2" xfId="24059" xr:uid="{00000000-0005-0000-0000-0000011E0000}"/>
    <cellStyle name="Comma 4 5 2 2 2 2 2 2" xfId="40927" xr:uid="{9A391BAD-771B-4348-B201-7AE28D3CE8D7}"/>
    <cellStyle name="Comma 4 5 2 2 2 2 3" xfId="15624" xr:uid="{00000000-0005-0000-0000-0000021E0000}"/>
    <cellStyle name="Comma 4 5 2 2 2 2 4" xfId="32493" xr:uid="{65BF5F81-59C4-4749-B69B-B2B9EC27573A}"/>
    <cellStyle name="Comma 4 5 2 2 2 3" xfId="19841" xr:uid="{00000000-0005-0000-0000-0000031E0000}"/>
    <cellStyle name="Comma 4 5 2 2 2 3 2" xfId="36710" xr:uid="{90E2F6A2-8F13-4A13-8EAF-D56A3DC78A1A}"/>
    <cellStyle name="Comma 4 5 2 2 2 4" xfId="11406" xr:uid="{00000000-0005-0000-0000-0000041E0000}"/>
    <cellStyle name="Comma 4 5 2 2 2 5" xfId="28276" xr:uid="{5636090D-4AE9-455A-BEF5-C04B3817B677}"/>
    <cellStyle name="Comma 4 5 2 2 3" xfId="5044" xr:uid="{00000000-0005-0000-0000-0000051E0000}"/>
    <cellStyle name="Comma 4 5 2 2 3 2" xfId="21914" xr:uid="{00000000-0005-0000-0000-0000061E0000}"/>
    <cellStyle name="Comma 4 5 2 2 3 2 2" xfId="38782" xr:uid="{DEF0613E-FEAF-4DB8-820E-44B42AF5D726}"/>
    <cellStyle name="Comma 4 5 2 2 3 3" xfId="13479" xr:uid="{00000000-0005-0000-0000-0000071E0000}"/>
    <cellStyle name="Comma 4 5 2 2 3 4" xfId="30348" xr:uid="{59702BAF-36BD-4308-AA56-7A3E3CA88138}"/>
    <cellStyle name="Comma 4 5 2 2 4" xfId="17696" xr:uid="{00000000-0005-0000-0000-0000081E0000}"/>
    <cellStyle name="Comma 4 5 2 2 4 2" xfId="34565" xr:uid="{96A6764D-1710-4E18-A648-D43FCC72684F}"/>
    <cellStyle name="Comma 4 5 2 2 5" xfId="9261" xr:uid="{00000000-0005-0000-0000-0000091E0000}"/>
    <cellStyle name="Comma 4 5 2 2 6" xfId="26131" xr:uid="{7ED75AF4-F87A-48FD-A4DB-6AD286D1B062}"/>
    <cellStyle name="Comma 4 5 2 3" xfId="1148" xr:uid="{00000000-0005-0000-0000-00000A1E0000}"/>
    <cellStyle name="Comma 4 5 2 3 2" xfId="3379" xr:uid="{00000000-0005-0000-0000-00000B1E0000}"/>
    <cellStyle name="Comma 4 5 2 3 2 2" xfId="7602" xr:uid="{00000000-0005-0000-0000-00000C1E0000}"/>
    <cellStyle name="Comma 4 5 2 3 2 2 2" xfId="24472" xr:uid="{00000000-0005-0000-0000-00000D1E0000}"/>
    <cellStyle name="Comma 4 5 2 3 2 2 2 2" xfId="41340" xr:uid="{B43F6B53-5D04-4D48-B336-46970DBD6F24}"/>
    <cellStyle name="Comma 4 5 2 3 2 2 3" xfId="16037" xr:uid="{00000000-0005-0000-0000-00000E1E0000}"/>
    <cellStyle name="Comma 4 5 2 3 2 2 4" xfId="32906" xr:uid="{CEF8F46F-E2A9-447A-9827-8FCB5E7D5780}"/>
    <cellStyle name="Comma 4 5 2 3 2 3" xfId="20254" xr:uid="{00000000-0005-0000-0000-00000F1E0000}"/>
    <cellStyle name="Comma 4 5 2 3 2 3 2" xfId="37123" xr:uid="{3E1F44A4-2834-42B2-A2E6-29DEB42FD166}"/>
    <cellStyle name="Comma 4 5 2 3 2 4" xfId="11819" xr:uid="{00000000-0005-0000-0000-0000101E0000}"/>
    <cellStyle name="Comma 4 5 2 3 2 5" xfId="28689" xr:uid="{A5485670-71C2-4713-8FA3-F21470BA5F24}"/>
    <cellStyle name="Comma 4 5 2 3 3" xfId="5457" xr:uid="{00000000-0005-0000-0000-0000111E0000}"/>
    <cellStyle name="Comma 4 5 2 3 3 2" xfId="22327" xr:uid="{00000000-0005-0000-0000-0000121E0000}"/>
    <cellStyle name="Comma 4 5 2 3 3 2 2" xfId="39195" xr:uid="{EC36E113-51E2-4D12-A504-2A1C0602BDFC}"/>
    <cellStyle name="Comma 4 5 2 3 3 3" xfId="13892" xr:uid="{00000000-0005-0000-0000-0000131E0000}"/>
    <cellStyle name="Comma 4 5 2 3 3 4" xfId="30761" xr:uid="{DC6ADC57-840B-4D77-8A24-754D6A8E54C9}"/>
    <cellStyle name="Comma 4 5 2 3 4" xfId="18109" xr:uid="{00000000-0005-0000-0000-0000141E0000}"/>
    <cellStyle name="Comma 4 5 2 3 4 2" xfId="34978" xr:uid="{CF98F2F5-E6E4-4C29-A0DD-92C0408254C3}"/>
    <cellStyle name="Comma 4 5 2 3 5" xfId="9674" xr:uid="{00000000-0005-0000-0000-0000151E0000}"/>
    <cellStyle name="Comma 4 5 2 3 6" xfId="26544" xr:uid="{DD0608DD-2DE8-47A9-B796-9E057728E378}"/>
    <cellStyle name="Comma 4 5 2 4" xfId="1562" xr:uid="{00000000-0005-0000-0000-0000161E0000}"/>
    <cellStyle name="Comma 4 5 2 4 2" xfId="3792" xr:uid="{00000000-0005-0000-0000-0000171E0000}"/>
    <cellStyle name="Comma 4 5 2 4 2 2" xfId="8015" xr:uid="{00000000-0005-0000-0000-0000181E0000}"/>
    <cellStyle name="Comma 4 5 2 4 2 2 2" xfId="24885" xr:uid="{00000000-0005-0000-0000-0000191E0000}"/>
    <cellStyle name="Comma 4 5 2 4 2 2 2 2" xfId="41753" xr:uid="{2393E177-978D-4792-8CFE-6FF184F37DD1}"/>
    <cellStyle name="Comma 4 5 2 4 2 2 3" xfId="16450" xr:uid="{00000000-0005-0000-0000-00001A1E0000}"/>
    <cellStyle name="Comma 4 5 2 4 2 2 4" xfId="33319" xr:uid="{C257D033-EFDB-45C7-86F8-4004306596E6}"/>
    <cellStyle name="Comma 4 5 2 4 2 3" xfId="20667" xr:uid="{00000000-0005-0000-0000-00001B1E0000}"/>
    <cellStyle name="Comma 4 5 2 4 2 3 2" xfId="37536" xr:uid="{4DEAE433-855C-489C-A464-874359DA26D6}"/>
    <cellStyle name="Comma 4 5 2 4 2 4" xfId="12232" xr:uid="{00000000-0005-0000-0000-00001C1E0000}"/>
    <cellStyle name="Comma 4 5 2 4 2 5" xfId="29102" xr:uid="{B444509F-AF8C-4794-970A-8B641A025096}"/>
    <cellStyle name="Comma 4 5 2 4 3" xfId="5870" xr:uid="{00000000-0005-0000-0000-00001D1E0000}"/>
    <cellStyle name="Comma 4 5 2 4 3 2" xfId="22740" xr:uid="{00000000-0005-0000-0000-00001E1E0000}"/>
    <cellStyle name="Comma 4 5 2 4 3 2 2" xfId="39608" xr:uid="{CD290898-7BF1-4CDF-A5F7-FEF8315A03E0}"/>
    <cellStyle name="Comma 4 5 2 4 3 3" xfId="14305" xr:uid="{00000000-0005-0000-0000-00001F1E0000}"/>
    <cellStyle name="Comma 4 5 2 4 3 4" xfId="31174" xr:uid="{E9FECB45-E5B8-4CE7-90A1-59EE5349B94D}"/>
    <cellStyle name="Comma 4 5 2 4 4" xfId="18522" xr:uid="{00000000-0005-0000-0000-0000201E0000}"/>
    <cellStyle name="Comma 4 5 2 4 4 2" xfId="35391" xr:uid="{E343B520-6ACB-4F86-9916-BFF03627FC7D}"/>
    <cellStyle name="Comma 4 5 2 4 5" xfId="10087" xr:uid="{00000000-0005-0000-0000-0000211E0000}"/>
    <cellStyle name="Comma 4 5 2 4 6" xfId="26957" xr:uid="{4DE871D9-3AAB-4A4A-B451-C698C2093C17}"/>
    <cellStyle name="Comma 4 5 2 5" xfId="1976" xr:uid="{00000000-0005-0000-0000-0000221E0000}"/>
    <cellStyle name="Comma 4 5 2 5 2" xfId="4205" xr:uid="{00000000-0005-0000-0000-0000231E0000}"/>
    <cellStyle name="Comma 4 5 2 5 2 2" xfId="8428" xr:uid="{00000000-0005-0000-0000-0000241E0000}"/>
    <cellStyle name="Comma 4 5 2 5 2 2 2" xfId="25298" xr:uid="{00000000-0005-0000-0000-0000251E0000}"/>
    <cellStyle name="Comma 4 5 2 5 2 2 2 2" xfId="42166" xr:uid="{A0A1B7D3-DAE6-4920-868E-58F9D7469F41}"/>
    <cellStyle name="Comma 4 5 2 5 2 2 3" xfId="16863" xr:uid="{00000000-0005-0000-0000-0000261E0000}"/>
    <cellStyle name="Comma 4 5 2 5 2 2 4" xfId="33732" xr:uid="{B0A0D275-458B-421E-A33C-642016A114F5}"/>
    <cellStyle name="Comma 4 5 2 5 2 3" xfId="21080" xr:uid="{00000000-0005-0000-0000-0000271E0000}"/>
    <cellStyle name="Comma 4 5 2 5 2 3 2" xfId="37949" xr:uid="{344549CF-89E0-4BC9-8D49-3A70B9E0DE6D}"/>
    <cellStyle name="Comma 4 5 2 5 2 4" xfId="12645" xr:uid="{00000000-0005-0000-0000-0000281E0000}"/>
    <cellStyle name="Comma 4 5 2 5 2 5" xfId="29515" xr:uid="{9F864577-8D71-4B59-83B3-6BC3476F4A7B}"/>
    <cellStyle name="Comma 4 5 2 5 3" xfId="6283" xr:uid="{00000000-0005-0000-0000-0000291E0000}"/>
    <cellStyle name="Comma 4 5 2 5 3 2" xfId="23153" xr:uid="{00000000-0005-0000-0000-00002A1E0000}"/>
    <cellStyle name="Comma 4 5 2 5 3 2 2" xfId="40021" xr:uid="{7623CF01-0B7F-46B6-AD89-EB7447F8EF4E}"/>
    <cellStyle name="Comma 4 5 2 5 3 3" xfId="14718" xr:uid="{00000000-0005-0000-0000-00002B1E0000}"/>
    <cellStyle name="Comma 4 5 2 5 3 4" xfId="31587" xr:uid="{387E3E76-E273-4AD4-BAA5-AC381DD43F01}"/>
    <cellStyle name="Comma 4 5 2 5 4" xfId="18935" xr:uid="{00000000-0005-0000-0000-00002C1E0000}"/>
    <cellStyle name="Comma 4 5 2 5 4 2" xfId="35804" xr:uid="{751CFA6F-FD32-4644-BDFA-1DC08FB7EC3B}"/>
    <cellStyle name="Comma 4 5 2 5 5" xfId="10500" xr:uid="{00000000-0005-0000-0000-00002D1E0000}"/>
    <cellStyle name="Comma 4 5 2 5 6" xfId="27370" xr:uid="{FBA6C833-C0E6-46B0-A0EA-DB1D95152E96}"/>
    <cellStyle name="Comma 4 5 2 6" xfId="2411" xr:uid="{00000000-0005-0000-0000-00002E1E0000}"/>
    <cellStyle name="Comma 4 5 2 6 2" xfId="6696" xr:uid="{00000000-0005-0000-0000-00002F1E0000}"/>
    <cellStyle name="Comma 4 5 2 6 2 2" xfId="23566" xr:uid="{00000000-0005-0000-0000-0000301E0000}"/>
    <cellStyle name="Comma 4 5 2 6 2 2 2" xfId="40434" xr:uid="{01AE6A0B-9902-4D84-941C-178820E367C0}"/>
    <cellStyle name="Comma 4 5 2 6 2 3" xfId="15131" xr:uid="{00000000-0005-0000-0000-0000311E0000}"/>
    <cellStyle name="Comma 4 5 2 6 2 4" xfId="32000" xr:uid="{0773E2E6-F92D-40F5-B27F-31CCB3FE6FD6}"/>
    <cellStyle name="Comma 4 5 2 6 3" xfId="19348" xr:uid="{00000000-0005-0000-0000-0000321E0000}"/>
    <cellStyle name="Comma 4 5 2 6 3 2" xfId="36217" xr:uid="{8F60B15C-54B1-4047-89E7-832F54B1A0B0}"/>
    <cellStyle name="Comma 4 5 2 6 4" xfId="10913" xr:uid="{00000000-0005-0000-0000-0000331E0000}"/>
    <cellStyle name="Comma 4 5 2 6 5" xfId="27783" xr:uid="{D6781D14-B9C4-4AE4-9144-A331082A77F2}"/>
    <cellStyle name="Comma 4 5 2 7" xfId="2707" xr:uid="{00000000-0005-0000-0000-0000341E0000}"/>
    <cellStyle name="Comma 4 5 2 8" xfId="2789" xr:uid="{00000000-0005-0000-0000-0000351E0000}"/>
    <cellStyle name="Comma 4 5 2 8 2" xfId="7013" xr:uid="{00000000-0005-0000-0000-0000361E0000}"/>
    <cellStyle name="Comma 4 5 2 8 2 2" xfId="23883" xr:uid="{00000000-0005-0000-0000-0000371E0000}"/>
    <cellStyle name="Comma 4 5 2 8 2 2 2" xfId="40751" xr:uid="{B4AE2E5F-E011-4318-9B0E-4A04616B29D0}"/>
    <cellStyle name="Comma 4 5 2 8 2 3" xfId="15448" xr:uid="{00000000-0005-0000-0000-0000381E0000}"/>
    <cellStyle name="Comma 4 5 2 8 2 4" xfId="32317" xr:uid="{85ECE8F0-3424-4877-A57F-7E3990E9EEAE}"/>
    <cellStyle name="Comma 4 5 2 8 3" xfId="19665" xr:uid="{00000000-0005-0000-0000-0000391E0000}"/>
    <cellStyle name="Comma 4 5 2 8 3 2" xfId="36534" xr:uid="{29E5EF00-F42E-4E74-BF59-A8A8755EDB39}"/>
    <cellStyle name="Comma 4 5 2 8 4" xfId="11230" xr:uid="{00000000-0005-0000-0000-00003A1E0000}"/>
    <cellStyle name="Comma 4 5 2 8 5" xfId="28100" xr:uid="{57370E71-3E4E-473E-9991-BA9C5776B226}"/>
    <cellStyle name="Comma 4 5 2 9" xfId="4630" xr:uid="{00000000-0005-0000-0000-00003B1E0000}"/>
    <cellStyle name="Comma 4 5 2 9 2" xfId="21500" xr:uid="{00000000-0005-0000-0000-00003C1E0000}"/>
    <cellStyle name="Comma 4 5 2 9 2 2" xfId="38368" xr:uid="{2F9D8D31-A1B9-4848-B77B-AD2849340D61}"/>
    <cellStyle name="Comma 4 5 2 9 3" xfId="13065" xr:uid="{00000000-0005-0000-0000-00003D1E0000}"/>
    <cellStyle name="Comma 4 5 2 9 4" xfId="29934" xr:uid="{EF91D55E-F01C-4E79-AC42-45124CF6A952}"/>
    <cellStyle name="Comma 4 5 3" xfId="694" xr:uid="{00000000-0005-0000-0000-00003E1E0000}"/>
    <cellStyle name="Comma 4 5 3 2" xfId="2965" xr:uid="{00000000-0005-0000-0000-00003F1E0000}"/>
    <cellStyle name="Comma 4 5 3 2 2" xfId="7188" xr:uid="{00000000-0005-0000-0000-0000401E0000}"/>
    <cellStyle name="Comma 4 5 3 2 2 2" xfId="24058" xr:uid="{00000000-0005-0000-0000-0000411E0000}"/>
    <cellStyle name="Comma 4 5 3 2 2 2 2" xfId="40926" xr:uid="{5601EB89-A96E-4596-92B5-C10353751851}"/>
    <cellStyle name="Comma 4 5 3 2 2 3" xfId="15623" xr:uid="{00000000-0005-0000-0000-0000421E0000}"/>
    <cellStyle name="Comma 4 5 3 2 2 4" xfId="32492" xr:uid="{ED931DED-91F0-407E-A87E-86AEF93228EF}"/>
    <cellStyle name="Comma 4 5 3 2 3" xfId="19840" xr:uid="{00000000-0005-0000-0000-0000431E0000}"/>
    <cellStyle name="Comma 4 5 3 2 3 2" xfId="36709" xr:uid="{74E800A9-0557-4CD4-B122-F166884DE726}"/>
    <cellStyle name="Comma 4 5 3 2 4" xfId="11405" xr:uid="{00000000-0005-0000-0000-0000441E0000}"/>
    <cellStyle name="Comma 4 5 3 2 5" xfId="28275" xr:uid="{5C74DAED-0FA6-4C60-BCCB-A2AE9A0AFA25}"/>
    <cellStyle name="Comma 4 5 3 3" xfId="5043" xr:uid="{00000000-0005-0000-0000-0000451E0000}"/>
    <cellStyle name="Comma 4 5 3 3 2" xfId="21913" xr:uid="{00000000-0005-0000-0000-0000461E0000}"/>
    <cellStyle name="Comma 4 5 3 3 2 2" xfId="38781" xr:uid="{BC13999C-1A3E-4F08-9674-7A85BABEF437}"/>
    <cellStyle name="Comma 4 5 3 3 3" xfId="13478" xr:uid="{00000000-0005-0000-0000-0000471E0000}"/>
    <cellStyle name="Comma 4 5 3 3 4" xfId="30347" xr:uid="{626D4CF3-B8BB-40C6-9409-A6D4948E2EF2}"/>
    <cellStyle name="Comma 4 5 3 4" xfId="17695" xr:uid="{00000000-0005-0000-0000-0000481E0000}"/>
    <cellStyle name="Comma 4 5 3 4 2" xfId="34564" xr:uid="{97C3498D-27C3-4023-9B09-15F790071C64}"/>
    <cellStyle name="Comma 4 5 3 5" xfId="9260" xr:uid="{00000000-0005-0000-0000-0000491E0000}"/>
    <cellStyle name="Comma 4 5 3 6" xfId="26130" xr:uid="{8BC8CB10-F03B-46C8-A884-8F5E8827663B}"/>
    <cellStyle name="Comma 4 5 4" xfId="1147" xr:uid="{00000000-0005-0000-0000-00004A1E0000}"/>
    <cellStyle name="Comma 4 5 4 2" xfId="3378" xr:uid="{00000000-0005-0000-0000-00004B1E0000}"/>
    <cellStyle name="Comma 4 5 4 2 2" xfId="7601" xr:uid="{00000000-0005-0000-0000-00004C1E0000}"/>
    <cellStyle name="Comma 4 5 4 2 2 2" xfId="24471" xr:uid="{00000000-0005-0000-0000-00004D1E0000}"/>
    <cellStyle name="Comma 4 5 4 2 2 2 2" xfId="41339" xr:uid="{37AB79B7-C351-4225-B032-30914E425808}"/>
    <cellStyle name="Comma 4 5 4 2 2 3" xfId="16036" xr:uid="{00000000-0005-0000-0000-00004E1E0000}"/>
    <cellStyle name="Comma 4 5 4 2 2 4" xfId="32905" xr:uid="{E1F990D2-670F-433D-BB6E-C9FBF7BB6F90}"/>
    <cellStyle name="Comma 4 5 4 2 3" xfId="20253" xr:uid="{00000000-0005-0000-0000-00004F1E0000}"/>
    <cellStyle name="Comma 4 5 4 2 3 2" xfId="37122" xr:uid="{94434C27-FC4F-444F-B2D8-FA9BA3536F8D}"/>
    <cellStyle name="Comma 4 5 4 2 4" xfId="11818" xr:uid="{00000000-0005-0000-0000-0000501E0000}"/>
    <cellStyle name="Comma 4 5 4 2 5" xfId="28688" xr:uid="{C89D4B64-84CF-499E-AA5E-3185BF70B81C}"/>
    <cellStyle name="Comma 4 5 4 3" xfId="5456" xr:uid="{00000000-0005-0000-0000-0000511E0000}"/>
    <cellStyle name="Comma 4 5 4 3 2" xfId="22326" xr:uid="{00000000-0005-0000-0000-0000521E0000}"/>
    <cellStyle name="Comma 4 5 4 3 2 2" xfId="39194" xr:uid="{A7DADBD8-D3DC-4D58-86C2-BA6A1EA9DC75}"/>
    <cellStyle name="Comma 4 5 4 3 3" xfId="13891" xr:uid="{00000000-0005-0000-0000-0000531E0000}"/>
    <cellStyle name="Comma 4 5 4 3 4" xfId="30760" xr:uid="{6F92A0F1-0E43-45D9-973E-87726FFACE79}"/>
    <cellStyle name="Comma 4 5 4 4" xfId="18108" xr:uid="{00000000-0005-0000-0000-0000541E0000}"/>
    <cellStyle name="Comma 4 5 4 4 2" xfId="34977" xr:uid="{E20C3D8D-8980-4D0E-97F4-A8C04D795C88}"/>
    <cellStyle name="Comma 4 5 4 5" xfId="9673" xr:uid="{00000000-0005-0000-0000-0000551E0000}"/>
    <cellStyle name="Comma 4 5 4 6" xfId="26543" xr:uid="{59F9F589-1495-4818-B0F6-F1EB7FDCEBFF}"/>
    <cellStyle name="Comma 4 5 5" xfId="1561" xr:uid="{00000000-0005-0000-0000-0000561E0000}"/>
    <cellStyle name="Comma 4 5 5 2" xfId="3791" xr:uid="{00000000-0005-0000-0000-0000571E0000}"/>
    <cellStyle name="Comma 4 5 5 2 2" xfId="8014" xr:uid="{00000000-0005-0000-0000-0000581E0000}"/>
    <cellStyle name="Comma 4 5 5 2 2 2" xfId="24884" xr:uid="{00000000-0005-0000-0000-0000591E0000}"/>
    <cellStyle name="Comma 4 5 5 2 2 2 2" xfId="41752" xr:uid="{28603453-ECD4-4A97-9E9B-94A9ACDCDBE9}"/>
    <cellStyle name="Comma 4 5 5 2 2 3" xfId="16449" xr:uid="{00000000-0005-0000-0000-00005A1E0000}"/>
    <cellStyle name="Comma 4 5 5 2 2 4" xfId="33318" xr:uid="{723B0723-7522-495F-89BB-51097FB64D39}"/>
    <cellStyle name="Comma 4 5 5 2 3" xfId="20666" xr:uid="{00000000-0005-0000-0000-00005B1E0000}"/>
    <cellStyle name="Comma 4 5 5 2 3 2" xfId="37535" xr:uid="{EB0CBED6-9C1A-4816-B6F5-1A9ABA785C69}"/>
    <cellStyle name="Comma 4 5 5 2 4" xfId="12231" xr:uid="{00000000-0005-0000-0000-00005C1E0000}"/>
    <cellStyle name="Comma 4 5 5 2 5" xfId="29101" xr:uid="{487E737B-0043-4B25-B338-0AAF9CA393DA}"/>
    <cellStyle name="Comma 4 5 5 3" xfId="5869" xr:uid="{00000000-0005-0000-0000-00005D1E0000}"/>
    <cellStyle name="Comma 4 5 5 3 2" xfId="22739" xr:uid="{00000000-0005-0000-0000-00005E1E0000}"/>
    <cellStyle name="Comma 4 5 5 3 2 2" xfId="39607" xr:uid="{0F974719-E408-4BDF-A9E5-65EBFDEA7861}"/>
    <cellStyle name="Comma 4 5 5 3 3" xfId="14304" xr:uid="{00000000-0005-0000-0000-00005F1E0000}"/>
    <cellStyle name="Comma 4 5 5 3 4" xfId="31173" xr:uid="{1B606511-105D-492C-82F2-2D554DA1C393}"/>
    <cellStyle name="Comma 4 5 5 4" xfId="18521" xr:uid="{00000000-0005-0000-0000-0000601E0000}"/>
    <cellStyle name="Comma 4 5 5 4 2" xfId="35390" xr:uid="{9F18E050-26D0-4E00-8E41-338121A8147C}"/>
    <cellStyle name="Comma 4 5 5 5" xfId="10086" xr:uid="{00000000-0005-0000-0000-0000611E0000}"/>
    <cellStyle name="Comma 4 5 5 6" xfId="26956" xr:uid="{BC13C215-8055-40F2-9BFF-4AE1F08CCD2E}"/>
    <cellStyle name="Comma 4 5 6" xfId="1975" xr:uid="{00000000-0005-0000-0000-0000621E0000}"/>
    <cellStyle name="Comma 4 5 6 2" xfId="4204" xr:uid="{00000000-0005-0000-0000-0000631E0000}"/>
    <cellStyle name="Comma 4 5 6 2 2" xfId="8427" xr:uid="{00000000-0005-0000-0000-0000641E0000}"/>
    <cellStyle name="Comma 4 5 6 2 2 2" xfId="25297" xr:uid="{00000000-0005-0000-0000-0000651E0000}"/>
    <cellStyle name="Comma 4 5 6 2 2 2 2" xfId="42165" xr:uid="{5AD8337A-2E96-46FD-A775-1CD09667DD90}"/>
    <cellStyle name="Comma 4 5 6 2 2 3" xfId="16862" xr:uid="{00000000-0005-0000-0000-0000661E0000}"/>
    <cellStyle name="Comma 4 5 6 2 2 4" xfId="33731" xr:uid="{18E27D80-F626-487D-BCE6-D4E65A7FB3B3}"/>
    <cellStyle name="Comma 4 5 6 2 3" xfId="21079" xr:uid="{00000000-0005-0000-0000-0000671E0000}"/>
    <cellStyle name="Comma 4 5 6 2 3 2" xfId="37948" xr:uid="{99A94F75-D032-4FE2-B5C3-99AFF6895996}"/>
    <cellStyle name="Comma 4 5 6 2 4" xfId="12644" xr:uid="{00000000-0005-0000-0000-0000681E0000}"/>
    <cellStyle name="Comma 4 5 6 2 5" xfId="29514" xr:uid="{A55FA48E-BC5E-43CE-A805-3E0BC1584AA7}"/>
    <cellStyle name="Comma 4 5 6 3" xfId="6282" xr:uid="{00000000-0005-0000-0000-0000691E0000}"/>
    <cellStyle name="Comma 4 5 6 3 2" xfId="23152" xr:uid="{00000000-0005-0000-0000-00006A1E0000}"/>
    <cellStyle name="Comma 4 5 6 3 2 2" xfId="40020" xr:uid="{05D7FDB4-FF20-4695-B33C-61B8C05AC5DA}"/>
    <cellStyle name="Comma 4 5 6 3 3" xfId="14717" xr:uid="{00000000-0005-0000-0000-00006B1E0000}"/>
    <cellStyle name="Comma 4 5 6 3 4" xfId="31586" xr:uid="{EA948102-D8E3-417B-809F-7CFBB43046A8}"/>
    <cellStyle name="Comma 4 5 6 4" xfId="18934" xr:uid="{00000000-0005-0000-0000-00006C1E0000}"/>
    <cellStyle name="Comma 4 5 6 4 2" xfId="35803" xr:uid="{CAE8C5CE-5F4F-4471-ABA7-34DC989C8FC1}"/>
    <cellStyle name="Comma 4 5 6 5" xfId="10499" xr:uid="{00000000-0005-0000-0000-00006D1E0000}"/>
    <cellStyle name="Comma 4 5 6 6" xfId="27369" xr:uid="{37584338-2450-4321-B4B2-C0BFA54F2B21}"/>
    <cellStyle name="Comma 4 5 7" xfId="2410" xr:uid="{00000000-0005-0000-0000-00006E1E0000}"/>
    <cellStyle name="Comma 4 5 7 2" xfId="6695" xr:uid="{00000000-0005-0000-0000-00006F1E0000}"/>
    <cellStyle name="Comma 4 5 7 2 2" xfId="23565" xr:uid="{00000000-0005-0000-0000-0000701E0000}"/>
    <cellStyle name="Comma 4 5 7 2 2 2" xfId="40433" xr:uid="{A342D33C-0080-4272-B076-46BBF03144E0}"/>
    <cellStyle name="Comma 4 5 7 2 3" xfId="15130" xr:uid="{00000000-0005-0000-0000-0000711E0000}"/>
    <cellStyle name="Comma 4 5 7 2 4" xfId="31999" xr:uid="{453F00C9-46AC-425C-A2A7-57576D68E617}"/>
    <cellStyle name="Comma 4 5 7 3" xfId="19347" xr:uid="{00000000-0005-0000-0000-0000721E0000}"/>
    <cellStyle name="Comma 4 5 7 3 2" xfId="36216" xr:uid="{BDCFF6F3-23CC-45DE-ADB8-9B429F42B32B}"/>
    <cellStyle name="Comma 4 5 7 4" xfId="10912" xr:uid="{00000000-0005-0000-0000-0000731E0000}"/>
    <cellStyle name="Comma 4 5 7 5" xfId="27782" xr:uid="{A8DDD2FE-16BF-4E76-92AB-32A55CB94328}"/>
    <cellStyle name="Comma 4 5 8" xfId="2706" xr:uid="{00000000-0005-0000-0000-0000741E0000}"/>
    <cellStyle name="Comma 4 5 9" xfId="2788" xr:uid="{00000000-0005-0000-0000-0000751E0000}"/>
    <cellStyle name="Comma 4 5 9 2" xfId="7012" xr:uid="{00000000-0005-0000-0000-0000761E0000}"/>
    <cellStyle name="Comma 4 5 9 2 2" xfId="23882" xr:uid="{00000000-0005-0000-0000-0000771E0000}"/>
    <cellStyle name="Comma 4 5 9 2 2 2" xfId="40750" xr:uid="{3B1CC77C-A9F8-426B-A338-501E942D8CE0}"/>
    <cellStyle name="Comma 4 5 9 2 3" xfId="15447" xr:uid="{00000000-0005-0000-0000-0000781E0000}"/>
    <cellStyle name="Comma 4 5 9 2 4" xfId="32316" xr:uid="{4939A8CB-03F0-4FA9-9C4E-8A468F464FEF}"/>
    <cellStyle name="Comma 4 5 9 3" xfId="19664" xr:uid="{00000000-0005-0000-0000-0000791E0000}"/>
    <cellStyle name="Comma 4 5 9 3 2" xfId="36533" xr:uid="{69570609-8896-44FF-A1CA-EE27E2006A50}"/>
    <cellStyle name="Comma 4 5 9 4" xfId="11229" xr:uid="{00000000-0005-0000-0000-00007A1E0000}"/>
    <cellStyle name="Comma 4 5 9 5" xfId="28099" xr:uid="{1F5F1455-1F92-49B5-A016-F8124B85B524}"/>
    <cellStyle name="Comma 4 6" xfId="159" xr:uid="{00000000-0005-0000-0000-00007B1E0000}"/>
    <cellStyle name="Comma 4 6 10" xfId="17283" xr:uid="{00000000-0005-0000-0000-00007C1E0000}"/>
    <cellStyle name="Comma 4 6 10 2" xfId="34152" xr:uid="{5D8CF1A7-44A8-46C7-80E9-B97F74B3EA94}"/>
    <cellStyle name="Comma 4 6 11" xfId="8848" xr:uid="{00000000-0005-0000-0000-00007D1E0000}"/>
    <cellStyle name="Comma 4 6 12" xfId="25718" xr:uid="{5098D95E-81CB-4CE5-81B5-48EC5DCBF656}"/>
    <cellStyle name="Comma 4 6 2" xfId="696" xr:uid="{00000000-0005-0000-0000-00007E1E0000}"/>
    <cellStyle name="Comma 4 6 2 2" xfId="2967" xr:uid="{00000000-0005-0000-0000-00007F1E0000}"/>
    <cellStyle name="Comma 4 6 2 2 2" xfId="7190" xr:uid="{00000000-0005-0000-0000-0000801E0000}"/>
    <cellStyle name="Comma 4 6 2 2 2 2" xfId="24060" xr:uid="{00000000-0005-0000-0000-0000811E0000}"/>
    <cellStyle name="Comma 4 6 2 2 2 2 2" xfId="40928" xr:uid="{6858728D-141D-4CF2-9029-9BDFDB1D8220}"/>
    <cellStyle name="Comma 4 6 2 2 2 3" xfId="15625" xr:uid="{00000000-0005-0000-0000-0000821E0000}"/>
    <cellStyle name="Comma 4 6 2 2 2 4" xfId="32494" xr:uid="{91EEFEB0-082D-4DA4-B86C-215A46A6E340}"/>
    <cellStyle name="Comma 4 6 2 2 3" xfId="19842" xr:uid="{00000000-0005-0000-0000-0000831E0000}"/>
    <cellStyle name="Comma 4 6 2 2 3 2" xfId="36711" xr:uid="{6450507B-5796-4608-BDB1-513B660F14E8}"/>
    <cellStyle name="Comma 4 6 2 2 4" xfId="11407" xr:uid="{00000000-0005-0000-0000-0000841E0000}"/>
    <cellStyle name="Comma 4 6 2 2 5" xfId="28277" xr:uid="{5EB9CCEC-CB1B-4BA6-B140-4867CC835B47}"/>
    <cellStyle name="Comma 4 6 2 3" xfId="5045" xr:uid="{00000000-0005-0000-0000-0000851E0000}"/>
    <cellStyle name="Comma 4 6 2 3 2" xfId="21915" xr:uid="{00000000-0005-0000-0000-0000861E0000}"/>
    <cellStyle name="Comma 4 6 2 3 2 2" xfId="38783" xr:uid="{536621BB-9C82-4BFB-8F06-1F763B3AD1BA}"/>
    <cellStyle name="Comma 4 6 2 3 3" xfId="13480" xr:uid="{00000000-0005-0000-0000-0000871E0000}"/>
    <cellStyle name="Comma 4 6 2 3 4" xfId="30349" xr:uid="{8A2D7AA9-6642-4763-A144-809EFD4DC590}"/>
    <cellStyle name="Comma 4 6 2 4" xfId="17697" xr:uid="{00000000-0005-0000-0000-0000881E0000}"/>
    <cellStyle name="Comma 4 6 2 4 2" xfId="34566" xr:uid="{D819A4C4-6DB5-40D1-B851-56AAA97E345C}"/>
    <cellStyle name="Comma 4 6 2 5" xfId="9262" xr:uid="{00000000-0005-0000-0000-0000891E0000}"/>
    <cellStyle name="Comma 4 6 2 6" xfId="26132" xr:uid="{1B347815-E014-4861-884B-780C3F014899}"/>
    <cellStyle name="Comma 4 6 3" xfId="1149" xr:uid="{00000000-0005-0000-0000-00008A1E0000}"/>
    <cellStyle name="Comma 4 6 3 2" xfId="3380" xr:uid="{00000000-0005-0000-0000-00008B1E0000}"/>
    <cellStyle name="Comma 4 6 3 2 2" xfId="7603" xr:uid="{00000000-0005-0000-0000-00008C1E0000}"/>
    <cellStyle name="Comma 4 6 3 2 2 2" xfId="24473" xr:uid="{00000000-0005-0000-0000-00008D1E0000}"/>
    <cellStyle name="Comma 4 6 3 2 2 2 2" xfId="41341" xr:uid="{676A3274-5A2B-462D-8D0F-F3834674A667}"/>
    <cellStyle name="Comma 4 6 3 2 2 3" xfId="16038" xr:uid="{00000000-0005-0000-0000-00008E1E0000}"/>
    <cellStyle name="Comma 4 6 3 2 2 4" xfId="32907" xr:uid="{8A0FE022-F316-44B2-A7B8-87353619F088}"/>
    <cellStyle name="Comma 4 6 3 2 3" xfId="20255" xr:uid="{00000000-0005-0000-0000-00008F1E0000}"/>
    <cellStyle name="Comma 4 6 3 2 3 2" xfId="37124" xr:uid="{26B7A2E9-BD6E-4E02-8A30-94C79BF5D5B8}"/>
    <cellStyle name="Comma 4 6 3 2 4" xfId="11820" xr:uid="{00000000-0005-0000-0000-0000901E0000}"/>
    <cellStyle name="Comma 4 6 3 2 5" xfId="28690" xr:uid="{7285F256-8887-4198-B743-9BD1FD414F49}"/>
    <cellStyle name="Comma 4 6 3 3" xfId="5458" xr:uid="{00000000-0005-0000-0000-0000911E0000}"/>
    <cellStyle name="Comma 4 6 3 3 2" xfId="22328" xr:uid="{00000000-0005-0000-0000-0000921E0000}"/>
    <cellStyle name="Comma 4 6 3 3 2 2" xfId="39196" xr:uid="{BD18B59F-B242-48DB-A739-A87EB4AD14B5}"/>
    <cellStyle name="Comma 4 6 3 3 3" xfId="13893" xr:uid="{00000000-0005-0000-0000-0000931E0000}"/>
    <cellStyle name="Comma 4 6 3 3 4" xfId="30762" xr:uid="{2C725950-C714-46E4-8FF1-F0228E82844D}"/>
    <cellStyle name="Comma 4 6 3 4" xfId="18110" xr:uid="{00000000-0005-0000-0000-0000941E0000}"/>
    <cellStyle name="Comma 4 6 3 4 2" xfId="34979" xr:uid="{48582D78-7DD5-4F48-9466-D249C01EE13C}"/>
    <cellStyle name="Comma 4 6 3 5" xfId="9675" xr:uid="{00000000-0005-0000-0000-0000951E0000}"/>
    <cellStyle name="Comma 4 6 3 6" xfId="26545" xr:uid="{430566B2-4CEE-43ED-AD8C-0583B44EDC24}"/>
    <cellStyle name="Comma 4 6 4" xfId="1563" xr:uid="{00000000-0005-0000-0000-0000961E0000}"/>
    <cellStyle name="Comma 4 6 4 2" xfId="3793" xr:uid="{00000000-0005-0000-0000-0000971E0000}"/>
    <cellStyle name="Comma 4 6 4 2 2" xfId="8016" xr:uid="{00000000-0005-0000-0000-0000981E0000}"/>
    <cellStyle name="Comma 4 6 4 2 2 2" xfId="24886" xr:uid="{00000000-0005-0000-0000-0000991E0000}"/>
    <cellStyle name="Comma 4 6 4 2 2 2 2" xfId="41754" xr:uid="{2D01CDC7-AF26-4ED5-9FC9-12DFA4697CCE}"/>
    <cellStyle name="Comma 4 6 4 2 2 3" xfId="16451" xr:uid="{00000000-0005-0000-0000-00009A1E0000}"/>
    <cellStyle name="Comma 4 6 4 2 2 4" xfId="33320" xr:uid="{F0BE54E0-7099-447C-82A9-084DAF605661}"/>
    <cellStyle name="Comma 4 6 4 2 3" xfId="20668" xr:uid="{00000000-0005-0000-0000-00009B1E0000}"/>
    <cellStyle name="Comma 4 6 4 2 3 2" xfId="37537" xr:uid="{3DE2F62E-E2D7-4045-9C90-323D6A9BBF3E}"/>
    <cellStyle name="Comma 4 6 4 2 4" xfId="12233" xr:uid="{00000000-0005-0000-0000-00009C1E0000}"/>
    <cellStyle name="Comma 4 6 4 2 5" xfId="29103" xr:uid="{CB1FEB41-28F1-4EAD-9CCA-B1AFEEA69878}"/>
    <cellStyle name="Comma 4 6 4 3" xfId="5871" xr:uid="{00000000-0005-0000-0000-00009D1E0000}"/>
    <cellStyle name="Comma 4 6 4 3 2" xfId="22741" xr:uid="{00000000-0005-0000-0000-00009E1E0000}"/>
    <cellStyle name="Comma 4 6 4 3 2 2" xfId="39609" xr:uid="{43714242-B7A7-4E58-9CBA-647A6B7BA829}"/>
    <cellStyle name="Comma 4 6 4 3 3" xfId="14306" xr:uid="{00000000-0005-0000-0000-00009F1E0000}"/>
    <cellStyle name="Comma 4 6 4 3 4" xfId="31175" xr:uid="{34FFFFF7-FAF8-4FA8-AC86-1418FE2B62CF}"/>
    <cellStyle name="Comma 4 6 4 4" xfId="18523" xr:uid="{00000000-0005-0000-0000-0000A01E0000}"/>
    <cellStyle name="Comma 4 6 4 4 2" xfId="35392" xr:uid="{AAB99BA4-E60A-4887-8B19-1DDDA8C174D4}"/>
    <cellStyle name="Comma 4 6 4 5" xfId="10088" xr:uid="{00000000-0005-0000-0000-0000A11E0000}"/>
    <cellStyle name="Comma 4 6 4 6" xfId="26958" xr:uid="{0D54CFE2-D4C4-4229-AA08-66560B675BA3}"/>
    <cellStyle name="Comma 4 6 5" xfId="1977" xr:uid="{00000000-0005-0000-0000-0000A21E0000}"/>
    <cellStyle name="Comma 4 6 5 2" xfId="4206" xr:uid="{00000000-0005-0000-0000-0000A31E0000}"/>
    <cellStyle name="Comma 4 6 5 2 2" xfId="8429" xr:uid="{00000000-0005-0000-0000-0000A41E0000}"/>
    <cellStyle name="Comma 4 6 5 2 2 2" xfId="25299" xr:uid="{00000000-0005-0000-0000-0000A51E0000}"/>
    <cellStyle name="Comma 4 6 5 2 2 2 2" xfId="42167" xr:uid="{D215C11F-499D-4CFA-A649-43749DADEC15}"/>
    <cellStyle name="Comma 4 6 5 2 2 3" xfId="16864" xr:uid="{00000000-0005-0000-0000-0000A61E0000}"/>
    <cellStyle name="Comma 4 6 5 2 2 4" xfId="33733" xr:uid="{C3BF6D59-CEE3-4B97-B059-E5CE07782605}"/>
    <cellStyle name="Comma 4 6 5 2 3" xfId="21081" xr:uid="{00000000-0005-0000-0000-0000A71E0000}"/>
    <cellStyle name="Comma 4 6 5 2 3 2" xfId="37950" xr:uid="{AC1051D7-81F8-4D6E-9CDE-73E2B22C60B5}"/>
    <cellStyle name="Comma 4 6 5 2 4" xfId="12646" xr:uid="{00000000-0005-0000-0000-0000A81E0000}"/>
    <cellStyle name="Comma 4 6 5 2 5" xfId="29516" xr:uid="{2CB3C45E-BAB6-4206-B11A-80254D8B61FE}"/>
    <cellStyle name="Comma 4 6 5 3" xfId="6284" xr:uid="{00000000-0005-0000-0000-0000A91E0000}"/>
    <cellStyle name="Comma 4 6 5 3 2" xfId="23154" xr:uid="{00000000-0005-0000-0000-0000AA1E0000}"/>
    <cellStyle name="Comma 4 6 5 3 2 2" xfId="40022" xr:uid="{3C113F08-90B8-4338-AAFD-270BC4CDF7DC}"/>
    <cellStyle name="Comma 4 6 5 3 3" xfId="14719" xr:uid="{00000000-0005-0000-0000-0000AB1E0000}"/>
    <cellStyle name="Comma 4 6 5 3 4" xfId="31588" xr:uid="{6D888214-23AB-4EB3-A00A-32715A94C122}"/>
    <cellStyle name="Comma 4 6 5 4" xfId="18936" xr:uid="{00000000-0005-0000-0000-0000AC1E0000}"/>
    <cellStyle name="Comma 4 6 5 4 2" xfId="35805" xr:uid="{E462A0C4-4989-4407-A953-1C54AEDA2C7D}"/>
    <cellStyle name="Comma 4 6 5 5" xfId="10501" xr:uid="{00000000-0005-0000-0000-0000AD1E0000}"/>
    <cellStyle name="Comma 4 6 5 6" xfId="27371" xr:uid="{55F41DD5-06E0-4F2C-AFC2-0EC1B4FF6C3C}"/>
    <cellStyle name="Comma 4 6 6" xfId="2412" xr:uid="{00000000-0005-0000-0000-0000AE1E0000}"/>
    <cellStyle name="Comma 4 6 6 2" xfId="6697" xr:uid="{00000000-0005-0000-0000-0000AF1E0000}"/>
    <cellStyle name="Comma 4 6 6 2 2" xfId="23567" xr:uid="{00000000-0005-0000-0000-0000B01E0000}"/>
    <cellStyle name="Comma 4 6 6 2 2 2" xfId="40435" xr:uid="{5F70695F-DB62-44FA-B1B0-773CB97F84BC}"/>
    <cellStyle name="Comma 4 6 6 2 3" xfId="15132" xr:uid="{00000000-0005-0000-0000-0000B11E0000}"/>
    <cellStyle name="Comma 4 6 6 2 4" xfId="32001" xr:uid="{1A336495-DAC5-4C4D-806E-DCFDFB8324DB}"/>
    <cellStyle name="Comma 4 6 6 3" xfId="19349" xr:uid="{00000000-0005-0000-0000-0000B21E0000}"/>
    <cellStyle name="Comma 4 6 6 3 2" xfId="36218" xr:uid="{D390DA55-80DE-47EA-B992-B119DE516CA8}"/>
    <cellStyle name="Comma 4 6 6 4" xfId="10914" xr:uid="{00000000-0005-0000-0000-0000B31E0000}"/>
    <cellStyle name="Comma 4 6 6 5" xfId="27784" xr:uid="{03A1CB7E-8707-40E8-989B-3C2C7C3CAB9A}"/>
    <cellStyle name="Comma 4 6 7" xfId="2708" xr:uid="{00000000-0005-0000-0000-0000B41E0000}"/>
    <cellStyle name="Comma 4 6 8" xfId="2790" xr:uid="{00000000-0005-0000-0000-0000B51E0000}"/>
    <cellStyle name="Comma 4 6 8 2" xfId="7014" xr:uid="{00000000-0005-0000-0000-0000B61E0000}"/>
    <cellStyle name="Comma 4 6 8 2 2" xfId="23884" xr:uid="{00000000-0005-0000-0000-0000B71E0000}"/>
    <cellStyle name="Comma 4 6 8 2 2 2" xfId="40752" xr:uid="{2F8AFF0A-314B-4A8C-85BA-0C1FB588F431}"/>
    <cellStyle name="Comma 4 6 8 2 3" xfId="15449" xr:uid="{00000000-0005-0000-0000-0000B81E0000}"/>
    <cellStyle name="Comma 4 6 8 2 4" xfId="32318" xr:uid="{AEFCDED9-EC8C-4E3A-BAA5-27A0747F0536}"/>
    <cellStyle name="Comma 4 6 8 3" xfId="19666" xr:uid="{00000000-0005-0000-0000-0000B91E0000}"/>
    <cellStyle name="Comma 4 6 8 3 2" xfId="36535" xr:uid="{35DCD3D1-22CB-4789-9241-AD23737973CD}"/>
    <cellStyle name="Comma 4 6 8 4" xfId="11231" xr:uid="{00000000-0005-0000-0000-0000BA1E0000}"/>
    <cellStyle name="Comma 4 6 8 5" xfId="28101" xr:uid="{E6A2379D-08A5-418D-99F8-5B57BCD6068F}"/>
    <cellStyle name="Comma 4 6 9" xfId="4631" xr:uid="{00000000-0005-0000-0000-0000BB1E0000}"/>
    <cellStyle name="Comma 4 6 9 2" xfId="21501" xr:uid="{00000000-0005-0000-0000-0000BC1E0000}"/>
    <cellStyle name="Comma 4 6 9 2 2" xfId="38369" xr:uid="{60B70F19-7825-47AC-B9F3-2C2154E96BE3}"/>
    <cellStyle name="Comma 4 6 9 3" xfId="13066" xr:uid="{00000000-0005-0000-0000-0000BD1E0000}"/>
    <cellStyle name="Comma 4 6 9 4" xfId="29935" xr:uid="{8CFC7400-7EA1-4068-B6CC-2ACD80DE8556}"/>
    <cellStyle name="Comma 4 7" xfId="160" xr:uid="{00000000-0005-0000-0000-0000BE1E0000}"/>
    <cellStyle name="Comma 4 7 10" xfId="17284" xr:uid="{00000000-0005-0000-0000-0000BF1E0000}"/>
    <cellStyle name="Comma 4 7 10 2" xfId="34153" xr:uid="{266E7215-79FF-461F-B6C4-F9CC1A91E618}"/>
    <cellStyle name="Comma 4 7 11" xfId="8849" xr:uid="{00000000-0005-0000-0000-0000C01E0000}"/>
    <cellStyle name="Comma 4 7 12" xfId="25719" xr:uid="{FA4E6559-1CBF-4259-8FFB-41A395EC144B}"/>
    <cellStyle name="Comma 4 7 2" xfId="697" xr:uid="{00000000-0005-0000-0000-0000C11E0000}"/>
    <cellStyle name="Comma 4 7 2 2" xfId="2968" xr:uid="{00000000-0005-0000-0000-0000C21E0000}"/>
    <cellStyle name="Comma 4 7 2 2 2" xfId="7191" xr:uid="{00000000-0005-0000-0000-0000C31E0000}"/>
    <cellStyle name="Comma 4 7 2 2 2 2" xfId="24061" xr:uid="{00000000-0005-0000-0000-0000C41E0000}"/>
    <cellStyle name="Comma 4 7 2 2 2 2 2" xfId="40929" xr:uid="{D679085A-DCBB-4C73-98DC-C6C659427CAE}"/>
    <cellStyle name="Comma 4 7 2 2 2 3" xfId="15626" xr:uid="{00000000-0005-0000-0000-0000C51E0000}"/>
    <cellStyle name="Comma 4 7 2 2 2 4" xfId="32495" xr:uid="{18649CFA-2435-43FE-A10F-1C50BDDC40B6}"/>
    <cellStyle name="Comma 4 7 2 2 3" xfId="19843" xr:uid="{00000000-0005-0000-0000-0000C61E0000}"/>
    <cellStyle name="Comma 4 7 2 2 3 2" xfId="36712" xr:uid="{1057F9C2-BA0B-43F3-A12D-D5425EA12761}"/>
    <cellStyle name="Comma 4 7 2 2 4" xfId="11408" xr:uid="{00000000-0005-0000-0000-0000C71E0000}"/>
    <cellStyle name="Comma 4 7 2 2 5" xfId="28278" xr:uid="{6B3AA35B-4A82-4DAD-B726-B5FF7BF59C88}"/>
    <cellStyle name="Comma 4 7 2 3" xfId="5046" xr:uid="{00000000-0005-0000-0000-0000C81E0000}"/>
    <cellStyle name="Comma 4 7 2 3 2" xfId="21916" xr:uid="{00000000-0005-0000-0000-0000C91E0000}"/>
    <cellStyle name="Comma 4 7 2 3 2 2" xfId="38784" xr:uid="{6669A923-737B-4F9E-93AD-74B8ECF85235}"/>
    <cellStyle name="Comma 4 7 2 3 3" xfId="13481" xr:uid="{00000000-0005-0000-0000-0000CA1E0000}"/>
    <cellStyle name="Comma 4 7 2 3 4" xfId="30350" xr:uid="{8A2BFB98-69F2-4ED7-8F3A-DB776117DD74}"/>
    <cellStyle name="Comma 4 7 2 4" xfId="17698" xr:uid="{00000000-0005-0000-0000-0000CB1E0000}"/>
    <cellStyle name="Comma 4 7 2 4 2" xfId="34567" xr:uid="{918994D8-2A5C-4E8D-94CF-D79E1207B70B}"/>
    <cellStyle name="Comma 4 7 2 5" xfId="9263" xr:uid="{00000000-0005-0000-0000-0000CC1E0000}"/>
    <cellStyle name="Comma 4 7 2 6" xfId="26133" xr:uid="{461EAA46-1731-430B-AA35-E33C25D90005}"/>
    <cellStyle name="Comma 4 7 3" xfId="1150" xr:uid="{00000000-0005-0000-0000-0000CD1E0000}"/>
    <cellStyle name="Comma 4 7 3 2" xfId="3381" xr:uid="{00000000-0005-0000-0000-0000CE1E0000}"/>
    <cellStyle name="Comma 4 7 3 2 2" xfId="7604" xr:uid="{00000000-0005-0000-0000-0000CF1E0000}"/>
    <cellStyle name="Comma 4 7 3 2 2 2" xfId="24474" xr:uid="{00000000-0005-0000-0000-0000D01E0000}"/>
    <cellStyle name="Comma 4 7 3 2 2 2 2" xfId="41342" xr:uid="{25E63788-CE1A-4ED6-BCF2-3143090ED3FA}"/>
    <cellStyle name="Comma 4 7 3 2 2 3" xfId="16039" xr:uid="{00000000-0005-0000-0000-0000D11E0000}"/>
    <cellStyle name="Comma 4 7 3 2 2 4" xfId="32908" xr:uid="{CCF3B72D-B483-40C6-B003-0E9B5BB43329}"/>
    <cellStyle name="Comma 4 7 3 2 3" xfId="20256" xr:uid="{00000000-0005-0000-0000-0000D21E0000}"/>
    <cellStyle name="Comma 4 7 3 2 3 2" xfId="37125" xr:uid="{7A75020A-DB1A-4FC0-96F5-22DB53B3BEF2}"/>
    <cellStyle name="Comma 4 7 3 2 4" xfId="11821" xr:uid="{00000000-0005-0000-0000-0000D31E0000}"/>
    <cellStyle name="Comma 4 7 3 2 5" xfId="28691" xr:uid="{1F3588F7-0B52-4CFA-AA65-9D4DF3416D6E}"/>
    <cellStyle name="Comma 4 7 3 3" xfId="5459" xr:uid="{00000000-0005-0000-0000-0000D41E0000}"/>
    <cellStyle name="Comma 4 7 3 3 2" xfId="22329" xr:uid="{00000000-0005-0000-0000-0000D51E0000}"/>
    <cellStyle name="Comma 4 7 3 3 2 2" xfId="39197" xr:uid="{E37E6927-E88E-4C95-A3FB-9A1036A69226}"/>
    <cellStyle name="Comma 4 7 3 3 3" xfId="13894" xr:uid="{00000000-0005-0000-0000-0000D61E0000}"/>
    <cellStyle name="Comma 4 7 3 3 4" xfId="30763" xr:uid="{D4755418-DBA3-492B-8CCA-BB74AAE2F25A}"/>
    <cellStyle name="Comma 4 7 3 4" xfId="18111" xr:uid="{00000000-0005-0000-0000-0000D71E0000}"/>
    <cellStyle name="Comma 4 7 3 4 2" xfId="34980" xr:uid="{E38EC553-7E2C-4A9D-BF01-3BF649347175}"/>
    <cellStyle name="Comma 4 7 3 5" xfId="9676" xr:uid="{00000000-0005-0000-0000-0000D81E0000}"/>
    <cellStyle name="Comma 4 7 3 6" xfId="26546" xr:uid="{6F5FC7CD-2610-407F-83BC-C4B5AEA967C1}"/>
    <cellStyle name="Comma 4 7 4" xfId="1564" xr:uid="{00000000-0005-0000-0000-0000D91E0000}"/>
    <cellStyle name="Comma 4 7 4 2" xfId="3794" xr:uid="{00000000-0005-0000-0000-0000DA1E0000}"/>
    <cellStyle name="Comma 4 7 4 2 2" xfId="8017" xr:uid="{00000000-0005-0000-0000-0000DB1E0000}"/>
    <cellStyle name="Comma 4 7 4 2 2 2" xfId="24887" xr:uid="{00000000-0005-0000-0000-0000DC1E0000}"/>
    <cellStyle name="Comma 4 7 4 2 2 2 2" xfId="41755" xr:uid="{E49ECDC1-C4E5-4B0F-8A96-15F4B7F706F0}"/>
    <cellStyle name="Comma 4 7 4 2 2 3" xfId="16452" xr:uid="{00000000-0005-0000-0000-0000DD1E0000}"/>
    <cellStyle name="Comma 4 7 4 2 2 4" xfId="33321" xr:uid="{8A83438A-DFDF-45D8-9698-081EE62969AA}"/>
    <cellStyle name="Comma 4 7 4 2 3" xfId="20669" xr:uid="{00000000-0005-0000-0000-0000DE1E0000}"/>
    <cellStyle name="Comma 4 7 4 2 3 2" xfId="37538" xr:uid="{30CA7CDB-0377-4728-A43F-91420F94D527}"/>
    <cellStyle name="Comma 4 7 4 2 4" xfId="12234" xr:uid="{00000000-0005-0000-0000-0000DF1E0000}"/>
    <cellStyle name="Comma 4 7 4 2 5" xfId="29104" xr:uid="{11EB8E11-7597-49DD-AC69-E64C0E8B7CE2}"/>
    <cellStyle name="Comma 4 7 4 3" xfId="5872" xr:uid="{00000000-0005-0000-0000-0000E01E0000}"/>
    <cellStyle name="Comma 4 7 4 3 2" xfId="22742" xr:uid="{00000000-0005-0000-0000-0000E11E0000}"/>
    <cellStyle name="Comma 4 7 4 3 2 2" xfId="39610" xr:uid="{87B1CBE2-868D-4BAA-93E2-E60596810163}"/>
    <cellStyle name="Comma 4 7 4 3 3" xfId="14307" xr:uid="{00000000-0005-0000-0000-0000E21E0000}"/>
    <cellStyle name="Comma 4 7 4 3 4" xfId="31176" xr:uid="{DFEDC6DC-015D-462F-A3A1-CA87A29ECBF9}"/>
    <cellStyle name="Comma 4 7 4 4" xfId="18524" xr:uid="{00000000-0005-0000-0000-0000E31E0000}"/>
    <cellStyle name="Comma 4 7 4 4 2" xfId="35393" xr:uid="{7C7A62DC-6586-461C-8E60-058DE0296421}"/>
    <cellStyle name="Comma 4 7 4 5" xfId="10089" xr:uid="{00000000-0005-0000-0000-0000E41E0000}"/>
    <cellStyle name="Comma 4 7 4 6" xfId="26959" xr:uid="{6A0B40C7-C8EF-43F0-81E5-2BF2475E338A}"/>
    <cellStyle name="Comma 4 7 5" xfId="1978" xr:uid="{00000000-0005-0000-0000-0000E51E0000}"/>
    <cellStyle name="Comma 4 7 5 2" xfId="4207" xr:uid="{00000000-0005-0000-0000-0000E61E0000}"/>
    <cellStyle name="Comma 4 7 5 2 2" xfId="8430" xr:uid="{00000000-0005-0000-0000-0000E71E0000}"/>
    <cellStyle name="Comma 4 7 5 2 2 2" xfId="25300" xr:uid="{00000000-0005-0000-0000-0000E81E0000}"/>
    <cellStyle name="Comma 4 7 5 2 2 2 2" xfId="42168" xr:uid="{446A38AF-5F79-4F61-AD31-C2C29DFA2A35}"/>
    <cellStyle name="Comma 4 7 5 2 2 3" xfId="16865" xr:uid="{00000000-0005-0000-0000-0000E91E0000}"/>
    <cellStyle name="Comma 4 7 5 2 2 4" xfId="33734" xr:uid="{8EDDE693-B794-48F1-BB50-5E42FE516B19}"/>
    <cellStyle name="Comma 4 7 5 2 3" xfId="21082" xr:uid="{00000000-0005-0000-0000-0000EA1E0000}"/>
    <cellStyle name="Comma 4 7 5 2 3 2" xfId="37951" xr:uid="{A3A00BD6-0985-4F86-A278-CA1585AB75A3}"/>
    <cellStyle name="Comma 4 7 5 2 4" xfId="12647" xr:uid="{00000000-0005-0000-0000-0000EB1E0000}"/>
    <cellStyle name="Comma 4 7 5 2 5" xfId="29517" xr:uid="{3387C746-415B-4DE5-9722-0EC2B03EAD08}"/>
    <cellStyle name="Comma 4 7 5 3" xfId="6285" xr:uid="{00000000-0005-0000-0000-0000EC1E0000}"/>
    <cellStyle name="Comma 4 7 5 3 2" xfId="23155" xr:uid="{00000000-0005-0000-0000-0000ED1E0000}"/>
    <cellStyle name="Comma 4 7 5 3 2 2" xfId="40023" xr:uid="{013A9438-E70B-471D-BA34-21C4EC3A5C75}"/>
    <cellStyle name="Comma 4 7 5 3 3" xfId="14720" xr:uid="{00000000-0005-0000-0000-0000EE1E0000}"/>
    <cellStyle name="Comma 4 7 5 3 4" xfId="31589" xr:uid="{881C4A13-8145-4568-B132-242ED2B5C709}"/>
    <cellStyle name="Comma 4 7 5 4" xfId="18937" xr:uid="{00000000-0005-0000-0000-0000EF1E0000}"/>
    <cellStyle name="Comma 4 7 5 4 2" xfId="35806" xr:uid="{8D333EF3-F5C8-41BE-AEE6-009FCDFDC9BB}"/>
    <cellStyle name="Comma 4 7 5 5" xfId="10502" xr:uid="{00000000-0005-0000-0000-0000F01E0000}"/>
    <cellStyle name="Comma 4 7 5 6" xfId="27372" xr:uid="{90D729E4-BA0A-443A-96D2-AFF3238BC8D6}"/>
    <cellStyle name="Comma 4 7 6" xfId="2413" xr:uid="{00000000-0005-0000-0000-0000F11E0000}"/>
    <cellStyle name="Comma 4 7 6 2" xfId="6698" xr:uid="{00000000-0005-0000-0000-0000F21E0000}"/>
    <cellStyle name="Comma 4 7 6 2 2" xfId="23568" xr:uid="{00000000-0005-0000-0000-0000F31E0000}"/>
    <cellStyle name="Comma 4 7 6 2 2 2" xfId="40436" xr:uid="{DB49D0D6-42D2-4064-BBC7-D44FB5803564}"/>
    <cellStyle name="Comma 4 7 6 2 3" xfId="15133" xr:uid="{00000000-0005-0000-0000-0000F41E0000}"/>
    <cellStyle name="Comma 4 7 6 2 4" xfId="32002" xr:uid="{D6FCF731-816F-49E1-AB32-E2B49B7CF8F0}"/>
    <cellStyle name="Comma 4 7 6 3" xfId="19350" xr:uid="{00000000-0005-0000-0000-0000F51E0000}"/>
    <cellStyle name="Comma 4 7 6 3 2" xfId="36219" xr:uid="{43259624-82CF-4A3B-80AA-7141A5DC321B}"/>
    <cellStyle name="Comma 4 7 6 4" xfId="10915" xr:uid="{00000000-0005-0000-0000-0000F61E0000}"/>
    <cellStyle name="Comma 4 7 6 5" xfId="27785" xr:uid="{E58F878E-D872-4164-88DF-AE736D95FA99}"/>
    <cellStyle name="Comma 4 7 7" xfId="2709" xr:uid="{00000000-0005-0000-0000-0000F71E0000}"/>
    <cellStyle name="Comma 4 7 8" xfId="2791" xr:uid="{00000000-0005-0000-0000-0000F81E0000}"/>
    <cellStyle name="Comma 4 7 8 2" xfId="7015" xr:uid="{00000000-0005-0000-0000-0000F91E0000}"/>
    <cellStyle name="Comma 4 7 8 2 2" xfId="23885" xr:uid="{00000000-0005-0000-0000-0000FA1E0000}"/>
    <cellStyle name="Comma 4 7 8 2 2 2" xfId="40753" xr:uid="{06FE3E09-CD50-43ED-8CC9-DA1628236F46}"/>
    <cellStyle name="Comma 4 7 8 2 3" xfId="15450" xr:uid="{00000000-0005-0000-0000-0000FB1E0000}"/>
    <cellStyle name="Comma 4 7 8 2 4" xfId="32319" xr:uid="{236CC743-65F5-48A4-9C2C-985BAFD24091}"/>
    <cellStyle name="Comma 4 7 8 3" xfId="19667" xr:uid="{00000000-0005-0000-0000-0000FC1E0000}"/>
    <cellStyle name="Comma 4 7 8 3 2" xfId="36536" xr:uid="{5C0AA958-F6DD-4B02-A10A-CB7FC8886CC3}"/>
    <cellStyle name="Comma 4 7 8 4" xfId="11232" xr:uid="{00000000-0005-0000-0000-0000FD1E0000}"/>
    <cellStyle name="Comma 4 7 8 5" xfId="28102" xr:uid="{7B1F3AF1-6281-47D9-906A-59DFDCE5EDAB}"/>
    <cellStyle name="Comma 4 7 9" xfId="4632" xr:uid="{00000000-0005-0000-0000-0000FE1E0000}"/>
    <cellStyle name="Comma 4 7 9 2" xfId="21502" xr:uid="{00000000-0005-0000-0000-0000FF1E0000}"/>
    <cellStyle name="Comma 4 7 9 2 2" xfId="38370" xr:uid="{837C5002-6D25-4EC1-8483-CE3D34C75733}"/>
    <cellStyle name="Comma 4 7 9 3" xfId="13067" xr:uid="{00000000-0005-0000-0000-0000001F0000}"/>
    <cellStyle name="Comma 4 7 9 4" xfId="29936" xr:uid="{46585A4E-0D06-4CA4-B3D6-F12677AEECC9}"/>
    <cellStyle name="Comma 5" xfId="161" xr:uid="{00000000-0005-0000-0000-0000011F0000}"/>
    <cellStyle name="Comma 5 2" xfId="162" xr:uid="{00000000-0005-0000-0000-0000021F0000}"/>
    <cellStyle name="Comma 5 2 2" xfId="698" xr:uid="{00000000-0005-0000-0000-0000031F0000}"/>
    <cellStyle name="Comma 6" xfId="163" xr:uid="{00000000-0005-0000-0000-0000041F0000}"/>
    <cellStyle name="Comma 7" xfId="4498" xr:uid="{00000000-0005-0000-0000-0000051F0000}"/>
    <cellStyle name="Comma 7 2" xfId="21370" xr:uid="{00000000-0005-0000-0000-0000061F0000}"/>
    <cellStyle name="Comma 7 2 2" xfId="38238" xr:uid="{F8FABA5D-2701-48FF-A82B-C28D4125CD34}"/>
    <cellStyle name="Comma 7 3" xfId="12935" xr:uid="{00000000-0005-0000-0000-0000071F0000}"/>
    <cellStyle name="Comma 7 4" xfId="25587" xr:uid="{00000000-0005-0000-0000-0000081F0000}"/>
    <cellStyle name="Comma 7 5" xfId="25590" xr:uid="{00000000-0005-0000-0000-0000091F0000}"/>
    <cellStyle name="Comma 7 6" xfId="29804" xr:uid="{057DCD37-C62C-41AA-94D4-8ED98981BDA0}"/>
    <cellStyle name="Currency 10" xfId="164" xr:uid="{00000000-0005-0000-0000-00000A1F0000}"/>
    <cellStyle name="Currency 10 2" xfId="165" xr:uid="{00000000-0005-0000-0000-00000B1F0000}"/>
    <cellStyle name="Currency 10 2 2" xfId="700" xr:uid="{00000000-0005-0000-0000-00000C1F0000}"/>
    <cellStyle name="Currency 10 3" xfId="166" xr:uid="{00000000-0005-0000-0000-00000D1F0000}"/>
    <cellStyle name="Currency 10 3 2" xfId="701" xr:uid="{00000000-0005-0000-0000-00000E1F0000}"/>
    <cellStyle name="Currency 10 4" xfId="167" xr:uid="{00000000-0005-0000-0000-00000F1F0000}"/>
    <cellStyle name="Currency 10 5" xfId="699" xr:uid="{00000000-0005-0000-0000-0000101F0000}"/>
    <cellStyle name="Currency 11" xfId="168" xr:uid="{00000000-0005-0000-0000-0000111F0000}"/>
    <cellStyle name="Currency 11 2" xfId="169" xr:uid="{00000000-0005-0000-0000-0000121F0000}"/>
    <cellStyle name="Currency 11 2 2" xfId="703" xr:uid="{00000000-0005-0000-0000-0000131F0000}"/>
    <cellStyle name="Currency 11 3" xfId="702" xr:uid="{00000000-0005-0000-0000-0000141F0000}"/>
    <cellStyle name="Currency 12" xfId="170" xr:uid="{00000000-0005-0000-0000-0000151F0000}"/>
    <cellStyle name="Currency 12 2" xfId="705" xr:uid="{00000000-0005-0000-0000-0000161F0000}"/>
    <cellStyle name="Currency 12 3" xfId="704" xr:uid="{00000000-0005-0000-0000-0000171F0000}"/>
    <cellStyle name="Currency 13" xfId="2710" xr:uid="{00000000-0005-0000-0000-0000181F0000}"/>
    <cellStyle name="Currency 13 2" xfId="4493" xr:uid="{00000000-0005-0000-0000-0000191F0000}"/>
    <cellStyle name="Currency 13 3" xfId="2446" xr:uid="{00000000-0005-0000-0000-00001A1F0000}"/>
    <cellStyle name="Currency 14" xfId="4501" xr:uid="{00000000-0005-0000-0000-00001B1F0000}"/>
    <cellStyle name="Currency 14 2" xfId="8717" xr:uid="{00000000-0005-0000-0000-00001C1F0000}"/>
    <cellStyle name="Currency 14 2 2" xfId="17152" xr:uid="{00000000-0005-0000-0000-00001D1F0000}"/>
    <cellStyle name="Currency 14 2 3" xfId="34021" xr:uid="{C1F5C782-D2A9-4BE9-99BA-363692A68544}"/>
    <cellStyle name="Currency 14 3" xfId="8720" xr:uid="{00000000-0005-0000-0000-00001E1F0000}"/>
    <cellStyle name="Currency 14 3 2" xfId="17155" xr:uid="{00000000-0005-0000-0000-00001F1F0000}"/>
    <cellStyle name="Currency 14 3 3" xfId="34024" xr:uid="{7E664E2E-F25A-4BD5-8503-93A264BFB069}"/>
    <cellStyle name="Currency 14 4" xfId="21373" xr:uid="{00000000-0005-0000-0000-0000201F0000}"/>
    <cellStyle name="Currency 14 4 2" xfId="38241" xr:uid="{E288433A-5153-425D-A36C-9D4408219677}"/>
    <cellStyle name="Currency 14 5" xfId="12938" xr:uid="{00000000-0005-0000-0000-0000211F0000}"/>
    <cellStyle name="Currency 14 6" xfId="29807" xr:uid="{8099022A-3CED-45E6-8A4C-110780C5EAA8}"/>
    <cellStyle name="Currency 2" xfId="171" xr:uid="{00000000-0005-0000-0000-0000221F0000}"/>
    <cellStyle name="Currency 2 2" xfId="172" xr:uid="{00000000-0005-0000-0000-0000231F0000}"/>
    <cellStyle name="Currency 2 3" xfId="173" xr:uid="{00000000-0005-0000-0000-0000241F0000}"/>
    <cellStyle name="Currency 2 3 2" xfId="174" xr:uid="{00000000-0005-0000-0000-0000251F0000}"/>
    <cellStyle name="Currency 2 3 2 2" xfId="707" xr:uid="{00000000-0005-0000-0000-0000261F0000}"/>
    <cellStyle name="Currency 2 3 3" xfId="175" xr:uid="{00000000-0005-0000-0000-0000271F0000}"/>
    <cellStyle name="Currency 2 4" xfId="706" xr:uid="{00000000-0005-0000-0000-0000281F0000}"/>
    <cellStyle name="Currency 3" xfId="176" xr:uid="{00000000-0005-0000-0000-0000291F0000}"/>
    <cellStyle name="Currency 3 2" xfId="177" xr:uid="{00000000-0005-0000-0000-00002A1F0000}"/>
    <cellStyle name="Currency 3 2 2" xfId="178" xr:uid="{00000000-0005-0000-0000-00002B1F0000}"/>
    <cellStyle name="Currency 3 2 2 10" xfId="2792" xr:uid="{00000000-0005-0000-0000-00002C1F0000}"/>
    <cellStyle name="Currency 3 2 2 10 2" xfId="7016" xr:uid="{00000000-0005-0000-0000-00002D1F0000}"/>
    <cellStyle name="Currency 3 2 2 10 2 2" xfId="23886" xr:uid="{00000000-0005-0000-0000-00002E1F0000}"/>
    <cellStyle name="Currency 3 2 2 10 2 2 2" xfId="40754" xr:uid="{0F71D259-8086-45E1-8818-17923275C392}"/>
    <cellStyle name="Currency 3 2 2 10 2 3" xfId="15451" xr:uid="{00000000-0005-0000-0000-00002F1F0000}"/>
    <cellStyle name="Currency 3 2 2 10 2 4" xfId="32320" xr:uid="{1AF8E985-2FEF-43B0-B606-F23288D95F73}"/>
    <cellStyle name="Currency 3 2 2 10 3" xfId="19668" xr:uid="{00000000-0005-0000-0000-0000301F0000}"/>
    <cellStyle name="Currency 3 2 2 10 3 2" xfId="36537" xr:uid="{E7387CC4-3248-4368-8A38-6C23D6E3E9A4}"/>
    <cellStyle name="Currency 3 2 2 10 4" xfId="11233" xr:uid="{00000000-0005-0000-0000-0000311F0000}"/>
    <cellStyle name="Currency 3 2 2 10 5" xfId="28103" xr:uid="{3CA39E28-99F3-4F37-AB77-1438C0353B9A}"/>
    <cellStyle name="Currency 3 2 2 11" xfId="4633" xr:uid="{00000000-0005-0000-0000-0000321F0000}"/>
    <cellStyle name="Currency 3 2 2 11 2" xfId="21503" xr:uid="{00000000-0005-0000-0000-0000331F0000}"/>
    <cellStyle name="Currency 3 2 2 11 2 2" xfId="38371" xr:uid="{CA59AEF8-56C7-4048-A4CF-6747D69B3E16}"/>
    <cellStyle name="Currency 3 2 2 11 3" xfId="13068" xr:uid="{00000000-0005-0000-0000-0000341F0000}"/>
    <cellStyle name="Currency 3 2 2 11 4" xfId="29937" xr:uid="{348A883F-4D37-48E6-9B26-DADED68C641B}"/>
    <cellStyle name="Currency 3 2 2 12" xfId="17285" xr:uid="{00000000-0005-0000-0000-0000351F0000}"/>
    <cellStyle name="Currency 3 2 2 12 2" xfId="34154" xr:uid="{8A74FE80-7B1C-4649-B758-E424C3F93BDE}"/>
    <cellStyle name="Currency 3 2 2 13" xfId="8850" xr:uid="{00000000-0005-0000-0000-0000361F0000}"/>
    <cellStyle name="Currency 3 2 2 14" xfId="25720" xr:uid="{9827E367-5EA0-47E7-A059-B6F888AB6721}"/>
    <cellStyle name="Currency 3 2 2 2" xfId="179" xr:uid="{00000000-0005-0000-0000-0000371F0000}"/>
    <cellStyle name="Currency 3 2 2 2 10" xfId="4634" xr:uid="{00000000-0005-0000-0000-0000381F0000}"/>
    <cellStyle name="Currency 3 2 2 2 10 2" xfId="21504" xr:uid="{00000000-0005-0000-0000-0000391F0000}"/>
    <cellStyle name="Currency 3 2 2 2 10 2 2" xfId="38372" xr:uid="{6198D22C-2EB8-4703-B31B-F24AF70DE605}"/>
    <cellStyle name="Currency 3 2 2 2 10 3" xfId="13069" xr:uid="{00000000-0005-0000-0000-00003A1F0000}"/>
    <cellStyle name="Currency 3 2 2 2 10 4" xfId="29938" xr:uid="{A9BF7DF3-E873-4550-A29C-E3D300146C41}"/>
    <cellStyle name="Currency 3 2 2 2 11" xfId="17286" xr:uid="{00000000-0005-0000-0000-00003B1F0000}"/>
    <cellStyle name="Currency 3 2 2 2 11 2" xfId="34155" xr:uid="{6F670049-9D10-4D9C-AAC8-9378D134085B}"/>
    <cellStyle name="Currency 3 2 2 2 12" xfId="8851" xr:uid="{00000000-0005-0000-0000-00003C1F0000}"/>
    <cellStyle name="Currency 3 2 2 2 13" xfId="25721" xr:uid="{36C57B23-33C8-41AB-B38E-1AE60A288533}"/>
    <cellStyle name="Currency 3 2 2 2 2" xfId="180" xr:uid="{00000000-0005-0000-0000-00003D1F0000}"/>
    <cellStyle name="Currency 3 2 2 2 2 10" xfId="17287" xr:uid="{00000000-0005-0000-0000-00003E1F0000}"/>
    <cellStyle name="Currency 3 2 2 2 2 10 2" xfId="34156" xr:uid="{208FA8A4-158B-4BE2-AAD2-7754888DAC25}"/>
    <cellStyle name="Currency 3 2 2 2 2 11" xfId="8852" xr:uid="{00000000-0005-0000-0000-00003F1F0000}"/>
    <cellStyle name="Currency 3 2 2 2 2 12" xfId="25722" xr:uid="{5F8608E2-1220-45EC-B54A-C492362DC276}"/>
    <cellStyle name="Currency 3 2 2 2 2 2" xfId="710" xr:uid="{00000000-0005-0000-0000-0000401F0000}"/>
    <cellStyle name="Currency 3 2 2 2 2 2 2" xfId="2971" xr:uid="{00000000-0005-0000-0000-0000411F0000}"/>
    <cellStyle name="Currency 3 2 2 2 2 2 2 2" xfId="7194" xr:uid="{00000000-0005-0000-0000-0000421F0000}"/>
    <cellStyle name="Currency 3 2 2 2 2 2 2 2 2" xfId="24064" xr:uid="{00000000-0005-0000-0000-0000431F0000}"/>
    <cellStyle name="Currency 3 2 2 2 2 2 2 2 2 2" xfId="40932" xr:uid="{AEC9E26F-A9B9-4A4C-90AD-4B18769460EF}"/>
    <cellStyle name="Currency 3 2 2 2 2 2 2 2 3" xfId="15629" xr:uid="{00000000-0005-0000-0000-0000441F0000}"/>
    <cellStyle name="Currency 3 2 2 2 2 2 2 2 4" xfId="32498" xr:uid="{360B6971-A74E-42BF-A7E2-113BEEB32B8C}"/>
    <cellStyle name="Currency 3 2 2 2 2 2 2 3" xfId="19846" xr:uid="{00000000-0005-0000-0000-0000451F0000}"/>
    <cellStyle name="Currency 3 2 2 2 2 2 2 3 2" xfId="36715" xr:uid="{33C19E3B-4153-4DE1-87D6-53B3D2A2159A}"/>
    <cellStyle name="Currency 3 2 2 2 2 2 2 4" xfId="11411" xr:uid="{00000000-0005-0000-0000-0000461F0000}"/>
    <cellStyle name="Currency 3 2 2 2 2 2 2 5" xfId="28281" xr:uid="{821E5D46-02DF-4F64-B22C-CB0F27A0313C}"/>
    <cellStyle name="Currency 3 2 2 2 2 2 3" xfId="5049" xr:uid="{00000000-0005-0000-0000-0000471F0000}"/>
    <cellStyle name="Currency 3 2 2 2 2 2 3 2" xfId="21919" xr:uid="{00000000-0005-0000-0000-0000481F0000}"/>
    <cellStyle name="Currency 3 2 2 2 2 2 3 2 2" xfId="38787" xr:uid="{C54542CE-8D42-42E5-B88F-C162199EE498}"/>
    <cellStyle name="Currency 3 2 2 2 2 2 3 3" xfId="13484" xr:uid="{00000000-0005-0000-0000-0000491F0000}"/>
    <cellStyle name="Currency 3 2 2 2 2 2 3 4" xfId="30353" xr:uid="{1A71191C-FC07-46DB-A86D-8FAD5491DBF5}"/>
    <cellStyle name="Currency 3 2 2 2 2 2 4" xfId="17701" xr:uid="{00000000-0005-0000-0000-00004A1F0000}"/>
    <cellStyle name="Currency 3 2 2 2 2 2 4 2" xfId="34570" xr:uid="{4E2277C1-F013-4028-B4D6-E2050236C1D8}"/>
    <cellStyle name="Currency 3 2 2 2 2 2 5" xfId="9266" xr:uid="{00000000-0005-0000-0000-00004B1F0000}"/>
    <cellStyle name="Currency 3 2 2 2 2 2 6" xfId="26136" xr:uid="{4A477CEF-9662-4101-88E0-8A3E16D327FF}"/>
    <cellStyle name="Currency 3 2 2 2 2 3" xfId="1153" xr:uid="{00000000-0005-0000-0000-00004C1F0000}"/>
    <cellStyle name="Currency 3 2 2 2 2 3 2" xfId="3384" xr:uid="{00000000-0005-0000-0000-00004D1F0000}"/>
    <cellStyle name="Currency 3 2 2 2 2 3 2 2" xfId="7607" xr:uid="{00000000-0005-0000-0000-00004E1F0000}"/>
    <cellStyle name="Currency 3 2 2 2 2 3 2 2 2" xfId="24477" xr:uid="{00000000-0005-0000-0000-00004F1F0000}"/>
    <cellStyle name="Currency 3 2 2 2 2 3 2 2 2 2" xfId="41345" xr:uid="{6314544A-1E39-41C7-939F-A0BDB77254E8}"/>
    <cellStyle name="Currency 3 2 2 2 2 3 2 2 3" xfId="16042" xr:uid="{00000000-0005-0000-0000-0000501F0000}"/>
    <cellStyle name="Currency 3 2 2 2 2 3 2 2 4" xfId="32911" xr:uid="{F15DA67C-B15E-49DE-B37B-C813A45D85CF}"/>
    <cellStyle name="Currency 3 2 2 2 2 3 2 3" xfId="20259" xr:uid="{00000000-0005-0000-0000-0000511F0000}"/>
    <cellStyle name="Currency 3 2 2 2 2 3 2 3 2" xfId="37128" xr:uid="{1D458BD1-AA54-4CB8-AF2C-18FD526BA126}"/>
    <cellStyle name="Currency 3 2 2 2 2 3 2 4" xfId="11824" xr:uid="{00000000-0005-0000-0000-0000521F0000}"/>
    <cellStyle name="Currency 3 2 2 2 2 3 2 5" xfId="28694" xr:uid="{A29F0915-5590-4C33-9FA6-F2091D3976F1}"/>
    <cellStyle name="Currency 3 2 2 2 2 3 3" xfId="5462" xr:uid="{00000000-0005-0000-0000-0000531F0000}"/>
    <cellStyle name="Currency 3 2 2 2 2 3 3 2" xfId="22332" xr:uid="{00000000-0005-0000-0000-0000541F0000}"/>
    <cellStyle name="Currency 3 2 2 2 2 3 3 2 2" xfId="39200" xr:uid="{E2AA645F-5553-4F4A-A3A2-EB6BC4893651}"/>
    <cellStyle name="Currency 3 2 2 2 2 3 3 3" xfId="13897" xr:uid="{00000000-0005-0000-0000-0000551F0000}"/>
    <cellStyle name="Currency 3 2 2 2 2 3 3 4" xfId="30766" xr:uid="{6F132D8C-3FED-411E-B665-41ECB4D2F392}"/>
    <cellStyle name="Currency 3 2 2 2 2 3 4" xfId="18114" xr:uid="{00000000-0005-0000-0000-0000561F0000}"/>
    <cellStyle name="Currency 3 2 2 2 2 3 4 2" xfId="34983" xr:uid="{08D5FB11-B118-4F89-B744-ADCAACA4AD58}"/>
    <cellStyle name="Currency 3 2 2 2 2 3 5" xfId="9679" xr:uid="{00000000-0005-0000-0000-0000571F0000}"/>
    <cellStyle name="Currency 3 2 2 2 2 3 6" xfId="26549" xr:uid="{5524C3A4-3E72-4E9B-B876-14408DDC755F}"/>
    <cellStyle name="Currency 3 2 2 2 2 4" xfId="1567" xr:uid="{00000000-0005-0000-0000-0000581F0000}"/>
    <cellStyle name="Currency 3 2 2 2 2 4 2" xfId="3797" xr:uid="{00000000-0005-0000-0000-0000591F0000}"/>
    <cellStyle name="Currency 3 2 2 2 2 4 2 2" xfId="8020" xr:uid="{00000000-0005-0000-0000-00005A1F0000}"/>
    <cellStyle name="Currency 3 2 2 2 2 4 2 2 2" xfId="24890" xr:uid="{00000000-0005-0000-0000-00005B1F0000}"/>
    <cellStyle name="Currency 3 2 2 2 2 4 2 2 2 2" xfId="41758" xr:uid="{E953F21F-F0E3-4784-933F-FB4039090A4F}"/>
    <cellStyle name="Currency 3 2 2 2 2 4 2 2 3" xfId="16455" xr:uid="{00000000-0005-0000-0000-00005C1F0000}"/>
    <cellStyle name="Currency 3 2 2 2 2 4 2 2 4" xfId="33324" xr:uid="{9178D9B2-FE84-49E1-825F-B375E3D038F0}"/>
    <cellStyle name="Currency 3 2 2 2 2 4 2 3" xfId="20672" xr:uid="{00000000-0005-0000-0000-00005D1F0000}"/>
    <cellStyle name="Currency 3 2 2 2 2 4 2 3 2" xfId="37541" xr:uid="{FDA05160-10B3-4D35-9940-0C5D7A35585F}"/>
    <cellStyle name="Currency 3 2 2 2 2 4 2 4" xfId="12237" xr:uid="{00000000-0005-0000-0000-00005E1F0000}"/>
    <cellStyle name="Currency 3 2 2 2 2 4 2 5" xfId="29107" xr:uid="{436B8D33-D4A7-44B1-A6F9-959F94DE2279}"/>
    <cellStyle name="Currency 3 2 2 2 2 4 3" xfId="5875" xr:uid="{00000000-0005-0000-0000-00005F1F0000}"/>
    <cellStyle name="Currency 3 2 2 2 2 4 3 2" xfId="22745" xr:uid="{00000000-0005-0000-0000-0000601F0000}"/>
    <cellStyle name="Currency 3 2 2 2 2 4 3 2 2" xfId="39613" xr:uid="{75509EC9-821B-4378-B1E9-8F56D1E52AEB}"/>
    <cellStyle name="Currency 3 2 2 2 2 4 3 3" xfId="14310" xr:uid="{00000000-0005-0000-0000-0000611F0000}"/>
    <cellStyle name="Currency 3 2 2 2 2 4 3 4" xfId="31179" xr:uid="{FA58FE2D-F3AF-48E8-9BFE-F7A9589746B4}"/>
    <cellStyle name="Currency 3 2 2 2 2 4 4" xfId="18527" xr:uid="{00000000-0005-0000-0000-0000621F0000}"/>
    <cellStyle name="Currency 3 2 2 2 2 4 4 2" xfId="35396" xr:uid="{B85CED6E-4A05-4187-862A-9590EEF7E9AD}"/>
    <cellStyle name="Currency 3 2 2 2 2 4 5" xfId="10092" xr:uid="{00000000-0005-0000-0000-0000631F0000}"/>
    <cellStyle name="Currency 3 2 2 2 2 4 6" xfId="26962" xr:uid="{C83590D5-085F-475D-B394-2F62724980A4}"/>
    <cellStyle name="Currency 3 2 2 2 2 5" xfId="1981" xr:uid="{00000000-0005-0000-0000-0000641F0000}"/>
    <cellStyle name="Currency 3 2 2 2 2 5 2" xfId="4210" xr:uid="{00000000-0005-0000-0000-0000651F0000}"/>
    <cellStyle name="Currency 3 2 2 2 2 5 2 2" xfId="8433" xr:uid="{00000000-0005-0000-0000-0000661F0000}"/>
    <cellStyle name="Currency 3 2 2 2 2 5 2 2 2" xfId="25303" xr:uid="{00000000-0005-0000-0000-0000671F0000}"/>
    <cellStyle name="Currency 3 2 2 2 2 5 2 2 2 2" xfId="42171" xr:uid="{221B8F64-0B4D-4F59-86DA-98BCBC0728C2}"/>
    <cellStyle name="Currency 3 2 2 2 2 5 2 2 3" xfId="16868" xr:uid="{00000000-0005-0000-0000-0000681F0000}"/>
    <cellStyle name="Currency 3 2 2 2 2 5 2 2 4" xfId="33737" xr:uid="{FEC79EB0-A523-4D21-9C68-6AAFC1869371}"/>
    <cellStyle name="Currency 3 2 2 2 2 5 2 3" xfId="21085" xr:uid="{00000000-0005-0000-0000-0000691F0000}"/>
    <cellStyle name="Currency 3 2 2 2 2 5 2 3 2" xfId="37954" xr:uid="{C8932D94-08E4-4E02-8C5A-A49F020CEA9B}"/>
    <cellStyle name="Currency 3 2 2 2 2 5 2 4" xfId="12650" xr:uid="{00000000-0005-0000-0000-00006A1F0000}"/>
    <cellStyle name="Currency 3 2 2 2 2 5 2 5" xfId="29520" xr:uid="{2368B618-1B83-43C0-BD33-99AA0893E5BF}"/>
    <cellStyle name="Currency 3 2 2 2 2 5 3" xfId="6288" xr:uid="{00000000-0005-0000-0000-00006B1F0000}"/>
    <cellStyle name="Currency 3 2 2 2 2 5 3 2" xfId="23158" xr:uid="{00000000-0005-0000-0000-00006C1F0000}"/>
    <cellStyle name="Currency 3 2 2 2 2 5 3 2 2" xfId="40026" xr:uid="{D6930B9C-47C1-4347-B788-32811C6A0AFC}"/>
    <cellStyle name="Currency 3 2 2 2 2 5 3 3" xfId="14723" xr:uid="{00000000-0005-0000-0000-00006D1F0000}"/>
    <cellStyle name="Currency 3 2 2 2 2 5 3 4" xfId="31592" xr:uid="{B3C2D5B8-D54B-4CFA-A80F-11B1620DF587}"/>
    <cellStyle name="Currency 3 2 2 2 2 5 4" xfId="18940" xr:uid="{00000000-0005-0000-0000-00006E1F0000}"/>
    <cellStyle name="Currency 3 2 2 2 2 5 4 2" xfId="35809" xr:uid="{875C220D-6B08-461E-911E-FBFC6C33D294}"/>
    <cellStyle name="Currency 3 2 2 2 2 5 5" xfId="10505" xr:uid="{00000000-0005-0000-0000-00006F1F0000}"/>
    <cellStyle name="Currency 3 2 2 2 2 5 6" xfId="27375" xr:uid="{617C494C-0D51-4B7F-AFCA-EB70529E14DB}"/>
    <cellStyle name="Currency 3 2 2 2 2 6" xfId="2416" xr:uid="{00000000-0005-0000-0000-0000701F0000}"/>
    <cellStyle name="Currency 3 2 2 2 2 6 2" xfId="6701" xr:uid="{00000000-0005-0000-0000-0000711F0000}"/>
    <cellStyle name="Currency 3 2 2 2 2 6 2 2" xfId="23571" xr:uid="{00000000-0005-0000-0000-0000721F0000}"/>
    <cellStyle name="Currency 3 2 2 2 2 6 2 2 2" xfId="40439" xr:uid="{5E32DB04-3216-452C-AFC0-4DBC02E05CE6}"/>
    <cellStyle name="Currency 3 2 2 2 2 6 2 3" xfId="15136" xr:uid="{00000000-0005-0000-0000-0000731F0000}"/>
    <cellStyle name="Currency 3 2 2 2 2 6 2 4" xfId="32005" xr:uid="{39C7F245-0C7F-4844-8063-B01559DF5017}"/>
    <cellStyle name="Currency 3 2 2 2 2 6 3" xfId="19353" xr:uid="{00000000-0005-0000-0000-0000741F0000}"/>
    <cellStyle name="Currency 3 2 2 2 2 6 3 2" xfId="36222" xr:uid="{E6A22D50-D5EE-470B-A3C9-746BD9CEFD1C}"/>
    <cellStyle name="Currency 3 2 2 2 2 6 4" xfId="10918" xr:uid="{00000000-0005-0000-0000-0000751F0000}"/>
    <cellStyle name="Currency 3 2 2 2 2 6 5" xfId="27788" xr:uid="{1AB1CB2C-AA48-4EE5-A2ED-76E4E11A8C3E}"/>
    <cellStyle name="Currency 3 2 2 2 2 7" xfId="2713" xr:uid="{00000000-0005-0000-0000-0000761F0000}"/>
    <cellStyle name="Currency 3 2 2 2 2 8" xfId="2794" xr:uid="{00000000-0005-0000-0000-0000771F0000}"/>
    <cellStyle name="Currency 3 2 2 2 2 8 2" xfId="7018" xr:uid="{00000000-0005-0000-0000-0000781F0000}"/>
    <cellStyle name="Currency 3 2 2 2 2 8 2 2" xfId="23888" xr:uid="{00000000-0005-0000-0000-0000791F0000}"/>
    <cellStyle name="Currency 3 2 2 2 2 8 2 2 2" xfId="40756" xr:uid="{5D24EA68-3B4F-4DB9-9C05-9921475AA650}"/>
    <cellStyle name="Currency 3 2 2 2 2 8 2 3" xfId="15453" xr:uid="{00000000-0005-0000-0000-00007A1F0000}"/>
    <cellStyle name="Currency 3 2 2 2 2 8 2 4" xfId="32322" xr:uid="{D7A800BB-9359-45C7-A402-481199DFA307}"/>
    <cellStyle name="Currency 3 2 2 2 2 8 3" xfId="19670" xr:uid="{00000000-0005-0000-0000-00007B1F0000}"/>
    <cellStyle name="Currency 3 2 2 2 2 8 3 2" xfId="36539" xr:uid="{35F55EE8-05F5-4CDC-A179-D3EED24B536B}"/>
    <cellStyle name="Currency 3 2 2 2 2 8 4" xfId="11235" xr:uid="{00000000-0005-0000-0000-00007C1F0000}"/>
    <cellStyle name="Currency 3 2 2 2 2 8 5" xfId="28105" xr:uid="{FBF609D2-B354-4A04-9ECC-F58A72FD09A9}"/>
    <cellStyle name="Currency 3 2 2 2 2 9" xfId="4635" xr:uid="{00000000-0005-0000-0000-00007D1F0000}"/>
    <cellStyle name="Currency 3 2 2 2 2 9 2" xfId="21505" xr:uid="{00000000-0005-0000-0000-00007E1F0000}"/>
    <cellStyle name="Currency 3 2 2 2 2 9 2 2" xfId="38373" xr:uid="{2D68DA95-255C-493E-A961-29A86C80BFC6}"/>
    <cellStyle name="Currency 3 2 2 2 2 9 3" xfId="13070" xr:uid="{00000000-0005-0000-0000-00007F1F0000}"/>
    <cellStyle name="Currency 3 2 2 2 2 9 4" xfId="29939" xr:uid="{A9BCCCF1-555A-4CBE-B67C-99B6CB0BDF02}"/>
    <cellStyle name="Currency 3 2 2 2 3" xfId="709" xr:uid="{00000000-0005-0000-0000-0000801F0000}"/>
    <cellStyle name="Currency 3 2 2 2 3 2" xfId="2970" xr:uid="{00000000-0005-0000-0000-0000811F0000}"/>
    <cellStyle name="Currency 3 2 2 2 3 2 2" xfId="7193" xr:uid="{00000000-0005-0000-0000-0000821F0000}"/>
    <cellStyle name="Currency 3 2 2 2 3 2 2 2" xfId="24063" xr:uid="{00000000-0005-0000-0000-0000831F0000}"/>
    <cellStyle name="Currency 3 2 2 2 3 2 2 2 2" xfId="40931" xr:uid="{890DEF75-5048-4D52-A5CF-8FAADC355655}"/>
    <cellStyle name="Currency 3 2 2 2 3 2 2 3" xfId="15628" xr:uid="{00000000-0005-0000-0000-0000841F0000}"/>
    <cellStyle name="Currency 3 2 2 2 3 2 2 4" xfId="32497" xr:uid="{D86BB48F-0824-4E3F-8D4E-4308A0EE7A96}"/>
    <cellStyle name="Currency 3 2 2 2 3 2 3" xfId="19845" xr:uid="{00000000-0005-0000-0000-0000851F0000}"/>
    <cellStyle name="Currency 3 2 2 2 3 2 3 2" xfId="36714" xr:uid="{33F37665-0E2C-4EEC-9456-3C14B2DBDA70}"/>
    <cellStyle name="Currency 3 2 2 2 3 2 4" xfId="11410" xr:uid="{00000000-0005-0000-0000-0000861F0000}"/>
    <cellStyle name="Currency 3 2 2 2 3 2 5" xfId="28280" xr:uid="{A308834B-A9EC-4CEE-952E-79C5C9FE876A}"/>
    <cellStyle name="Currency 3 2 2 2 3 3" xfId="5048" xr:uid="{00000000-0005-0000-0000-0000871F0000}"/>
    <cellStyle name="Currency 3 2 2 2 3 3 2" xfId="21918" xr:uid="{00000000-0005-0000-0000-0000881F0000}"/>
    <cellStyle name="Currency 3 2 2 2 3 3 2 2" xfId="38786" xr:uid="{FAF54A84-CDC6-4D9B-87BE-B4F3940E557A}"/>
    <cellStyle name="Currency 3 2 2 2 3 3 3" xfId="13483" xr:uid="{00000000-0005-0000-0000-0000891F0000}"/>
    <cellStyle name="Currency 3 2 2 2 3 3 4" xfId="30352" xr:uid="{B4E62CCA-EB60-4168-8851-264F7674931D}"/>
    <cellStyle name="Currency 3 2 2 2 3 4" xfId="17700" xr:uid="{00000000-0005-0000-0000-00008A1F0000}"/>
    <cellStyle name="Currency 3 2 2 2 3 4 2" xfId="34569" xr:uid="{9EDAA9CD-25E3-41BA-B1F3-FBCFE2811CA9}"/>
    <cellStyle name="Currency 3 2 2 2 3 5" xfId="9265" xr:uid="{00000000-0005-0000-0000-00008B1F0000}"/>
    <cellStyle name="Currency 3 2 2 2 3 6" xfId="26135" xr:uid="{34B2D76D-B01C-4B66-B509-7E5E74BD13C8}"/>
    <cellStyle name="Currency 3 2 2 2 4" xfId="1152" xr:uid="{00000000-0005-0000-0000-00008C1F0000}"/>
    <cellStyle name="Currency 3 2 2 2 4 2" xfId="3383" xr:uid="{00000000-0005-0000-0000-00008D1F0000}"/>
    <cellStyle name="Currency 3 2 2 2 4 2 2" xfId="7606" xr:uid="{00000000-0005-0000-0000-00008E1F0000}"/>
    <cellStyle name="Currency 3 2 2 2 4 2 2 2" xfId="24476" xr:uid="{00000000-0005-0000-0000-00008F1F0000}"/>
    <cellStyle name="Currency 3 2 2 2 4 2 2 2 2" xfId="41344" xr:uid="{C8C4B5FD-7104-446B-A964-039230322047}"/>
    <cellStyle name="Currency 3 2 2 2 4 2 2 3" xfId="16041" xr:uid="{00000000-0005-0000-0000-0000901F0000}"/>
    <cellStyle name="Currency 3 2 2 2 4 2 2 4" xfId="32910" xr:uid="{8A902A11-942F-4876-B56A-72C79C2ED1DA}"/>
    <cellStyle name="Currency 3 2 2 2 4 2 3" xfId="20258" xr:uid="{00000000-0005-0000-0000-0000911F0000}"/>
    <cellStyle name="Currency 3 2 2 2 4 2 3 2" xfId="37127" xr:uid="{239A112C-BAA6-4EFF-80B7-6638968957E2}"/>
    <cellStyle name="Currency 3 2 2 2 4 2 4" xfId="11823" xr:uid="{00000000-0005-0000-0000-0000921F0000}"/>
    <cellStyle name="Currency 3 2 2 2 4 2 5" xfId="28693" xr:uid="{82ECA4DB-6396-4E22-9BB4-0319B2A89687}"/>
    <cellStyle name="Currency 3 2 2 2 4 3" xfId="5461" xr:uid="{00000000-0005-0000-0000-0000931F0000}"/>
    <cellStyle name="Currency 3 2 2 2 4 3 2" xfId="22331" xr:uid="{00000000-0005-0000-0000-0000941F0000}"/>
    <cellStyle name="Currency 3 2 2 2 4 3 2 2" xfId="39199" xr:uid="{1C57A853-6D93-4A6F-A8C4-84B6EBAE4DE3}"/>
    <cellStyle name="Currency 3 2 2 2 4 3 3" xfId="13896" xr:uid="{00000000-0005-0000-0000-0000951F0000}"/>
    <cellStyle name="Currency 3 2 2 2 4 3 4" xfId="30765" xr:uid="{3B50D976-3A90-48A8-A4EC-76B9028E1442}"/>
    <cellStyle name="Currency 3 2 2 2 4 4" xfId="18113" xr:uid="{00000000-0005-0000-0000-0000961F0000}"/>
    <cellStyle name="Currency 3 2 2 2 4 4 2" xfId="34982" xr:uid="{20F4084A-5EF6-4C46-913A-94511E997D56}"/>
    <cellStyle name="Currency 3 2 2 2 4 5" xfId="9678" xr:uid="{00000000-0005-0000-0000-0000971F0000}"/>
    <cellStyle name="Currency 3 2 2 2 4 6" xfId="26548" xr:uid="{295CC281-3C7F-46D1-9BEF-0F52B847D8F3}"/>
    <cellStyle name="Currency 3 2 2 2 5" xfId="1566" xr:uid="{00000000-0005-0000-0000-0000981F0000}"/>
    <cellStyle name="Currency 3 2 2 2 5 2" xfId="3796" xr:uid="{00000000-0005-0000-0000-0000991F0000}"/>
    <cellStyle name="Currency 3 2 2 2 5 2 2" xfId="8019" xr:uid="{00000000-0005-0000-0000-00009A1F0000}"/>
    <cellStyle name="Currency 3 2 2 2 5 2 2 2" xfId="24889" xr:uid="{00000000-0005-0000-0000-00009B1F0000}"/>
    <cellStyle name="Currency 3 2 2 2 5 2 2 2 2" xfId="41757" xr:uid="{6A960F4E-6217-422B-8483-235B4B309FB0}"/>
    <cellStyle name="Currency 3 2 2 2 5 2 2 3" xfId="16454" xr:uid="{00000000-0005-0000-0000-00009C1F0000}"/>
    <cellStyle name="Currency 3 2 2 2 5 2 2 4" xfId="33323" xr:uid="{32FDE9E5-3EDC-4EBE-B8C5-74DB98B88E8A}"/>
    <cellStyle name="Currency 3 2 2 2 5 2 3" xfId="20671" xr:uid="{00000000-0005-0000-0000-00009D1F0000}"/>
    <cellStyle name="Currency 3 2 2 2 5 2 3 2" xfId="37540" xr:uid="{91AA173F-4824-4777-9771-E6BD60766546}"/>
    <cellStyle name="Currency 3 2 2 2 5 2 4" xfId="12236" xr:uid="{00000000-0005-0000-0000-00009E1F0000}"/>
    <cellStyle name="Currency 3 2 2 2 5 2 5" xfId="29106" xr:uid="{A0A649C0-20BE-4806-BE53-6039256A3426}"/>
    <cellStyle name="Currency 3 2 2 2 5 3" xfId="5874" xr:uid="{00000000-0005-0000-0000-00009F1F0000}"/>
    <cellStyle name="Currency 3 2 2 2 5 3 2" xfId="22744" xr:uid="{00000000-0005-0000-0000-0000A01F0000}"/>
    <cellStyle name="Currency 3 2 2 2 5 3 2 2" xfId="39612" xr:uid="{7A89E664-A0A7-44BE-ACD6-46DAA5D3D96C}"/>
    <cellStyle name="Currency 3 2 2 2 5 3 3" xfId="14309" xr:uid="{00000000-0005-0000-0000-0000A11F0000}"/>
    <cellStyle name="Currency 3 2 2 2 5 3 4" xfId="31178" xr:uid="{4096AFEA-A951-47D2-A2AB-F036852B80E6}"/>
    <cellStyle name="Currency 3 2 2 2 5 4" xfId="18526" xr:uid="{00000000-0005-0000-0000-0000A21F0000}"/>
    <cellStyle name="Currency 3 2 2 2 5 4 2" xfId="35395" xr:uid="{2120D431-039F-44CE-9D73-3F9EBEF6C353}"/>
    <cellStyle name="Currency 3 2 2 2 5 5" xfId="10091" xr:uid="{00000000-0005-0000-0000-0000A31F0000}"/>
    <cellStyle name="Currency 3 2 2 2 5 6" xfId="26961" xr:uid="{70B18D59-E4D2-453D-9E18-003D15B43035}"/>
    <cellStyle name="Currency 3 2 2 2 6" xfId="1980" xr:uid="{00000000-0005-0000-0000-0000A41F0000}"/>
    <cellStyle name="Currency 3 2 2 2 6 2" xfId="4209" xr:uid="{00000000-0005-0000-0000-0000A51F0000}"/>
    <cellStyle name="Currency 3 2 2 2 6 2 2" xfId="8432" xr:uid="{00000000-0005-0000-0000-0000A61F0000}"/>
    <cellStyle name="Currency 3 2 2 2 6 2 2 2" xfId="25302" xr:uid="{00000000-0005-0000-0000-0000A71F0000}"/>
    <cellStyle name="Currency 3 2 2 2 6 2 2 2 2" xfId="42170" xr:uid="{422926E5-9245-4BB8-A6CF-682D65FB0204}"/>
    <cellStyle name="Currency 3 2 2 2 6 2 2 3" xfId="16867" xr:uid="{00000000-0005-0000-0000-0000A81F0000}"/>
    <cellStyle name="Currency 3 2 2 2 6 2 2 4" xfId="33736" xr:uid="{8DA60136-DD87-4AD3-96D9-44A5EFCE5E76}"/>
    <cellStyle name="Currency 3 2 2 2 6 2 3" xfId="21084" xr:uid="{00000000-0005-0000-0000-0000A91F0000}"/>
    <cellStyle name="Currency 3 2 2 2 6 2 3 2" xfId="37953" xr:uid="{AF503F9C-61DB-41BA-B01A-EF430A44C9B8}"/>
    <cellStyle name="Currency 3 2 2 2 6 2 4" xfId="12649" xr:uid="{00000000-0005-0000-0000-0000AA1F0000}"/>
    <cellStyle name="Currency 3 2 2 2 6 2 5" xfId="29519" xr:uid="{408D2763-F36A-4DDC-8709-C838E1A2D7F2}"/>
    <cellStyle name="Currency 3 2 2 2 6 3" xfId="6287" xr:uid="{00000000-0005-0000-0000-0000AB1F0000}"/>
    <cellStyle name="Currency 3 2 2 2 6 3 2" xfId="23157" xr:uid="{00000000-0005-0000-0000-0000AC1F0000}"/>
    <cellStyle name="Currency 3 2 2 2 6 3 2 2" xfId="40025" xr:uid="{6454A4E2-88D9-498F-927F-D96D30D35984}"/>
    <cellStyle name="Currency 3 2 2 2 6 3 3" xfId="14722" xr:uid="{00000000-0005-0000-0000-0000AD1F0000}"/>
    <cellStyle name="Currency 3 2 2 2 6 3 4" xfId="31591" xr:uid="{D2341B5F-E3CC-4B66-9D81-48EA948CB411}"/>
    <cellStyle name="Currency 3 2 2 2 6 4" xfId="18939" xr:uid="{00000000-0005-0000-0000-0000AE1F0000}"/>
    <cellStyle name="Currency 3 2 2 2 6 4 2" xfId="35808" xr:uid="{BDCE36A9-04C3-47A6-845A-9ACBE9C56C13}"/>
    <cellStyle name="Currency 3 2 2 2 6 5" xfId="10504" xr:uid="{00000000-0005-0000-0000-0000AF1F0000}"/>
    <cellStyle name="Currency 3 2 2 2 6 6" xfId="27374" xr:uid="{009160C2-5834-44A9-9840-7C80876BBE1B}"/>
    <cellStyle name="Currency 3 2 2 2 7" xfId="2415" xr:uid="{00000000-0005-0000-0000-0000B01F0000}"/>
    <cellStyle name="Currency 3 2 2 2 7 2" xfId="6700" xr:uid="{00000000-0005-0000-0000-0000B11F0000}"/>
    <cellStyle name="Currency 3 2 2 2 7 2 2" xfId="23570" xr:uid="{00000000-0005-0000-0000-0000B21F0000}"/>
    <cellStyle name="Currency 3 2 2 2 7 2 2 2" xfId="40438" xr:uid="{23C4A236-960E-488B-AF86-4531FC368EC6}"/>
    <cellStyle name="Currency 3 2 2 2 7 2 3" xfId="15135" xr:uid="{00000000-0005-0000-0000-0000B31F0000}"/>
    <cellStyle name="Currency 3 2 2 2 7 2 4" xfId="32004" xr:uid="{0FC9D71E-1D33-41C0-9E17-CA9D1496614E}"/>
    <cellStyle name="Currency 3 2 2 2 7 3" xfId="19352" xr:uid="{00000000-0005-0000-0000-0000B41F0000}"/>
    <cellStyle name="Currency 3 2 2 2 7 3 2" xfId="36221" xr:uid="{80CFE696-E37D-45F4-ABE8-89EFF0B7DF09}"/>
    <cellStyle name="Currency 3 2 2 2 7 4" xfId="10917" xr:uid="{00000000-0005-0000-0000-0000B51F0000}"/>
    <cellStyle name="Currency 3 2 2 2 7 5" xfId="27787" xr:uid="{91385F79-7DE3-4759-ADCB-12E41974298E}"/>
    <cellStyle name="Currency 3 2 2 2 8" xfId="2712" xr:uid="{00000000-0005-0000-0000-0000B61F0000}"/>
    <cellStyle name="Currency 3 2 2 2 9" xfId="2793" xr:uid="{00000000-0005-0000-0000-0000B71F0000}"/>
    <cellStyle name="Currency 3 2 2 2 9 2" xfId="7017" xr:uid="{00000000-0005-0000-0000-0000B81F0000}"/>
    <cellStyle name="Currency 3 2 2 2 9 2 2" xfId="23887" xr:uid="{00000000-0005-0000-0000-0000B91F0000}"/>
    <cellStyle name="Currency 3 2 2 2 9 2 2 2" xfId="40755" xr:uid="{682CF308-87BF-483C-BB0A-16D5C84FECAB}"/>
    <cellStyle name="Currency 3 2 2 2 9 2 3" xfId="15452" xr:uid="{00000000-0005-0000-0000-0000BA1F0000}"/>
    <cellStyle name="Currency 3 2 2 2 9 2 4" xfId="32321" xr:uid="{C11533C6-6F05-4DB3-B796-CDA5F3823883}"/>
    <cellStyle name="Currency 3 2 2 2 9 3" xfId="19669" xr:uid="{00000000-0005-0000-0000-0000BB1F0000}"/>
    <cellStyle name="Currency 3 2 2 2 9 3 2" xfId="36538" xr:uid="{0F79B80A-1AA2-43F1-B612-D14CD06117E6}"/>
    <cellStyle name="Currency 3 2 2 2 9 4" xfId="11234" xr:uid="{00000000-0005-0000-0000-0000BC1F0000}"/>
    <cellStyle name="Currency 3 2 2 2 9 5" xfId="28104" xr:uid="{364AC8EA-C549-4002-B38E-B02161D5B19D}"/>
    <cellStyle name="Currency 3 2 2 3" xfId="181" xr:uid="{00000000-0005-0000-0000-0000BD1F0000}"/>
    <cellStyle name="Currency 3 2 2 3 10" xfId="17288" xr:uid="{00000000-0005-0000-0000-0000BE1F0000}"/>
    <cellStyle name="Currency 3 2 2 3 10 2" xfId="34157" xr:uid="{7212FA5D-7682-47EB-AC4C-49C4D6596F81}"/>
    <cellStyle name="Currency 3 2 2 3 11" xfId="8853" xr:uid="{00000000-0005-0000-0000-0000BF1F0000}"/>
    <cellStyle name="Currency 3 2 2 3 12" xfId="25723" xr:uid="{C8AB086F-21CC-46D1-A285-5A54260F509F}"/>
    <cellStyle name="Currency 3 2 2 3 2" xfId="711" xr:uid="{00000000-0005-0000-0000-0000C01F0000}"/>
    <cellStyle name="Currency 3 2 2 3 2 2" xfId="2972" xr:uid="{00000000-0005-0000-0000-0000C11F0000}"/>
    <cellStyle name="Currency 3 2 2 3 2 2 2" xfId="7195" xr:uid="{00000000-0005-0000-0000-0000C21F0000}"/>
    <cellStyle name="Currency 3 2 2 3 2 2 2 2" xfId="24065" xr:uid="{00000000-0005-0000-0000-0000C31F0000}"/>
    <cellStyle name="Currency 3 2 2 3 2 2 2 2 2" xfId="40933" xr:uid="{8DAC1E92-85F1-4AA4-915C-D9418A81AD71}"/>
    <cellStyle name="Currency 3 2 2 3 2 2 2 3" xfId="15630" xr:uid="{00000000-0005-0000-0000-0000C41F0000}"/>
    <cellStyle name="Currency 3 2 2 3 2 2 2 4" xfId="32499" xr:uid="{32EAA98D-E83F-48BC-909B-6F49A4485A10}"/>
    <cellStyle name="Currency 3 2 2 3 2 2 3" xfId="19847" xr:uid="{00000000-0005-0000-0000-0000C51F0000}"/>
    <cellStyle name="Currency 3 2 2 3 2 2 3 2" xfId="36716" xr:uid="{FB02E2B3-F616-4C61-926C-A7955173AD49}"/>
    <cellStyle name="Currency 3 2 2 3 2 2 4" xfId="11412" xr:uid="{00000000-0005-0000-0000-0000C61F0000}"/>
    <cellStyle name="Currency 3 2 2 3 2 2 5" xfId="28282" xr:uid="{D5BBFCE4-CB1E-4994-9238-5FAFEB88E0F2}"/>
    <cellStyle name="Currency 3 2 2 3 2 3" xfId="5050" xr:uid="{00000000-0005-0000-0000-0000C71F0000}"/>
    <cellStyle name="Currency 3 2 2 3 2 3 2" xfId="21920" xr:uid="{00000000-0005-0000-0000-0000C81F0000}"/>
    <cellStyle name="Currency 3 2 2 3 2 3 2 2" xfId="38788" xr:uid="{C5136985-91E7-4576-BE1A-C550BC58987C}"/>
    <cellStyle name="Currency 3 2 2 3 2 3 3" xfId="13485" xr:uid="{00000000-0005-0000-0000-0000C91F0000}"/>
    <cellStyle name="Currency 3 2 2 3 2 3 4" xfId="30354" xr:uid="{9E83E73E-4E29-45C2-9B0E-EBD656C2193C}"/>
    <cellStyle name="Currency 3 2 2 3 2 4" xfId="17702" xr:uid="{00000000-0005-0000-0000-0000CA1F0000}"/>
    <cellStyle name="Currency 3 2 2 3 2 4 2" xfId="34571" xr:uid="{F587066F-68A5-4D82-AD88-0B10A1FFB2F5}"/>
    <cellStyle name="Currency 3 2 2 3 2 5" xfId="9267" xr:uid="{00000000-0005-0000-0000-0000CB1F0000}"/>
    <cellStyle name="Currency 3 2 2 3 2 6" xfId="26137" xr:uid="{211F69E6-FAEF-4DFA-8141-ECA541070A25}"/>
    <cellStyle name="Currency 3 2 2 3 3" xfId="1154" xr:uid="{00000000-0005-0000-0000-0000CC1F0000}"/>
    <cellStyle name="Currency 3 2 2 3 3 2" xfId="3385" xr:uid="{00000000-0005-0000-0000-0000CD1F0000}"/>
    <cellStyle name="Currency 3 2 2 3 3 2 2" xfId="7608" xr:uid="{00000000-0005-0000-0000-0000CE1F0000}"/>
    <cellStyle name="Currency 3 2 2 3 3 2 2 2" xfId="24478" xr:uid="{00000000-0005-0000-0000-0000CF1F0000}"/>
    <cellStyle name="Currency 3 2 2 3 3 2 2 2 2" xfId="41346" xr:uid="{AC1D3014-6056-46A0-966B-FD261205AD5A}"/>
    <cellStyle name="Currency 3 2 2 3 3 2 2 3" xfId="16043" xr:uid="{00000000-0005-0000-0000-0000D01F0000}"/>
    <cellStyle name="Currency 3 2 2 3 3 2 2 4" xfId="32912" xr:uid="{DDF5AD69-22AB-4F09-A9DC-3D1023067395}"/>
    <cellStyle name="Currency 3 2 2 3 3 2 3" xfId="20260" xr:uid="{00000000-0005-0000-0000-0000D11F0000}"/>
    <cellStyle name="Currency 3 2 2 3 3 2 3 2" xfId="37129" xr:uid="{E5081BCD-3B7F-4CD1-A8E9-98ACEB46E41D}"/>
    <cellStyle name="Currency 3 2 2 3 3 2 4" xfId="11825" xr:uid="{00000000-0005-0000-0000-0000D21F0000}"/>
    <cellStyle name="Currency 3 2 2 3 3 2 5" xfId="28695" xr:uid="{9D614621-3606-488C-8B2E-9260969FF477}"/>
    <cellStyle name="Currency 3 2 2 3 3 3" xfId="5463" xr:uid="{00000000-0005-0000-0000-0000D31F0000}"/>
    <cellStyle name="Currency 3 2 2 3 3 3 2" xfId="22333" xr:uid="{00000000-0005-0000-0000-0000D41F0000}"/>
    <cellStyle name="Currency 3 2 2 3 3 3 2 2" xfId="39201" xr:uid="{7E5C2DAF-3AA3-48C4-A62B-B6934430B535}"/>
    <cellStyle name="Currency 3 2 2 3 3 3 3" xfId="13898" xr:uid="{00000000-0005-0000-0000-0000D51F0000}"/>
    <cellStyle name="Currency 3 2 2 3 3 3 4" xfId="30767" xr:uid="{F64140B8-2D5B-4425-98CF-356E0A9648F9}"/>
    <cellStyle name="Currency 3 2 2 3 3 4" xfId="18115" xr:uid="{00000000-0005-0000-0000-0000D61F0000}"/>
    <cellStyle name="Currency 3 2 2 3 3 4 2" xfId="34984" xr:uid="{B8BFCBD2-AA87-484B-90F6-69CD4935789D}"/>
    <cellStyle name="Currency 3 2 2 3 3 5" xfId="9680" xr:uid="{00000000-0005-0000-0000-0000D71F0000}"/>
    <cellStyle name="Currency 3 2 2 3 3 6" xfId="26550" xr:uid="{FAEBDCC2-173F-4760-B9DD-4128438D6A4B}"/>
    <cellStyle name="Currency 3 2 2 3 4" xfId="1568" xr:uid="{00000000-0005-0000-0000-0000D81F0000}"/>
    <cellStyle name="Currency 3 2 2 3 4 2" xfId="3798" xr:uid="{00000000-0005-0000-0000-0000D91F0000}"/>
    <cellStyle name="Currency 3 2 2 3 4 2 2" xfId="8021" xr:uid="{00000000-0005-0000-0000-0000DA1F0000}"/>
    <cellStyle name="Currency 3 2 2 3 4 2 2 2" xfId="24891" xr:uid="{00000000-0005-0000-0000-0000DB1F0000}"/>
    <cellStyle name="Currency 3 2 2 3 4 2 2 2 2" xfId="41759" xr:uid="{F2A6CFC9-64EE-4D95-ACE9-158402DE7350}"/>
    <cellStyle name="Currency 3 2 2 3 4 2 2 3" xfId="16456" xr:uid="{00000000-0005-0000-0000-0000DC1F0000}"/>
    <cellStyle name="Currency 3 2 2 3 4 2 2 4" xfId="33325" xr:uid="{4B40D814-38F4-4E93-944E-0C9406B0DBF0}"/>
    <cellStyle name="Currency 3 2 2 3 4 2 3" xfId="20673" xr:uid="{00000000-0005-0000-0000-0000DD1F0000}"/>
    <cellStyle name="Currency 3 2 2 3 4 2 3 2" xfId="37542" xr:uid="{3F863537-9BE1-45FD-8A67-3F89BFD737C9}"/>
    <cellStyle name="Currency 3 2 2 3 4 2 4" xfId="12238" xr:uid="{00000000-0005-0000-0000-0000DE1F0000}"/>
    <cellStyle name="Currency 3 2 2 3 4 2 5" xfId="29108" xr:uid="{A75826D8-49F2-4540-9779-214792359F39}"/>
    <cellStyle name="Currency 3 2 2 3 4 3" xfId="5876" xr:uid="{00000000-0005-0000-0000-0000DF1F0000}"/>
    <cellStyle name="Currency 3 2 2 3 4 3 2" xfId="22746" xr:uid="{00000000-0005-0000-0000-0000E01F0000}"/>
    <cellStyle name="Currency 3 2 2 3 4 3 2 2" xfId="39614" xr:uid="{DB1C0D65-532E-49DF-A877-6F2711E0A5FD}"/>
    <cellStyle name="Currency 3 2 2 3 4 3 3" xfId="14311" xr:uid="{00000000-0005-0000-0000-0000E11F0000}"/>
    <cellStyle name="Currency 3 2 2 3 4 3 4" xfId="31180" xr:uid="{ED6CB187-1DC2-4A10-9846-F009D3B2C540}"/>
    <cellStyle name="Currency 3 2 2 3 4 4" xfId="18528" xr:uid="{00000000-0005-0000-0000-0000E21F0000}"/>
    <cellStyle name="Currency 3 2 2 3 4 4 2" xfId="35397" xr:uid="{60515887-B046-4ECD-8EB3-A8B94987E53C}"/>
    <cellStyle name="Currency 3 2 2 3 4 5" xfId="10093" xr:uid="{00000000-0005-0000-0000-0000E31F0000}"/>
    <cellStyle name="Currency 3 2 2 3 4 6" xfId="26963" xr:uid="{C6B237FD-D047-4387-A46E-8D4CBF9F6801}"/>
    <cellStyle name="Currency 3 2 2 3 5" xfId="1982" xr:uid="{00000000-0005-0000-0000-0000E41F0000}"/>
    <cellStyle name="Currency 3 2 2 3 5 2" xfId="4211" xr:uid="{00000000-0005-0000-0000-0000E51F0000}"/>
    <cellStyle name="Currency 3 2 2 3 5 2 2" xfId="8434" xr:uid="{00000000-0005-0000-0000-0000E61F0000}"/>
    <cellStyle name="Currency 3 2 2 3 5 2 2 2" xfId="25304" xr:uid="{00000000-0005-0000-0000-0000E71F0000}"/>
    <cellStyle name="Currency 3 2 2 3 5 2 2 2 2" xfId="42172" xr:uid="{5F9ED2C3-1C4A-4E0E-80F7-F9F7435B393F}"/>
    <cellStyle name="Currency 3 2 2 3 5 2 2 3" xfId="16869" xr:uid="{00000000-0005-0000-0000-0000E81F0000}"/>
    <cellStyle name="Currency 3 2 2 3 5 2 2 4" xfId="33738" xr:uid="{F87667ED-C2BC-4B18-80B0-A5FA7EFE3BED}"/>
    <cellStyle name="Currency 3 2 2 3 5 2 3" xfId="21086" xr:uid="{00000000-0005-0000-0000-0000E91F0000}"/>
    <cellStyle name="Currency 3 2 2 3 5 2 3 2" xfId="37955" xr:uid="{F30851B0-D72B-462F-8785-7C67A7C6E2F8}"/>
    <cellStyle name="Currency 3 2 2 3 5 2 4" xfId="12651" xr:uid="{00000000-0005-0000-0000-0000EA1F0000}"/>
    <cellStyle name="Currency 3 2 2 3 5 2 5" xfId="29521" xr:uid="{1887FAE1-17BA-4BA8-8303-1DE2A9731AA1}"/>
    <cellStyle name="Currency 3 2 2 3 5 3" xfId="6289" xr:uid="{00000000-0005-0000-0000-0000EB1F0000}"/>
    <cellStyle name="Currency 3 2 2 3 5 3 2" xfId="23159" xr:uid="{00000000-0005-0000-0000-0000EC1F0000}"/>
    <cellStyle name="Currency 3 2 2 3 5 3 2 2" xfId="40027" xr:uid="{70F30EF8-3AA7-4D2C-90F1-E001A794CC7F}"/>
    <cellStyle name="Currency 3 2 2 3 5 3 3" xfId="14724" xr:uid="{00000000-0005-0000-0000-0000ED1F0000}"/>
    <cellStyle name="Currency 3 2 2 3 5 3 4" xfId="31593" xr:uid="{A23278D0-267B-42B4-8B29-A4A8E0468A16}"/>
    <cellStyle name="Currency 3 2 2 3 5 4" xfId="18941" xr:uid="{00000000-0005-0000-0000-0000EE1F0000}"/>
    <cellStyle name="Currency 3 2 2 3 5 4 2" xfId="35810" xr:uid="{DE8E8F7E-E236-4ECE-ACDA-D1E9A8E7E20A}"/>
    <cellStyle name="Currency 3 2 2 3 5 5" xfId="10506" xr:uid="{00000000-0005-0000-0000-0000EF1F0000}"/>
    <cellStyle name="Currency 3 2 2 3 5 6" xfId="27376" xr:uid="{F13113DB-683F-40C0-90F6-8861DB115C77}"/>
    <cellStyle name="Currency 3 2 2 3 6" xfId="2417" xr:uid="{00000000-0005-0000-0000-0000F01F0000}"/>
    <cellStyle name="Currency 3 2 2 3 6 2" xfId="6702" xr:uid="{00000000-0005-0000-0000-0000F11F0000}"/>
    <cellStyle name="Currency 3 2 2 3 6 2 2" xfId="23572" xr:uid="{00000000-0005-0000-0000-0000F21F0000}"/>
    <cellStyle name="Currency 3 2 2 3 6 2 2 2" xfId="40440" xr:uid="{FCA93C69-7BCA-4351-A33C-604A5EE0D294}"/>
    <cellStyle name="Currency 3 2 2 3 6 2 3" xfId="15137" xr:uid="{00000000-0005-0000-0000-0000F31F0000}"/>
    <cellStyle name="Currency 3 2 2 3 6 2 4" xfId="32006" xr:uid="{17C55FF4-253E-43F4-B5DA-3A78C4DFE4D8}"/>
    <cellStyle name="Currency 3 2 2 3 6 3" xfId="19354" xr:uid="{00000000-0005-0000-0000-0000F41F0000}"/>
    <cellStyle name="Currency 3 2 2 3 6 3 2" xfId="36223" xr:uid="{F0FF52F6-B471-45E9-96F9-0F0A2E71DA8D}"/>
    <cellStyle name="Currency 3 2 2 3 6 4" xfId="10919" xr:uid="{00000000-0005-0000-0000-0000F51F0000}"/>
    <cellStyle name="Currency 3 2 2 3 6 5" xfId="27789" xr:uid="{44FCFF3E-F7E8-4C43-823D-4C101CB6BB00}"/>
    <cellStyle name="Currency 3 2 2 3 7" xfId="2714" xr:uid="{00000000-0005-0000-0000-0000F61F0000}"/>
    <cellStyle name="Currency 3 2 2 3 8" xfId="2795" xr:uid="{00000000-0005-0000-0000-0000F71F0000}"/>
    <cellStyle name="Currency 3 2 2 3 8 2" xfId="7019" xr:uid="{00000000-0005-0000-0000-0000F81F0000}"/>
    <cellStyle name="Currency 3 2 2 3 8 2 2" xfId="23889" xr:uid="{00000000-0005-0000-0000-0000F91F0000}"/>
    <cellStyle name="Currency 3 2 2 3 8 2 2 2" xfId="40757" xr:uid="{37503854-C295-4622-BAB2-DFCE860CC473}"/>
    <cellStyle name="Currency 3 2 2 3 8 2 3" xfId="15454" xr:uid="{00000000-0005-0000-0000-0000FA1F0000}"/>
    <cellStyle name="Currency 3 2 2 3 8 2 4" xfId="32323" xr:uid="{5CF093F5-7C50-4A5E-999D-BF76E09A475D}"/>
    <cellStyle name="Currency 3 2 2 3 8 3" xfId="19671" xr:uid="{00000000-0005-0000-0000-0000FB1F0000}"/>
    <cellStyle name="Currency 3 2 2 3 8 3 2" xfId="36540" xr:uid="{FF96E2BC-681D-45B4-9DC6-762049BF7A11}"/>
    <cellStyle name="Currency 3 2 2 3 8 4" xfId="11236" xr:uid="{00000000-0005-0000-0000-0000FC1F0000}"/>
    <cellStyle name="Currency 3 2 2 3 8 5" xfId="28106" xr:uid="{042C2388-DAF7-4120-AF50-563E9C813A79}"/>
    <cellStyle name="Currency 3 2 2 3 9" xfId="4636" xr:uid="{00000000-0005-0000-0000-0000FD1F0000}"/>
    <cellStyle name="Currency 3 2 2 3 9 2" xfId="21506" xr:uid="{00000000-0005-0000-0000-0000FE1F0000}"/>
    <cellStyle name="Currency 3 2 2 3 9 2 2" xfId="38374" xr:uid="{B63701A6-DDFC-4382-A918-5A9EDD81EDD7}"/>
    <cellStyle name="Currency 3 2 2 3 9 3" xfId="13071" xr:uid="{00000000-0005-0000-0000-0000FF1F0000}"/>
    <cellStyle name="Currency 3 2 2 3 9 4" xfId="29940" xr:uid="{96AE97DD-8CE0-45DB-AAA0-C1F46B76AF62}"/>
    <cellStyle name="Currency 3 2 2 4" xfId="708" xr:uid="{00000000-0005-0000-0000-000000200000}"/>
    <cellStyle name="Currency 3 2 2 4 2" xfId="2969" xr:uid="{00000000-0005-0000-0000-000001200000}"/>
    <cellStyle name="Currency 3 2 2 4 2 2" xfId="7192" xr:uid="{00000000-0005-0000-0000-000002200000}"/>
    <cellStyle name="Currency 3 2 2 4 2 2 2" xfId="24062" xr:uid="{00000000-0005-0000-0000-000003200000}"/>
    <cellStyle name="Currency 3 2 2 4 2 2 2 2" xfId="40930" xr:uid="{5DA23E90-07FA-4B82-BC92-87079BD358D5}"/>
    <cellStyle name="Currency 3 2 2 4 2 2 3" xfId="15627" xr:uid="{00000000-0005-0000-0000-000004200000}"/>
    <cellStyle name="Currency 3 2 2 4 2 2 4" xfId="32496" xr:uid="{26168CE5-4D22-479F-B7C7-C033711289A1}"/>
    <cellStyle name="Currency 3 2 2 4 2 3" xfId="19844" xr:uid="{00000000-0005-0000-0000-000005200000}"/>
    <cellStyle name="Currency 3 2 2 4 2 3 2" xfId="36713" xr:uid="{EB673AFE-8682-48F7-9B72-42AEA22402F2}"/>
    <cellStyle name="Currency 3 2 2 4 2 4" xfId="11409" xr:uid="{00000000-0005-0000-0000-000006200000}"/>
    <cellStyle name="Currency 3 2 2 4 2 5" xfId="28279" xr:uid="{18294748-D4BE-4443-96C6-30ACBF0F19CE}"/>
    <cellStyle name="Currency 3 2 2 4 3" xfId="5047" xr:uid="{00000000-0005-0000-0000-000007200000}"/>
    <cellStyle name="Currency 3 2 2 4 3 2" xfId="21917" xr:uid="{00000000-0005-0000-0000-000008200000}"/>
    <cellStyle name="Currency 3 2 2 4 3 2 2" xfId="38785" xr:uid="{FEA474DB-55BC-49C0-91F5-E27456B95384}"/>
    <cellStyle name="Currency 3 2 2 4 3 3" xfId="13482" xr:uid="{00000000-0005-0000-0000-000009200000}"/>
    <cellStyle name="Currency 3 2 2 4 3 4" xfId="30351" xr:uid="{F70F0D45-EF73-4119-8761-129D8CB664CF}"/>
    <cellStyle name="Currency 3 2 2 4 4" xfId="17699" xr:uid="{00000000-0005-0000-0000-00000A200000}"/>
    <cellStyle name="Currency 3 2 2 4 4 2" xfId="34568" xr:uid="{876A07C3-72B0-4ACB-8F48-9B5649060BD2}"/>
    <cellStyle name="Currency 3 2 2 4 5" xfId="9264" xr:uid="{00000000-0005-0000-0000-00000B200000}"/>
    <cellStyle name="Currency 3 2 2 4 6" xfId="26134" xr:uid="{42022CAB-F461-4853-8C01-294453350351}"/>
    <cellStyle name="Currency 3 2 2 5" xfId="1151" xr:uid="{00000000-0005-0000-0000-00000C200000}"/>
    <cellStyle name="Currency 3 2 2 5 2" xfId="3382" xr:uid="{00000000-0005-0000-0000-00000D200000}"/>
    <cellStyle name="Currency 3 2 2 5 2 2" xfId="7605" xr:uid="{00000000-0005-0000-0000-00000E200000}"/>
    <cellStyle name="Currency 3 2 2 5 2 2 2" xfId="24475" xr:uid="{00000000-0005-0000-0000-00000F200000}"/>
    <cellStyle name="Currency 3 2 2 5 2 2 2 2" xfId="41343" xr:uid="{4EFEEE4D-F513-4E0B-B6A0-3161D3DF8F73}"/>
    <cellStyle name="Currency 3 2 2 5 2 2 3" xfId="16040" xr:uid="{00000000-0005-0000-0000-000010200000}"/>
    <cellStyle name="Currency 3 2 2 5 2 2 4" xfId="32909" xr:uid="{244DDD55-A9A9-48CF-A9D2-50BA13CAF120}"/>
    <cellStyle name="Currency 3 2 2 5 2 3" xfId="20257" xr:uid="{00000000-0005-0000-0000-000011200000}"/>
    <cellStyle name="Currency 3 2 2 5 2 3 2" xfId="37126" xr:uid="{D10539A3-AD91-4239-B2D6-6D24CEDF0955}"/>
    <cellStyle name="Currency 3 2 2 5 2 4" xfId="11822" xr:uid="{00000000-0005-0000-0000-000012200000}"/>
    <cellStyle name="Currency 3 2 2 5 2 5" xfId="28692" xr:uid="{F0FAAAC1-6D2A-4EC6-8174-4F2F64678093}"/>
    <cellStyle name="Currency 3 2 2 5 3" xfId="5460" xr:uid="{00000000-0005-0000-0000-000013200000}"/>
    <cellStyle name="Currency 3 2 2 5 3 2" xfId="22330" xr:uid="{00000000-0005-0000-0000-000014200000}"/>
    <cellStyle name="Currency 3 2 2 5 3 2 2" xfId="39198" xr:uid="{4CA905F3-FD39-448C-B175-5115FF476488}"/>
    <cellStyle name="Currency 3 2 2 5 3 3" xfId="13895" xr:uid="{00000000-0005-0000-0000-000015200000}"/>
    <cellStyle name="Currency 3 2 2 5 3 4" xfId="30764" xr:uid="{5280748B-795C-41F5-97E3-751B200A1F73}"/>
    <cellStyle name="Currency 3 2 2 5 4" xfId="18112" xr:uid="{00000000-0005-0000-0000-000016200000}"/>
    <cellStyle name="Currency 3 2 2 5 4 2" xfId="34981" xr:uid="{B6AE102A-8D02-4F47-8188-86B5BC355B6A}"/>
    <cellStyle name="Currency 3 2 2 5 5" xfId="9677" xr:uid="{00000000-0005-0000-0000-000017200000}"/>
    <cellStyle name="Currency 3 2 2 5 6" xfId="26547" xr:uid="{C8332565-162C-4630-AA57-BFC7CA239522}"/>
    <cellStyle name="Currency 3 2 2 6" xfId="1565" xr:uid="{00000000-0005-0000-0000-000018200000}"/>
    <cellStyle name="Currency 3 2 2 6 2" xfId="3795" xr:uid="{00000000-0005-0000-0000-000019200000}"/>
    <cellStyle name="Currency 3 2 2 6 2 2" xfId="8018" xr:uid="{00000000-0005-0000-0000-00001A200000}"/>
    <cellStyle name="Currency 3 2 2 6 2 2 2" xfId="24888" xr:uid="{00000000-0005-0000-0000-00001B200000}"/>
    <cellStyle name="Currency 3 2 2 6 2 2 2 2" xfId="41756" xr:uid="{5A096D2C-CD34-4EDF-A818-6AF79D61E83C}"/>
    <cellStyle name="Currency 3 2 2 6 2 2 3" xfId="16453" xr:uid="{00000000-0005-0000-0000-00001C200000}"/>
    <cellStyle name="Currency 3 2 2 6 2 2 4" xfId="33322" xr:uid="{67493BA1-1653-414E-AFFB-B6F3FA0D24DF}"/>
    <cellStyle name="Currency 3 2 2 6 2 3" xfId="20670" xr:uid="{00000000-0005-0000-0000-00001D200000}"/>
    <cellStyle name="Currency 3 2 2 6 2 3 2" xfId="37539" xr:uid="{C9549C1A-0B8C-41E9-8FDB-7086A2E7C0EC}"/>
    <cellStyle name="Currency 3 2 2 6 2 4" xfId="12235" xr:uid="{00000000-0005-0000-0000-00001E200000}"/>
    <cellStyle name="Currency 3 2 2 6 2 5" xfId="29105" xr:uid="{45F89BB0-79EB-4DE5-A9A2-CD618F45C209}"/>
    <cellStyle name="Currency 3 2 2 6 3" xfId="5873" xr:uid="{00000000-0005-0000-0000-00001F200000}"/>
    <cellStyle name="Currency 3 2 2 6 3 2" xfId="22743" xr:uid="{00000000-0005-0000-0000-000020200000}"/>
    <cellStyle name="Currency 3 2 2 6 3 2 2" xfId="39611" xr:uid="{EBD90E45-AFA1-442E-B481-81588302983C}"/>
    <cellStyle name="Currency 3 2 2 6 3 3" xfId="14308" xr:uid="{00000000-0005-0000-0000-000021200000}"/>
    <cellStyle name="Currency 3 2 2 6 3 4" xfId="31177" xr:uid="{E4127A15-2CF0-4A93-BEDF-C9DF91B21CE9}"/>
    <cellStyle name="Currency 3 2 2 6 4" xfId="18525" xr:uid="{00000000-0005-0000-0000-000022200000}"/>
    <cellStyle name="Currency 3 2 2 6 4 2" xfId="35394" xr:uid="{FFEB2856-91C4-48C9-B314-3B7F250795E1}"/>
    <cellStyle name="Currency 3 2 2 6 5" xfId="10090" xr:uid="{00000000-0005-0000-0000-000023200000}"/>
    <cellStyle name="Currency 3 2 2 6 6" xfId="26960" xr:uid="{B7E9C95D-E740-49BF-8554-611D4A509C36}"/>
    <cellStyle name="Currency 3 2 2 7" xfId="1979" xr:uid="{00000000-0005-0000-0000-000024200000}"/>
    <cellStyle name="Currency 3 2 2 7 2" xfId="4208" xr:uid="{00000000-0005-0000-0000-000025200000}"/>
    <cellStyle name="Currency 3 2 2 7 2 2" xfId="8431" xr:uid="{00000000-0005-0000-0000-000026200000}"/>
    <cellStyle name="Currency 3 2 2 7 2 2 2" xfId="25301" xr:uid="{00000000-0005-0000-0000-000027200000}"/>
    <cellStyle name="Currency 3 2 2 7 2 2 2 2" xfId="42169" xr:uid="{9BEB216C-1D6A-47DB-B0AF-510019E44307}"/>
    <cellStyle name="Currency 3 2 2 7 2 2 3" xfId="16866" xr:uid="{00000000-0005-0000-0000-000028200000}"/>
    <cellStyle name="Currency 3 2 2 7 2 2 4" xfId="33735" xr:uid="{B4B5EF4E-6EF3-4A2C-AEEA-515DC9385990}"/>
    <cellStyle name="Currency 3 2 2 7 2 3" xfId="21083" xr:uid="{00000000-0005-0000-0000-000029200000}"/>
    <cellStyle name="Currency 3 2 2 7 2 3 2" xfId="37952" xr:uid="{3C7CCFE8-641A-408B-878A-D6F463A454FE}"/>
    <cellStyle name="Currency 3 2 2 7 2 4" xfId="12648" xr:uid="{00000000-0005-0000-0000-00002A200000}"/>
    <cellStyle name="Currency 3 2 2 7 2 5" xfId="29518" xr:uid="{10CDD315-5B45-4306-AA19-C888D92A4E16}"/>
    <cellStyle name="Currency 3 2 2 7 3" xfId="6286" xr:uid="{00000000-0005-0000-0000-00002B200000}"/>
    <cellStyle name="Currency 3 2 2 7 3 2" xfId="23156" xr:uid="{00000000-0005-0000-0000-00002C200000}"/>
    <cellStyle name="Currency 3 2 2 7 3 2 2" xfId="40024" xr:uid="{0FFEB265-CEAF-4DE3-BD5A-00645F25F255}"/>
    <cellStyle name="Currency 3 2 2 7 3 3" xfId="14721" xr:uid="{00000000-0005-0000-0000-00002D200000}"/>
    <cellStyle name="Currency 3 2 2 7 3 4" xfId="31590" xr:uid="{D2B1C1DB-8AD8-40BB-9E67-5B455AD77593}"/>
    <cellStyle name="Currency 3 2 2 7 4" xfId="18938" xr:uid="{00000000-0005-0000-0000-00002E200000}"/>
    <cellStyle name="Currency 3 2 2 7 4 2" xfId="35807" xr:uid="{2928A71E-16AA-423C-ABCD-28D1A1376C27}"/>
    <cellStyle name="Currency 3 2 2 7 5" xfId="10503" xr:uid="{00000000-0005-0000-0000-00002F200000}"/>
    <cellStyle name="Currency 3 2 2 7 6" xfId="27373" xr:uid="{6EBBF5CA-0E19-420E-BEE9-8485DA281C47}"/>
    <cellStyle name="Currency 3 2 2 8" xfId="2414" xr:uid="{00000000-0005-0000-0000-000030200000}"/>
    <cellStyle name="Currency 3 2 2 8 2" xfId="6699" xr:uid="{00000000-0005-0000-0000-000031200000}"/>
    <cellStyle name="Currency 3 2 2 8 2 2" xfId="23569" xr:uid="{00000000-0005-0000-0000-000032200000}"/>
    <cellStyle name="Currency 3 2 2 8 2 2 2" xfId="40437" xr:uid="{C593E38C-BADE-499C-AB96-2BE87D0381EE}"/>
    <cellStyle name="Currency 3 2 2 8 2 3" xfId="15134" xr:uid="{00000000-0005-0000-0000-000033200000}"/>
    <cellStyle name="Currency 3 2 2 8 2 4" xfId="32003" xr:uid="{5FCEA46E-F482-4628-9D3A-27FEC0E66D69}"/>
    <cellStyle name="Currency 3 2 2 8 3" xfId="19351" xr:uid="{00000000-0005-0000-0000-000034200000}"/>
    <cellStyle name="Currency 3 2 2 8 3 2" xfId="36220" xr:uid="{B077DB26-29A8-4F21-9864-0AAEB41C8B3B}"/>
    <cellStyle name="Currency 3 2 2 8 4" xfId="10916" xr:uid="{00000000-0005-0000-0000-000035200000}"/>
    <cellStyle name="Currency 3 2 2 8 5" xfId="27786" xr:uid="{F6D07915-0D22-47DD-8D7F-43F1A5B9BFAB}"/>
    <cellStyle name="Currency 3 2 2 9" xfId="2711" xr:uid="{00000000-0005-0000-0000-000036200000}"/>
    <cellStyle name="Currency 3 2 3" xfId="182" xr:uid="{00000000-0005-0000-0000-000037200000}"/>
    <cellStyle name="Currency 3 2 3 10" xfId="4637" xr:uid="{00000000-0005-0000-0000-000038200000}"/>
    <cellStyle name="Currency 3 2 3 10 2" xfId="21507" xr:uid="{00000000-0005-0000-0000-000039200000}"/>
    <cellStyle name="Currency 3 2 3 10 2 2" xfId="38375" xr:uid="{F8D1AC64-4979-4A2A-AE37-63B57EB15BE7}"/>
    <cellStyle name="Currency 3 2 3 10 3" xfId="13072" xr:uid="{00000000-0005-0000-0000-00003A200000}"/>
    <cellStyle name="Currency 3 2 3 10 4" xfId="29941" xr:uid="{FDB147CA-5CF6-4CEC-9923-59A4DCA9081B}"/>
    <cellStyle name="Currency 3 2 3 11" xfId="17289" xr:uid="{00000000-0005-0000-0000-00003B200000}"/>
    <cellStyle name="Currency 3 2 3 11 2" xfId="34158" xr:uid="{3548B307-5CD8-4229-9931-E606A64A08C7}"/>
    <cellStyle name="Currency 3 2 3 12" xfId="8854" xr:uid="{00000000-0005-0000-0000-00003C200000}"/>
    <cellStyle name="Currency 3 2 3 13" xfId="25724" xr:uid="{B19017FC-4331-436F-8C89-1EA44BCD007B}"/>
    <cellStyle name="Currency 3 2 3 2" xfId="183" xr:uid="{00000000-0005-0000-0000-00003D200000}"/>
    <cellStyle name="Currency 3 2 3 2 10" xfId="17290" xr:uid="{00000000-0005-0000-0000-00003E200000}"/>
    <cellStyle name="Currency 3 2 3 2 10 2" xfId="34159" xr:uid="{1F1DD426-CA39-49FF-A91C-A2A11A39994E}"/>
    <cellStyle name="Currency 3 2 3 2 11" xfId="8855" xr:uid="{00000000-0005-0000-0000-00003F200000}"/>
    <cellStyle name="Currency 3 2 3 2 12" xfId="25725" xr:uid="{FC6E3A96-E845-4EFF-824B-95765978A1E7}"/>
    <cellStyle name="Currency 3 2 3 2 2" xfId="713" xr:uid="{00000000-0005-0000-0000-000040200000}"/>
    <cellStyle name="Currency 3 2 3 2 2 2" xfId="2974" xr:uid="{00000000-0005-0000-0000-000041200000}"/>
    <cellStyle name="Currency 3 2 3 2 2 2 2" xfId="7197" xr:uid="{00000000-0005-0000-0000-000042200000}"/>
    <cellStyle name="Currency 3 2 3 2 2 2 2 2" xfId="24067" xr:uid="{00000000-0005-0000-0000-000043200000}"/>
    <cellStyle name="Currency 3 2 3 2 2 2 2 2 2" xfId="40935" xr:uid="{67A5AD36-B5D0-4C8C-9758-3319E5B6A79E}"/>
    <cellStyle name="Currency 3 2 3 2 2 2 2 3" xfId="15632" xr:uid="{00000000-0005-0000-0000-000044200000}"/>
    <cellStyle name="Currency 3 2 3 2 2 2 2 4" xfId="32501" xr:uid="{049730E9-D8B9-4D4D-9625-2D9C68E99956}"/>
    <cellStyle name="Currency 3 2 3 2 2 2 3" xfId="19849" xr:uid="{00000000-0005-0000-0000-000045200000}"/>
    <cellStyle name="Currency 3 2 3 2 2 2 3 2" xfId="36718" xr:uid="{61A27D54-320E-404D-A197-986BD6C7C0ED}"/>
    <cellStyle name="Currency 3 2 3 2 2 2 4" xfId="11414" xr:uid="{00000000-0005-0000-0000-000046200000}"/>
    <cellStyle name="Currency 3 2 3 2 2 2 5" xfId="28284" xr:uid="{E9626D23-9155-457A-9BE2-2208286F2955}"/>
    <cellStyle name="Currency 3 2 3 2 2 3" xfId="5052" xr:uid="{00000000-0005-0000-0000-000047200000}"/>
    <cellStyle name="Currency 3 2 3 2 2 3 2" xfId="21922" xr:uid="{00000000-0005-0000-0000-000048200000}"/>
    <cellStyle name="Currency 3 2 3 2 2 3 2 2" xfId="38790" xr:uid="{F2CC4ED8-DB5E-4B6F-91EC-7F3661D89D67}"/>
    <cellStyle name="Currency 3 2 3 2 2 3 3" xfId="13487" xr:uid="{00000000-0005-0000-0000-000049200000}"/>
    <cellStyle name="Currency 3 2 3 2 2 3 4" xfId="30356" xr:uid="{523E08DF-5244-48E3-8BFB-7361ED0EDB9C}"/>
    <cellStyle name="Currency 3 2 3 2 2 4" xfId="17704" xr:uid="{00000000-0005-0000-0000-00004A200000}"/>
    <cellStyle name="Currency 3 2 3 2 2 4 2" xfId="34573" xr:uid="{F98E7644-9E48-4550-B5D8-F891A5001A26}"/>
    <cellStyle name="Currency 3 2 3 2 2 5" xfId="9269" xr:uid="{00000000-0005-0000-0000-00004B200000}"/>
    <cellStyle name="Currency 3 2 3 2 2 6" xfId="26139" xr:uid="{248A6AB7-6F63-48C7-B2E0-BEC0D2022A78}"/>
    <cellStyle name="Currency 3 2 3 2 3" xfId="1156" xr:uid="{00000000-0005-0000-0000-00004C200000}"/>
    <cellStyle name="Currency 3 2 3 2 3 2" xfId="3387" xr:uid="{00000000-0005-0000-0000-00004D200000}"/>
    <cellStyle name="Currency 3 2 3 2 3 2 2" xfId="7610" xr:uid="{00000000-0005-0000-0000-00004E200000}"/>
    <cellStyle name="Currency 3 2 3 2 3 2 2 2" xfId="24480" xr:uid="{00000000-0005-0000-0000-00004F200000}"/>
    <cellStyle name="Currency 3 2 3 2 3 2 2 2 2" xfId="41348" xr:uid="{17AC4576-4D0B-4B3D-8535-47CDEB8B4308}"/>
    <cellStyle name="Currency 3 2 3 2 3 2 2 3" xfId="16045" xr:uid="{00000000-0005-0000-0000-000050200000}"/>
    <cellStyle name="Currency 3 2 3 2 3 2 2 4" xfId="32914" xr:uid="{EB72F39A-1E61-4A67-BA5C-619EB622CBCC}"/>
    <cellStyle name="Currency 3 2 3 2 3 2 3" xfId="20262" xr:uid="{00000000-0005-0000-0000-000051200000}"/>
    <cellStyle name="Currency 3 2 3 2 3 2 3 2" xfId="37131" xr:uid="{3034DD30-12C8-4700-B629-E46430C56ECF}"/>
    <cellStyle name="Currency 3 2 3 2 3 2 4" xfId="11827" xr:uid="{00000000-0005-0000-0000-000052200000}"/>
    <cellStyle name="Currency 3 2 3 2 3 2 5" xfId="28697" xr:uid="{76C2007B-9287-4A91-BF7A-A2474CA20666}"/>
    <cellStyle name="Currency 3 2 3 2 3 3" xfId="5465" xr:uid="{00000000-0005-0000-0000-000053200000}"/>
    <cellStyle name="Currency 3 2 3 2 3 3 2" xfId="22335" xr:uid="{00000000-0005-0000-0000-000054200000}"/>
    <cellStyle name="Currency 3 2 3 2 3 3 2 2" xfId="39203" xr:uid="{5C0C0F94-EFC7-4B0F-AD10-548DDD0762A4}"/>
    <cellStyle name="Currency 3 2 3 2 3 3 3" xfId="13900" xr:uid="{00000000-0005-0000-0000-000055200000}"/>
    <cellStyle name="Currency 3 2 3 2 3 3 4" xfId="30769" xr:uid="{90B469A6-A328-4183-A0EA-3996F14AF103}"/>
    <cellStyle name="Currency 3 2 3 2 3 4" xfId="18117" xr:uid="{00000000-0005-0000-0000-000056200000}"/>
    <cellStyle name="Currency 3 2 3 2 3 4 2" xfId="34986" xr:uid="{33D24078-62D9-4AD7-8377-C21CA54FAF72}"/>
    <cellStyle name="Currency 3 2 3 2 3 5" xfId="9682" xr:uid="{00000000-0005-0000-0000-000057200000}"/>
    <cellStyle name="Currency 3 2 3 2 3 6" xfId="26552" xr:uid="{83123BA4-8CD9-477F-A27B-9EC37DBFF5CC}"/>
    <cellStyle name="Currency 3 2 3 2 4" xfId="1570" xr:uid="{00000000-0005-0000-0000-000058200000}"/>
    <cellStyle name="Currency 3 2 3 2 4 2" xfId="3800" xr:uid="{00000000-0005-0000-0000-000059200000}"/>
    <cellStyle name="Currency 3 2 3 2 4 2 2" xfId="8023" xr:uid="{00000000-0005-0000-0000-00005A200000}"/>
    <cellStyle name="Currency 3 2 3 2 4 2 2 2" xfId="24893" xr:uid="{00000000-0005-0000-0000-00005B200000}"/>
    <cellStyle name="Currency 3 2 3 2 4 2 2 2 2" xfId="41761" xr:uid="{64A249D5-0A98-45BA-848D-820C1221E9B8}"/>
    <cellStyle name="Currency 3 2 3 2 4 2 2 3" xfId="16458" xr:uid="{00000000-0005-0000-0000-00005C200000}"/>
    <cellStyle name="Currency 3 2 3 2 4 2 2 4" xfId="33327" xr:uid="{3AD19725-406A-4BBA-ABA2-43BAABC1304E}"/>
    <cellStyle name="Currency 3 2 3 2 4 2 3" xfId="20675" xr:uid="{00000000-0005-0000-0000-00005D200000}"/>
    <cellStyle name="Currency 3 2 3 2 4 2 3 2" xfId="37544" xr:uid="{03C65C60-24FF-4233-A9AA-22D0F2EFC4C6}"/>
    <cellStyle name="Currency 3 2 3 2 4 2 4" xfId="12240" xr:uid="{00000000-0005-0000-0000-00005E200000}"/>
    <cellStyle name="Currency 3 2 3 2 4 2 5" xfId="29110" xr:uid="{E9333468-44C3-4DD7-8F50-D61FC7D28335}"/>
    <cellStyle name="Currency 3 2 3 2 4 3" xfId="5878" xr:uid="{00000000-0005-0000-0000-00005F200000}"/>
    <cellStyle name="Currency 3 2 3 2 4 3 2" xfId="22748" xr:uid="{00000000-0005-0000-0000-000060200000}"/>
    <cellStyle name="Currency 3 2 3 2 4 3 2 2" xfId="39616" xr:uid="{32C8869E-B882-4B46-95C4-215C62F76346}"/>
    <cellStyle name="Currency 3 2 3 2 4 3 3" xfId="14313" xr:uid="{00000000-0005-0000-0000-000061200000}"/>
    <cellStyle name="Currency 3 2 3 2 4 3 4" xfId="31182" xr:uid="{86EA702B-327A-4D32-835F-4AD31938181E}"/>
    <cellStyle name="Currency 3 2 3 2 4 4" xfId="18530" xr:uid="{00000000-0005-0000-0000-000062200000}"/>
    <cellStyle name="Currency 3 2 3 2 4 4 2" xfId="35399" xr:uid="{699F0331-A77A-435B-925F-08A4E12C3DD4}"/>
    <cellStyle name="Currency 3 2 3 2 4 5" xfId="10095" xr:uid="{00000000-0005-0000-0000-000063200000}"/>
    <cellStyle name="Currency 3 2 3 2 4 6" xfId="26965" xr:uid="{46AA58A4-55D5-420B-87C6-A24B168C7D3B}"/>
    <cellStyle name="Currency 3 2 3 2 5" xfId="1984" xr:uid="{00000000-0005-0000-0000-000064200000}"/>
    <cellStyle name="Currency 3 2 3 2 5 2" xfId="4213" xr:uid="{00000000-0005-0000-0000-000065200000}"/>
    <cellStyle name="Currency 3 2 3 2 5 2 2" xfId="8436" xr:uid="{00000000-0005-0000-0000-000066200000}"/>
    <cellStyle name="Currency 3 2 3 2 5 2 2 2" xfId="25306" xr:uid="{00000000-0005-0000-0000-000067200000}"/>
    <cellStyle name="Currency 3 2 3 2 5 2 2 2 2" xfId="42174" xr:uid="{588F5A02-18A9-4D52-BD71-B68C10D05D8A}"/>
    <cellStyle name="Currency 3 2 3 2 5 2 2 3" xfId="16871" xr:uid="{00000000-0005-0000-0000-000068200000}"/>
    <cellStyle name="Currency 3 2 3 2 5 2 2 4" xfId="33740" xr:uid="{6DF4F1B5-16F9-4EC0-BB9A-17839854F5C4}"/>
    <cellStyle name="Currency 3 2 3 2 5 2 3" xfId="21088" xr:uid="{00000000-0005-0000-0000-000069200000}"/>
    <cellStyle name="Currency 3 2 3 2 5 2 3 2" xfId="37957" xr:uid="{AA004329-EC26-4280-AA61-9D88CF2EA0E8}"/>
    <cellStyle name="Currency 3 2 3 2 5 2 4" xfId="12653" xr:uid="{00000000-0005-0000-0000-00006A200000}"/>
    <cellStyle name="Currency 3 2 3 2 5 2 5" xfId="29523" xr:uid="{737C2FAB-8BD4-4655-972D-E7A237172E3A}"/>
    <cellStyle name="Currency 3 2 3 2 5 3" xfId="6291" xr:uid="{00000000-0005-0000-0000-00006B200000}"/>
    <cellStyle name="Currency 3 2 3 2 5 3 2" xfId="23161" xr:uid="{00000000-0005-0000-0000-00006C200000}"/>
    <cellStyle name="Currency 3 2 3 2 5 3 2 2" xfId="40029" xr:uid="{66F91B25-99A6-4662-926B-DCCBF561333B}"/>
    <cellStyle name="Currency 3 2 3 2 5 3 3" xfId="14726" xr:uid="{00000000-0005-0000-0000-00006D200000}"/>
    <cellStyle name="Currency 3 2 3 2 5 3 4" xfId="31595" xr:uid="{B636E814-8F83-4B17-B814-F1FF2829AE4F}"/>
    <cellStyle name="Currency 3 2 3 2 5 4" xfId="18943" xr:uid="{00000000-0005-0000-0000-00006E200000}"/>
    <cellStyle name="Currency 3 2 3 2 5 4 2" xfId="35812" xr:uid="{1847DCAE-ABD9-4805-801E-4E421AA47D64}"/>
    <cellStyle name="Currency 3 2 3 2 5 5" xfId="10508" xr:uid="{00000000-0005-0000-0000-00006F200000}"/>
    <cellStyle name="Currency 3 2 3 2 5 6" xfId="27378" xr:uid="{24B149D8-36E1-44C5-A389-4E685F6AE46D}"/>
    <cellStyle name="Currency 3 2 3 2 6" xfId="2419" xr:uid="{00000000-0005-0000-0000-000070200000}"/>
    <cellStyle name="Currency 3 2 3 2 6 2" xfId="6704" xr:uid="{00000000-0005-0000-0000-000071200000}"/>
    <cellStyle name="Currency 3 2 3 2 6 2 2" xfId="23574" xr:uid="{00000000-0005-0000-0000-000072200000}"/>
    <cellStyle name="Currency 3 2 3 2 6 2 2 2" xfId="40442" xr:uid="{87DBD70B-7C38-4611-9D5E-5272133C0EC2}"/>
    <cellStyle name="Currency 3 2 3 2 6 2 3" xfId="15139" xr:uid="{00000000-0005-0000-0000-000073200000}"/>
    <cellStyle name="Currency 3 2 3 2 6 2 4" xfId="32008" xr:uid="{13C1EB20-D176-4E7F-B68A-CA8D7A7877E7}"/>
    <cellStyle name="Currency 3 2 3 2 6 3" xfId="19356" xr:uid="{00000000-0005-0000-0000-000074200000}"/>
    <cellStyle name="Currency 3 2 3 2 6 3 2" xfId="36225" xr:uid="{4C9FFE25-F72C-488D-841C-3BC39CF09507}"/>
    <cellStyle name="Currency 3 2 3 2 6 4" xfId="10921" xr:uid="{00000000-0005-0000-0000-000075200000}"/>
    <cellStyle name="Currency 3 2 3 2 6 5" xfId="27791" xr:uid="{7C6EF73A-CB24-4227-A463-B4659FCFA176}"/>
    <cellStyle name="Currency 3 2 3 2 7" xfId="2716" xr:uid="{00000000-0005-0000-0000-000076200000}"/>
    <cellStyle name="Currency 3 2 3 2 8" xfId="2797" xr:uid="{00000000-0005-0000-0000-000077200000}"/>
    <cellStyle name="Currency 3 2 3 2 8 2" xfId="7021" xr:uid="{00000000-0005-0000-0000-000078200000}"/>
    <cellStyle name="Currency 3 2 3 2 8 2 2" xfId="23891" xr:uid="{00000000-0005-0000-0000-000079200000}"/>
    <cellStyle name="Currency 3 2 3 2 8 2 2 2" xfId="40759" xr:uid="{AE2856C0-41AB-4A74-947E-B1D99B170AFB}"/>
    <cellStyle name="Currency 3 2 3 2 8 2 3" xfId="15456" xr:uid="{00000000-0005-0000-0000-00007A200000}"/>
    <cellStyle name="Currency 3 2 3 2 8 2 4" xfId="32325" xr:uid="{5A685CC6-03C1-40B1-81FF-4CDA44AA2A7D}"/>
    <cellStyle name="Currency 3 2 3 2 8 3" xfId="19673" xr:uid="{00000000-0005-0000-0000-00007B200000}"/>
    <cellStyle name="Currency 3 2 3 2 8 3 2" xfId="36542" xr:uid="{54ECCFBB-03D6-4200-913E-A7908F86525A}"/>
    <cellStyle name="Currency 3 2 3 2 8 4" xfId="11238" xr:uid="{00000000-0005-0000-0000-00007C200000}"/>
    <cellStyle name="Currency 3 2 3 2 8 5" xfId="28108" xr:uid="{58A24B45-A98F-4646-B7FC-1159E1489BA8}"/>
    <cellStyle name="Currency 3 2 3 2 9" xfId="4638" xr:uid="{00000000-0005-0000-0000-00007D200000}"/>
    <cellStyle name="Currency 3 2 3 2 9 2" xfId="21508" xr:uid="{00000000-0005-0000-0000-00007E200000}"/>
    <cellStyle name="Currency 3 2 3 2 9 2 2" xfId="38376" xr:uid="{E68C4F72-92EA-41FD-851E-121BAAEF4867}"/>
    <cellStyle name="Currency 3 2 3 2 9 3" xfId="13073" xr:uid="{00000000-0005-0000-0000-00007F200000}"/>
    <cellStyle name="Currency 3 2 3 2 9 4" xfId="29942" xr:uid="{3708FE37-2148-4030-89B1-704AEFACBDB9}"/>
    <cellStyle name="Currency 3 2 3 3" xfId="712" xr:uid="{00000000-0005-0000-0000-000080200000}"/>
    <cellStyle name="Currency 3 2 3 3 2" xfId="2973" xr:uid="{00000000-0005-0000-0000-000081200000}"/>
    <cellStyle name="Currency 3 2 3 3 2 2" xfId="7196" xr:uid="{00000000-0005-0000-0000-000082200000}"/>
    <cellStyle name="Currency 3 2 3 3 2 2 2" xfId="24066" xr:uid="{00000000-0005-0000-0000-000083200000}"/>
    <cellStyle name="Currency 3 2 3 3 2 2 2 2" xfId="40934" xr:uid="{618A51F7-3FCC-4996-A854-DC9EDC6A9A0C}"/>
    <cellStyle name="Currency 3 2 3 3 2 2 3" xfId="15631" xr:uid="{00000000-0005-0000-0000-000084200000}"/>
    <cellStyle name="Currency 3 2 3 3 2 2 4" xfId="32500" xr:uid="{6C9D7488-866E-4111-98EB-4ED6A4992C51}"/>
    <cellStyle name="Currency 3 2 3 3 2 3" xfId="19848" xr:uid="{00000000-0005-0000-0000-000085200000}"/>
    <cellStyle name="Currency 3 2 3 3 2 3 2" xfId="36717" xr:uid="{97D1301C-470D-4953-9031-5100BCB82FC4}"/>
    <cellStyle name="Currency 3 2 3 3 2 4" xfId="11413" xr:uid="{00000000-0005-0000-0000-000086200000}"/>
    <cellStyle name="Currency 3 2 3 3 2 5" xfId="28283" xr:uid="{251C0A82-FA99-44BA-964E-079F1307FC5A}"/>
    <cellStyle name="Currency 3 2 3 3 3" xfId="5051" xr:uid="{00000000-0005-0000-0000-000087200000}"/>
    <cellStyle name="Currency 3 2 3 3 3 2" xfId="21921" xr:uid="{00000000-0005-0000-0000-000088200000}"/>
    <cellStyle name="Currency 3 2 3 3 3 2 2" xfId="38789" xr:uid="{4B6F9570-A425-4D93-A976-72CB5074DA5D}"/>
    <cellStyle name="Currency 3 2 3 3 3 3" xfId="13486" xr:uid="{00000000-0005-0000-0000-000089200000}"/>
    <cellStyle name="Currency 3 2 3 3 3 4" xfId="30355" xr:uid="{137415F8-5E96-491F-B338-E86A4FF37305}"/>
    <cellStyle name="Currency 3 2 3 3 4" xfId="17703" xr:uid="{00000000-0005-0000-0000-00008A200000}"/>
    <cellStyle name="Currency 3 2 3 3 4 2" xfId="34572" xr:uid="{7C5155D4-DC71-4118-8F82-FF8C5E5F3971}"/>
    <cellStyle name="Currency 3 2 3 3 5" xfId="9268" xr:uid="{00000000-0005-0000-0000-00008B200000}"/>
    <cellStyle name="Currency 3 2 3 3 6" xfId="26138" xr:uid="{F328A8F3-C517-4C67-A013-044295E2D930}"/>
    <cellStyle name="Currency 3 2 3 4" xfId="1155" xr:uid="{00000000-0005-0000-0000-00008C200000}"/>
    <cellStyle name="Currency 3 2 3 4 2" xfId="3386" xr:uid="{00000000-0005-0000-0000-00008D200000}"/>
    <cellStyle name="Currency 3 2 3 4 2 2" xfId="7609" xr:uid="{00000000-0005-0000-0000-00008E200000}"/>
    <cellStyle name="Currency 3 2 3 4 2 2 2" xfId="24479" xr:uid="{00000000-0005-0000-0000-00008F200000}"/>
    <cellStyle name="Currency 3 2 3 4 2 2 2 2" xfId="41347" xr:uid="{29DEB62E-75FF-450E-8EE5-80C564695CC5}"/>
    <cellStyle name="Currency 3 2 3 4 2 2 3" xfId="16044" xr:uid="{00000000-0005-0000-0000-000090200000}"/>
    <cellStyle name="Currency 3 2 3 4 2 2 4" xfId="32913" xr:uid="{4D646C17-633F-4BAB-828F-707EFC606A00}"/>
    <cellStyle name="Currency 3 2 3 4 2 3" xfId="20261" xr:uid="{00000000-0005-0000-0000-000091200000}"/>
    <cellStyle name="Currency 3 2 3 4 2 3 2" xfId="37130" xr:uid="{FC462C83-AAF2-4009-9CB0-DAB5406D9315}"/>
    <cellStyle name="Currency 3 2 3 4 2 4" xfId="11826" xr:uid="{00000000-0005-0000-0000-000092200000}"/>
    <cellStyle name="Currency 3 2 3 4 2 5" xfId="28696" xr:uid="{20A47B13-CFF3-4375-AB98-15841E01E6A6}"/>
    <cellStyle name="Currency 3 2 3 4 3" xfId="5464" xr:uid="{00000000-0005-0000-0000-000093200000}"/>
    <cellStyle name="Currency 3 2 3 4 3 2" xfId="22334" xr:uid="{00000000-0005-0000-0000-000094200000}"/>
    <cellStyle name="Currency 3 2 3 4 3 2 2" xfId="39202" xr:uid="{C75F8A2D-9099-4A6F-AEB7-F2C5AAF4107C}"/>
    <cellStyle name="Currency 3 2 3 4 3 3" xfId="13899" xr:uid="{00000000-0005-0000-0000-000095200000}"/>
    <cellStyle name="Currency 3 2 3 4 3 4" xfId="30768" xr:uid="{2DCB85BE-C7F9-4717-B8B9-AE1C310C7D82}"/>
    <cellStyle name="Currency 3 2 3 4 4" xfId="18116" xr:uid="{00000000-0005-0000-0000-000096200000}"/>
    <cellStyle name="Currency 3 2 3 4 4 2" xfId="34985" xr:uid="{3C18CE52-5777-49B9-94BC-BCBC09FBEC1D}"/>
    <cellStyle name="Currency 3 2 3 4 5" xfId="9681" xr:uid="{00000000-0005-0000-0000-000097200000}"/>
    <cellStyle name="Currency 3 2 3 4 6" xfId="26551" xr:uid="{2FBFF6F1-E678-4E9F-ADB5-85FB5EE121AE}"/>
    <cellStyle name="Currency 3 2 3 5" xfId="1569" xr:uid="{00000000-0005-0000-0000-000098200000}"/>
    <cellStyle name="Currency 3 2 3 5 2" xfId="3799" xr:uid="{00000000-0005-0000-0000-000099200000}"/>
    <cellStyle name="Currency 3 2 3 5 2 2" xfId="8022" xr:uid="{00000000-0005-0000-0000-00009A200000}"/>
    <cellStyle name="Currency 3 2 3 5 2 2 2" xfId="24892" xr:uid="{00000000-0005-0000-0000-00009B200000}"/>
    <cellStyle name="Currency 3 2 3 5 2 2 2 2" xfId="41760" xr:uid="{4F8080B5-8DCB-48E6-BDC2-3027CD613AB6}"/>
    <cellStyle name="Currency 3 2 3 5 2 2 3" xfId="16457" xr:uid="{00000000-0005-0000-0000-00009C200000}"/>
    <cellStyle name="Currency 3 2 3 5 2 2 4" xfId="33326" xr:uid="{B6FDF0A4-1091-48AD-8332-C6B104312B4F}"/>
    <cellStyle name="Currency 3 2 3 5 2 3" xfId="20674" xr:uid="{00000000-0005-0000-0000-00009D200000}"/>
    <cellStyle name="Currency 3 2 3 5 2 3 2" xfId="37543" xr:uid="{8758B863-0777-4094-BBE3-5038B6DE454E}"/>
    <cellStyle name="Currency 3 2 3 5 2 4" xfId="12239" xr:uid="{00000000-0005-0000-0000-00009E200000}"/>
    <cellStyle name="Currency 3 2 3 5 2 5" xfId="29109" xr:uid="{D00587F6-F430-4754-AFB5-13C67D4BFE99}"/>
    <cellStyle name="Currency 3 2 3 5 3" xfId="5877" xr:uid="{00000000-0005-0000-0000-00009F200000}"/>
    <cellStyle name="Currency 3 2 3 5 3 2" xfId="22747" xr:uid="{00000000-0005-0000-0000-0000A0200000}"/>
    <cellStyle name="Currency 3 2 3 5 3 2 2" xfId="39615" xr:uid="{19FE59B9-7967-480F-A631-8FD3A95BAF8A}"/>
    <cellStyle name="Currency 3 2 3 5 3 3" xfId="14312" xr:uid="{00000000-0005-0000-0000-0000A1200000}"/>
    <cellStyle name="Currency 3 2 3 5 3 4" xfId="31181" xr:uid="{2DB97FCA-C072-4370-9506-05A70C5C304E}"/>
    <cellStyle name="Currency 3 2 3 5 4" xfId="18529" xr:uid="{00000000-0005-0000-0000-0000A2200000}"/>
    <cellStyle name="Currency 3 2 3 5 4 2" xfId="35398" xr:uid="{9935D3DE-342A-4875-9408-42521134B0C6}"/>
    <cellStyle name="Currency 3 2 3 5 5" xfId="10094" xr:uid="{00000000-0005-0000-0000-0000A3200000}"/>
    <cellStyle name="Currency 3 2 3 5 6" xfId="26964" xr:uid="{9A108B0F-15A2-4101-9201-D3623D968B73}"/>
    <cellStyle name="Currency 3 2 3 6" xfId="1983" xr:uid="{00000000-0005-0000-0000-0000A4200000}"/>
    <cellStyle name="Currency 3 2 3 6 2" xfId="4212" xr:uid="{00000000-0005-0000-0000-0000A5200000}"/>
    <cellStyle name="Currency 3 2 3 6 2 2" xfId="8435" xr:uid="{00000000-0005-0000-0000-0000A6200000}"/>
    <cellStyle name="Currency 3 2 3 6 2 2 2" xfId="25305" xr:uid="{00000000-0005-0000-0000-0000A7200000}"/>
    <cellStyle name="Currency 3 2 3 6 2 2 2 2" xfId="42173" xr:uid="{F01779AA-BECC-451F-8713-2D65C73A9B7C}"/>
    <cellStyle name="Currency 3 2 3 6 2 2 3" xfId="16870" xr:uid="{00000000-0005-0000-0000-0000A8200000}"/>
    <cellStyle name="Currency 3 2 3 6 2 2 4" xfId="33739" xr:uid="{2FD1820D-0359-4B22-8264-172A52B0BE4F}"/>
    <cellStyle name="Currency 3 2 3 6 2 3" xfId="21087" xr:uid="{00000000-0005-0000-0000-0000A9200000}"/>
    <cellStyle name="Currency 3 2 3 6 2 3 2" xfId="37956" xr:uid="{74236D91-0C76-4FF2-B12C-F3F09153BAC3}"/>
    <cellStyle name="Currency 3 2 3 6 2 4" xfId="12652" xr:uid="{00000000-0005-0000-0000-0000AA200000}"/>
    <cellStyle name="Currency 3 2 3 6 2 5" xfId="29522" xr:uid="{CDEF76B0-FDE6-42F6-BEFB-3848033196D8}"/>
    <cellStyle name="Currency 3 2 3 6 3" xfId="6290" xr:uid="{00000000-0005-0000-0000-0000AB200000}"/>
    <cellStyle name="Currency 3 2 3 6 3 2" xfId="23160" xr:uid="{00000000-0005-0000-0000-0000AC200000}"/>
    <cellStyle name="Currency 3 2 3 6 3 2 2" xfId="40028" xr:uid="{23E23F46-B10D-4B47-BF3A-F38DBC18587F}"/>
    <cellStyle name="Currency 3 2 3 6 3 3" xfId="14725" xr:uid="{00000000-0005-0000-0000-0000AD200000}"/>
    <cellStyle name="Currency 3 2 3 6 3 4" xfId="31594" xr:uid="{456F973B-A336-4864-80C5-96250517E469}"/>
    <cellStyle name="Currency 3 2 3 6 4" xfId="18942" xr:uid="{00000000-0005-0000-0000-0000AE200000}"/>
    <cellStyle name="Currency 3 2 3 6 4 2" xfId="35811" xr:uid="{2ABDC977-7C70-46E9-9CE7-EFC7936CFDC8}"/>
    <cellStyle name="Currency 3 2 3 6 5" xfId="10507" xr:uid="{00000000-0005-0000-0000-0000AF200000}"/>
    <cellStyle name="Currency 3 2 3 6 6" xfId="27377" xr:uid="{AB525162-DA9F-4CE8-AC4B-B5B6BEA597E4}"/>
    <cellStyle name="Currency 3 2 3 7" xfId="2418" xr:uid="{00000000-0005-0000-0000-0000B0200000}"/>
    <cellStyle name="Currency 3 2 3 7 2" xfId="6703" xr:uid="{00000000-0005-0000-0000-0000B1200000}"/>
    <cellStyle name="Currency 3 2 3 7 2 2" xfId="23573" xr:uid="{00000000-0005-0000-0000-0000B2200000}"/>
    <cellStyle name="Currency 3 2 3 7 2 2 2" xfId="40441" xr:uid="{EBD879F1-6425-42BB-B6F9-CABEEE5C7FA4}"/>
    <cellStyle name="Currency 3 2 3 7 2 3" xfId="15138" xr:uid="{00000000-0005-0000-0000-0000B3200000}"/>
    <cellStyle name="Currency 3 2 3 7 2 4" xfId="32007" xr:uid="{CBA1FC02-E2B8-442D-A4CE-A452214F29BB}"/>
    <cellStyle name="Currency 3 2 3 7 3" xfId="19355" xr:uid="{00000000-0005-0000-0000-0000B4200000}"/>
    <cellStyle name="Currency 3 2 3 7 3 2" xfId="36224" xr:uid="{56B4CB2E-0D49-4979-9A2A-AC50953DB548}"/>
    <cellStyle name="Currency 3 2 3 7 4" xfId="10920" xr:uid="{00000000-0005-0000-0000-0000B5200000}"/>
    <cellStyle name="Currency 3 2 3 7 5" xfId="27790" xr:uid="{58569B23-96DB-45CE-B6B0-468A0C7F3D66}"/>
    <cellStyle name="Currency 3 2 3 8" xfId="2715" xr:uid="{00000000-0005-0000-0000-0000B6200000}"/>
    <cellStyle name="Currency 3 2 3 9" xfId="2796" xr:uid="{00000000-0005-0000-0000-0000B7200000}"/>
    <cellStyle name="Currency 3 2 3 9 2" xfId="7020" xr:uid="{00000000-0005-0000-0000-0000B8200000}"/>
    <cellStyle name="Currency 3 2 3 9 2 2" xfId="23890" xr:uid="{00000000-0005-0000-0000-0000B9200000}"/>
    <cellStyle name="Currency 3 2 3 9 2 2 2" xfId="40758" xr:uid="{667448FB-D389-4692-AD09-C8DEBC575047}"/>
    <cellStyle name="Currency 3 2 3 9 2 3" xfId="15455" xr:uid="{00000000-0005-0000-0000-0000BA200000}"/>
    <cellStyle name="Currency 3 2 3 9 2 4" xfId="32324" xr:uid="{63EADE43-F57F-484D-9709-F0439D508F2E}"/>
    <cellStyle name="Currency 3 2 3 9 3" xfId="19672" xr:uid="{00000000-0005-0000-0000-0000BB200000}"/>
    <cellStyle name="Currency 3 2 3 9 3 2" xfId="36541" xr:uid="{106EE175-6716-41D0-9B19-225E878B2201}"/>
    <cellStyle name="Currency 3 2 3 9 4" xfId="11237" xr:uid="{00000000-0005-0000-0000-0000BC200000}"/>
    <cellStyle name="Currency 3 2 3 9 5" xfId="28107" xr:uid="{28C910A8-03F5-45E9-9AD2-56B8E6A59135}"/>
    <cellStyle name="Currency 3 2 4" xfId="184" xr:uid="{00000000-0005-0000-0000-0000BD200000}"/>
    <cellStyle name="Currency 3 2 4 10" xfId="17291" xr:uid="{00000000-0005-0000-0000-0000BE200000}"/>
    <cellStyle name="Currency 3 2 4 10 2" xfId="34160" xr:uid="{FFD77BC3-C4C9-4930-BB24-DE4CEC1E3808}"/>
    <cellStyle name="Currency 3 2 4 11" xfId="8856" xr:uid="{00000000-0005-0000-0000-0000BF200000}"/>
    <cellStyle name="Currency 3 2 4 12" xfId="25726" xr:uid="{C248036C-258F-4869-AEB4-7BEEAEFE70FE}"/>
    <cellStyle name="Currency 3 2 4 2" xfId="714" xr:uid="{00000000-0005-0000-0000-0000C0200000}"/>
    <cellStyle name="Currency 3 2 4 2 2" xfId="2975" xr:uid="{00000000-0005-0000-0000-0000C1200000}"/>
    <cellStyle name="Currency 3 2 4 2 2 2" xfId="7198" xr:uid="{00000000-0005-0000-0000-0000C2200000}"/>
    <cellStyle name="Currency 3 2 4 2 2 2 2" xfId="24068" xr:uid="{00000000-0005-0000-0000-0000C3200000}"/>
    <cellStyle name="Currency 3 2 4 2 2 2 2 2" xfId="40936" xr:uid="{B1653F69-0E2B-4137-A90B-0173778B0138}"/>
    <cellStyle name="Currency 3 2 4 2 2 2 3" xfId="15633" xr:uid="{00000000-0005-0000-0000-0000C4200000}"/>
    <cellStyle name="Currency 3 2 4 2 2 2 4" xfId="32502" xr:uid="{26ECC774-3E76-48CD-8F73-041E4D15E481}"/>
    <cellStyle name="Currency 3 2 4 2 2 3" xfId="19850" xr:uid="{00000000-0005-0000-0000-0000C5200000}"/>
    <cellStyle name="Currency 3 2 4 2 2 3 2" xfId="36719" xr:uid="{48860232-6455-434C-A4AC-BE4BBD456FF4}"/>
    <cellStyle name="Currency 3 2 4 2 2 4" xfId="11415" xr:uid="{00000000-0005-0000-0000-0000C6200000}"/>
    <cellStyle name="Currency 3 2 4 2 2 5" xfId="28285" xr:uid="{CE03DD2B-C2D9-4E48-8E3F-FA8DCB506FCB}"/>
    <cellStyle name="Currency 3 2 4 2 3" xfId="5053" xr:uid="{00000000-0005-0000-0000-0000C7200000}"/>
    <cellStyle name="Currency 3 2 4 2 3 2" xfId="21923" xr:uid="{00000000-0005-0000-0000-0000C8200000}"/>
    <cellStyle name="Currency 3 2 4 2 3 2 2" xfId="38791" xr:uid="{82DE16E3-A0BE-4D07-A13E-2FEA92BC3CB8}"/>
    <cellStyle name="Currency 3 2 4 2 3 3" xfId="13488" xr:uid="{00000000-0005-0000-0000-0000C9200000}"/>
    <cellStyle name="Currency 3 2 4 2 3 4" xfId="30357" xr:uid="{0D2632B8-CBC3-49E9-8978-4CC63428D3A7}"/>
    <cellStyle name="Currency 3 2 4 2 4" xfId="17705" xr:uid="{00000000-0005-0000-0000-0000CA200000}"/>
    <cellStyle name="Currency 3 2 4 2 4 2" xfId="34574" xr:uid="{EA213B92-B75B-4FA2-B4E1-796F7C9D421F}"/>
    <cellStyle name="Currency 3 2 4 2 5" xfId="9270" xr:uid="{00000000-0005-0000-0000-0000CB200000}"/>
    <cellStyle name="Currency 3 2 4 2 6" xfId="26140" xr:uid="{2655DD26-1879-44FD-B505-880089143B0F}"/>
    <cellStyle name="Currency 3 2 4 3" xfId="1157" xr:uid="{00000000-0005-0000-0000-0000CC200000}"/>
    <cellStyle name="Currency 3 2 4 3 2" xfId="3388" xr:uid="{00000000-0005-0000-0000-0000CD200000}"/>
    <cellStyle name="Currency 3 2 4 3 2 2" xfId="7611" xr:uid="{00000000-0005-0000-0000-0000CE200000}"/>
    <cellStyle name="Currency 3 2 4 3 2 2 2" xfId="24481" xr:uid="{00000000-0005-0000-0000-0000CF200000}"/>
    <cellStyle name="Currency 3 2 4 3 2 2 2 2" xfId="41349" xr:uid="{DD3FC307-A542-4BE3-9E8C-43AA6EFD3D3B}"/>
    <cellStyle name="Currency 3 2 4 3 2 2 3" xfId="16046" xr:uid="{00000000-0005-0000-0000-0000D0200000}"/>
    <cellStyle name="Currency 3 2 4 3 2 2 4" xfId="32915" xr:uid="{96CF686A-9F76-405A-B7FF-F08AD489B8FD}"/>
    <cellStyle name="Currency 3 2 4 3 2 3" xfId="20263" xr:uid="{00000000-0005-0000-0000-0000D1200000}"/>
    <cellStyle name="Currency 3 2 4 3 2 3 2" xfId="37132" xr:uid="{AEB38D0F-DF12-4307-A911-1215A4F849ED}"/>
    <cellStyle name="Currency 3 2 4 3 2 4" xfId="11828" xr:uid="{00000000-0005-0000-0000-0000D2200000}"/>
    <cellStyle name="Currency 3 2 4 3 2 5" xfId="28698" xr:uid="{C20CCCB0-D798-4A13-B6E1-29AE7CFF6DB9}"/>
    <cellStyle name="Currency 3 2 4 3 3" xfId="5466" xr:uid="{00000000-0005-0000-0000-0000D3200000}"/>
    <cellStyle name="Currency 3 2 4 3 3 2" xfId="22336" xr:uid="{00000000-0005-0000-0000-0000D4200000}"/>
    <cellStyle name="Currency 3 2 4 3 3 2 2" xfId="39204" xr:uid="{789684D9-D484-402A-97F4-706CAB68B7A0}"/>
    <cellStyle name="Currency 3 2 4 3 3 3" xfId="13901" xr:uid="{00000000-0005-0000-0000-0000D5200000}"/>
    <cellStyle name="Currency 3 2 4 3 3 4" xfId="30770" xr:uid="{833088A8-C046-4D7C-B7B8-86EBA83A4218}"/>
    <cellStyle name="Currency 3 2 4 3 4" xfId="18118" xr:uid="{00000000-0005-0000-0000-0000D6200000}"/>
    <cellStyle name="Currency 3 2 4 3 4 2" xfId="34987" xr:uid="{6BD706C8-22BC-4982-BAF5-987A0980561A}"/>
    <cellStyle name="Currency 3 2 4 3 5" xfId="9683" xr:uid="{00000000-0005-0000-0000-0000D7200000}"/>
    <cellStyle name="Currency 3 2 4 3 6" xfId="26553" xr:uid="{BE8E46D7-1C66-47A8-9B00-DCF44A0FB7C5}"/>
    <cellStyle name="Currency 3 2 4 4" xfId="1571" xr:uid="{00000000-0005-0000-0000-0000D8200000}"/>
    <cellStyle name="Currency 3 2 4 4 2" xfId="3801" xr:uid="{00000000-0005-0000-0000-0000D9200000}"/>
    <cellStyle name="Currency 3 2 4 4 2 2" xfId="8024" xr:uid="{00000000-0005-0000-0000-0000DA200000}"/>
    <cellStyle name="Currency 3 2 4 4 2 2 2" xfId="24894" xr:uid="{00000000-0005-0000-0000-0000DB200000}"/>
    <cellStyle name="Currency 3 2 4 4 2 2 2 2" xfId="41762" xr:uid="{B915D525-3839-445E-9672-6118DE4044A8}"/>
    <cellStyle name="Currency 3 2 4 4 2 2 3" xfId="16459" xr:uid="{00000000-0005-0000-0000-0000DC200000}"/>
    <cellStyle name="Currency 3 2 4 4 2 2 4" xfId="33328" xr:uid="{9E7FE065-17DA-40C9-A14C-AA43736A11A7}"/>
    <cellStyle name="Currency 3 2 4 4 2 3" xfId="20676" xr:uid="{00000000-0005-0000-0000-0000DD200000}"/>
    <cellStyle name="Currency 3 2 4 4 2 3 2" xfId="37545" xr:uid="{8A1E3D16-0D9D-454B-A9D3-5597B82497FE}"/>
    <cellStyle name="Currency 3 2 4 4 2 4" xfId="12241" xr:uid="{00000000-0005-0000-0000-0000DE200000}"/>
    <cellStyle name="Currency 3 2 4 4 2 5" xfId="29111" xr:uid="{9456D945-7A0A-4328-ADDA-0F59EAA1F915}"/>
    <cellStyle name="Currency 3 2 4 4 3" xfId="5879" xr:uid="{00000000-0005-0000-0000-0000DF200000}"/>
    <cellStyle name="Currency 3 2 4 4 3 2" xfId="22749" xr:uid="{00000000-0005-0000-0000-0000E0200000}"/>
    <cellStyle name="Currency 3 2 4 4 3 2 2" xfId="39617" xr:uid="{9686C816-F498-4E1E-8DAF-E497E07A75C4}"/>
    <cellStyle name="Currency 3 2 4 4 3 3" xfId="14314" xr:uid="{00000000-0005-0000-0000-0000E1200000}"/>
    <cellStyle name="Currency 3 2 4 4 3 4" xfId="31183" xr:uid="{FF98CCA9-ECE0-41E6-B807-E10D593413A0}"/>
    <cellStyle name="Currency 3 2 4 4 4" xfId="18531" xr:uid="{00000000-0005-0000-0000-0000E2200000}"/>
    <cellStyle name="Currency 3 2 4 4 4 2" xfId="35400" xr:uid="{E64F3BBA-6B4F-4F59-A222-B776CF3DCC3E}"/>
    <cellStyle name="Currency 3 2 4 4 5" xfId="10096" xr:uid="{00000000-0005-0000-0000-0000E3200000}"/>
    <cellStyle name="Currency 3 2 4 4 6" xfId="26966" xr:uid="{EE4880B5-29D8-452F-953A-5382BCE838C3}"/>
    <cellStyle name="Currency 3 2 4 5" xfId="1985" xr:uid="{00000000-0005-0000-0000-0000E4200000}"/>
    <cellStyle name="Currency 3 2 4 5 2" xfId="4214" xr:uid="{00000000-0005-0000-0000-0000E5200000}"/>
    <cellStyle name="Currency 3 2 4 5 2 2" xfId="8437" xr:uid="{00000000-0005-0000-0000-0000E6200000}"/>
    <cellStyle name="Currency 3 2 4 5 2 2 2" xfId="25307" xr:uid="{00000000-0005-0000-0000-0000E7200000}"/>
    <cellStyle name="Currency 3 2 4 5 2 2 2 2" xfId="42175" xr:uid="{7EDE20C0-D2EF-4B1A-9A46-CD70851A5EC7}"/>
    <cellStyle name="Currency 3 2 4 5 2 2 3" xfId="16872" xr:uid="{00000000-0005-0000-0000-0000E8200000}"/>
    <cellStyle name="Currency 3 2 4 5 2 2 4" xfId="33741" xr:uid="{86BB04A7-0937-4632-8C40-794C2927A771}"/>
    <cellStyle name="Currency 3 2 4 5 2 3" xfId="21089" xr:uid="{00000000-0005-0000-0000-0000E9200000}"/>
    <cellStyle name="Currency 3 2 4 5 2 3 2" xfId="37958" xr:uid="{FEE19E1A-0B24-4821-99A3-BDBBD42C7C47}"/>
    <cellStyle name="Currency 3 2 4 5 2 4" xfId="12654" xr:uid="{00000000-0005-0000-0000-0000EA200000}"/>
    <cellStyle name="Currency 3 2 4 5 2 5" xfId="29524" xr:uid="{10C4FDAE-4FF5-4AA7-BF39-88AA03C7C15F}"/>
    <cellStyle name="Currency 3 2 4 5 3" xfId="6292" xr:uid="{00000000-0005-0000-0000-0000EB200000}"/>
    <cellStyle name="Currency 3 2 4 5 3 2" xfId="23162" xr:uid="{00000000-0005-0000-0000-0000EC200000}"/>
    <cellStyle name="Currency 3 2 4 5 3 2 2" xfId="40030" xr:uid="{E184B502-179E-4413-B2F3-F07B9012DA7E}"/>
    <cellStyle name="Currency 3 2 4 5 3 3" xfId="14727" xr:uid="{00000000-0005-0000-0000-0000ED200000}"/>
    <cellStyle name="Currency 3 2 4 5 3 4" xfId="31596" xr:uid="{80127C81-A058-4884-A833-F7252CDD5892}"/>
    <cellStyle name="Currency 3 2 4 5 4" xfId="18944" xr:uid="{00000000-0005-0000-0000-0000EE200000}"/>
    <cellStyle name="Currency 3 2 4 5 4 2" xfId="35813" xr:uid="{32846A57-DD0F-42D2-9B7D-17B2632FAA1A}"/>
    <cellStyle name="Currency 3 2 4 5 5" xfId="10509" xr:uid="{00000000-0005-0000-0000-0000EF200000}"/>
    <cellStyle name="Currency 3 2 4 5 6" xfId="27379" xr:uid="{834EE850-735C-4764-8BAE-9B6BA4D24B27}"/>
    <cellStyle name="Currency 3 2 4 6" xfId="2420" xr:uid="{00000000-0005-0000-0000-0000F0200000}"/>
    <cellStyle name="Currency 3 2 4 6 2" xfId="6705" xr:uid="{00000000-0005-0000-0000-0000F1200000}"/>
    <cellStyle name="Currency 3 2 4 6 2 2" xfId="23575" xr:uid="{00000000-0005-0000-0000-0000F2200000}"/>
    <cellStyle name="Currency 3 2 4 6 2 2 2" xfId="40443" xr:uid="{A296E02F-B094-41F8-9084-E0306CA13A62}"/>
    <cellStyle name="Currency 3 2 4 6 2 3" xfId="15140" xr:uid="{00000000-0005-0000-0000-0000F3200000}"/>
    <cellStyle name="Currency 3 2 4 6 2 4" xfId="32009" xr:uid="{5F774BED-BF5C-4426-B669-65732AAB5B23}"/>
    <cellStyle name="Currency 3 2 4 6 3" xfId="19357" xr:uid="{00000000-0005-0000-0000-0000F4200000}"/>
    <cellStyle name="Currency 3 2 4 6 3 2" xfId="36226" xr:uid="{0E948FA0-9ECF-4F8F-B66E-756EBC909A6B}"/>
    <cellStyle name="Currency 3 2 4 6 4" xfId="10922" xr:uid="{00000000-0005-0000-0000-0000F5200000}"/>
    <cellStyle name="Currency 3 2 4 6 5" xfId="27792" xr:uid="{492A4211-C280-4651-AACC-B0F70785F08B}"/>
    <cellStyle name="Currency 3 2 4 7" xfId="2717" xr:uid="{00000000-0005-0000-0000-0000F6200000}"/>
    <cellStyle name="Currency 3 2 4 8" xfId="2798" xr:uid="{00000000-0005-0000-0000-0000F7200000}"/>
    <cellStyle name="Currency 3 2 4 8 2" xfId="7022" xr:uid="{00000000-0005-0000-0000-0000F8200000}"/>
    <cellStyle name="Currency 3 2 4 8 2 2" xfId="23892" xr:uid="{00000000-0005-0000-0000-0000F9200000}"/>
    <cellStyle name="Currency 3 2 4 8 2 2 2" xfId="40760" xr:uid="{27BC76A2-80F8-4425-8A9F-2B2F8FC649C5}"/>
    <cellStyle name="Currency 3 2 4 8 2 3" xfId="15457" xr:uid="{00000000-0005-0000-0000-0000FA200000}"/>
    <cellStyle name="Currency 3 2 4 8 2 4" xfId="32326" xr:uid="{C5F40FD0-4A72-4295-A72E-C4E0E0FDEA6E}"/>
    <cellStyle name="Currency 3 2 4 8 3" xfId="19674" xr:uid="{00000000-0005-0000-0000-0000FB200000}"/>
    <cellStyle name="Currency 3 2 4 8 3 2" xfId="36543" xr:uid="{F87BB113-B9BD-4303-8F8C-5D6AA1E3BAA8}"/>
    <cellStyle name="Currency 3 2 4 8 4" xfId="11239" xr:uid="{00000000-0005-0000-0000-0000FC200000}"/>
    <cellStyle name="Currency 3 2 4 8 5" xfId="28109" xr:uid="{C27C2418-4AA1-481E-8704-1B34227DCFAF}"/>
    <cellStyle name="Currency 3 2 4 9" xfId="4639" xr:uid="{00000000-0005-0000-0000-0000FD200000}"/>
    <cellStyle name="Currency 3 2 4 9 2" xfId="21509" xr:uid="{00000000-0005-0000-0000-0000FE200000}"/>
    <cellStyle name="Currency 3 2 4 9 2 2" xfId="38377" xr:uid="{452FE454-1096-4AB9-B2EC-ECA3C9AE8A29}"/>
    <cellStyle name="Currency 3 2 4 9 3" xfId="13074" xr:uid="{00000000-0005-0000-0000-0000FF200000}"/>
    <cellStyle name="Currency 3 2 4 9 4" xfId="29943" xr:uid="{13122A1D-35F6-4055-8BDB-51EFC23B5024}"/>
    <cellStyle name="Currency 3 2 5" xfId="185" xr:uid="{00000000-0005-0000-0000-000000210000}"/>
    <cellStyle name="Currency 3 2 5 10" xfId="17292" xr:uid="{00000000-0005-0000-0000-000001210000}"/>
    <cellStyle name="Currency 3 2 5 10 2" xfId="34161" xr:uid="{7F176EC9-1F14-4732-BEB8-66FF5614C933}"/>
    <cellStyle name="Currency 3 2 5 11" xfId="8857" xr:uid="{00000000-0005-0000-0000-000002210000}"/>
    <cellStyle name="Currency 3 2 5 12" xfId="25727" xr:uid="{1002E68D-32DA-4D6D-8B93-84B45B8B6255}"/>
    <cellStyle name="Currency 3 2 5 2" xfId="715" xr:uid="{00000000-0005-0000-0000-000003210000}"/>
    <cellStyle name="Currency 3 2 5 2 2" xfId="2976" xr:uid="{00000000-0005-0000-0000-000004210000}"/>
    <cellStyle name="Currency 3 2 5 2 2 2" xfId="7199" xr:uid="{00000000-0005-0000-0000-000005210000}"/>
    <cellStyle name="Currency 3 2 5 2 2 2 2" xfId="24069" xr:uid="{00000000-0005-0000-0000-000006210000}"/>
    <cellStyle name="Currency 3 2 5 2 2 2 2 2" xfId="40937" xr:uid="{91CDFE93-7263-4A66-AB82-78643F204006}"/>
    <cellStyle name="Currency 3 2 5 2 2 2 3" xfId="15634" xr:uid="{00000000-0005-0000-0000-000007210000}"/>
    <cellStyle name="Currency 3 2 5 2 2 2 4" xfId="32503" xr:uid="{49242F77-FF00-4B02-815D-043520D95F49}"/>
    <cellStyle name="Currency 3 2 5 2 2 3" xfId="19851" xr:uid="{00000000-0005-0000-0000-000008210000}"/>
    <cellStyle name="Currency 3 2 5 2 2 3 2" xfId="36720" xr:uid="{1AF13D29-26D7-4F06-B13A-2F9BCC6839A8}"/>
    <cellStyle name="Currency 3 2 5 2 2 4" xfId="11416" xr:uid="{00000000-0005-0000-0000-000009210000}"/>
    <cellStyle name="Currency 3 2 5 2 2 5" xfId="28286" xr:uid="{FD71DC9A-D030-40EB-B240-F8D29D822BE3}"/>
    <cellStyle name="Currency 3 2 5 2 3" xfId="5054" xr:uid="{00000000-0005-0000-0000-00000A210000}"/>
    <cellStyle name="Currency 3 2 5 2 3 2" xfId="21924" xr:uid="{00000000-0005-0000-0000-00000B210000}"/>
    <cellStyle name="Currency 3 2 5 2 3 2 2" xfId="38792" xr:uid="{9F483EC7-1D02-4519-9A26-AF7702BEBB5B}"/>
    <cellStyle name="Currency 3 2 5 2 3 3" xfId="13489" xr:uid="{00000000-0005-0000-0000-00000C210000}"/>
    <cellStyle name="Currency 3 2 5 2 3 4" xfId="30358" xr:uid="{C07057F2-7CF9-4D7C-85AA-0CD9E9C0EF93}"/>
    <cellStyle name="Currency 3 2 5 2 4" xfId="17706" xr:uid="{00000000-0005-0000-0000-00000D210000}"/>
    <cellStyle name="Currency 3 2 5 2 4 2" xfId="34575" xr:uid="{23121ECF-F34A-43D3-936E-D0986C98FE83}"/>
    <cellStyle name="Currency 3 2 5 2 5" xfId="9271" xr:uid="{00000000-0005-0000-0000-00000E210000}"/>
    <cellStyle name="Currency 3 2 5 2 6" xfId="26141" xr:uid="{600D5283-4CEB-4FC6-9759-03E2E3D2CEDF}"/>
    <cellStyle name="Currency 3 2 5 3" xfId="1158" xr:uid="{00000000-0005-0000-0000-00000F210000}"/>
    <cellStyle name="Currency 3 2 5 3 2" xfId="3389" xr:uid="{00000000-0005-0000-0000-000010210000}"/>
    <cellStyle name="Currency 3 2 5 3 2 2" xfId="7612" xr:uid="{00000000-0005-0000-0000-000011210000}"/>
    <cellStyle name="Currency 3 2 5 3 2 2 2" xfId="24482" xr:uid="{00000000-0005-0000-0000-000012210000}"/>
    <cellStyle name="Currency 3 2 5 3 2 2 2 2" xfId="41350" xr:uid="{DAF11792-0C06-457B-99DF-58F8972F216C}"/>
    <cellStyle name="Currency 3 2 5 3 2 2 3" xfId="16047" xr:uid="{00000000-0005-0000-0000-000013210000}"/>
    <cellStyle name="Currency 3 2 5 3 2 2 4" xfId="32916" xr:uid="{4A1B2439-4F71-43D5-9E64-F6CE566B828C}"/>
    <cellStyle name="Currency 3 2 5 3 2 3" xfId="20264" xr:uid="{00000000-0005-0000-0000-000014210000}"/>
    <cellStyle name="Currency 3 2 5 3 2 3 2" xfId="37133" xr:uid="{19124C1D-3F7A-4BCE-BCB2-380A8701F172}"/>
    <cellStyle name="Currency 3 2 5 3 2 4" xfId="11829" xr:uid="{00000000-0005-0000-0000-000015210000}"/>
    <cellStyle name="Currency 3 2 5 3 2 5" xfId="28699" xr:uid="{729D3B3E-9292-4138-85C8-DB7C508141BE}"/>
    <cellStyle name="Currency 3 2 5 3 3" xfId="5467" xr:uid="{00000000-0005-0000-0000-000016210000}"/>
    <cellStyle name="Currency 3 2 5 3 3 2" xfId="22337" xr:uid="{00000000-0005-0000-0000-000017210000}"/>
    <cellStyle name="Currency 3 2 5 3 3 2 2" xfId="39205" xr:uid="{35A7C4E3-71CE-4208-8993-92F9CCE2734F}"/>
    <cellStyle name="Currency 3 2 5 3 3 3" xfId="13902" xr:uid="{00000000-0005-0000-0000-000018210000}"/>
    <cellStyle name="Currency 3 2 5 3 3 4" xfId="30771" xr:uid="{D0646CA4-B407-4CA3-9A76-A632F5584950}"/>
    <cellStyle name="Currency 3 2 5 3 4" xfId="18119" xr:uid="{00000000-0005-0000-0000-000019210000}"/>
    <cellStyle name="Currency 3 2 5 3 4 2" xfId="34988" xr:uid="{91441DA0-0B58-4D32-8B43-72B3071FE8BF}"/>
    <cellStyle name="Currency 3 2 5 3 5" xfId="9684" xr:uid="{00000000-0005-0000-0000-00001A210000}"/>
    <cellStyle name="Currency 3 2 5 3 6" xfId="26554" xr:uid="{4598E871-5211-42A9-9427-CBCCE252D0FA}"/>
    <cellStyle name="Currency 3 2 5 4" xfId="1572" xr:uid="{00000000-0005-0000-0000-00001B210000}"/>
    <cellStyle name="Currency 3 2 5 4 2" xfId="3802" xr:uid="{00000000-0005-0000-0000-00001C210000}"/>
    <cellStyle name="Currency 3 2 5 4 2 2" xfId="8025" xr:uid="{00000000-0005-0000-0000-00001D210000}"/>
    <cellStyle name="Currency 3 2 5 4 2 2 2" xfId="24895" xr:uid="{00000000-0005-0000-0000-00001E210000}"/>
    <cellStyle name="Currency 3 2 5 4 2 2 2 2" xfId="41763" xr:uid="{37F2A4E2-E564-4924-8608-CC2E5D1E33FB}"/>
    <cellStyle name="Currency 3 2 5 4 2 2 3" xfId="16460" xr:uid="{00000000-0005-0000-0000-00001F210000}"/>
    <cellStyle name="Currency 3 2 5 4 2 2 4" xfId="33329" xr:uid="{702DBA11-AC79-4BD1-80C4-49AB83951A10}"/>
    <cellStyle name="Currency 3 2 5 4 2 3" xfId="20677" xr:uid="{00000000-0005-0000-0000-000020210000}"/>
    <cellStyle name="Currency 3 2 5 4 2 3 2" xfId="37546" xr:uid="{71B279C3-A0B8-45AC-B6F2-25DF4299CF07}"/>
    <cellStyle name="Currency 3 2 5 4 2 4" xfId="12242" xr:uid="{00000000-0005-0000-0000-000021210000}"/>
    <cellStyle name="Currency 3 2 5 4 2 5" xfId="29112" xr:uid="{9721A15D-C0DC-4CAE-86F6-650B880771F9}"/>
    <cellStyle name="Currency 3 2 5 4 3" xfId="5880" xr:uid="{00000000-0005-0000-0000-000022210000}"/>
    <cellStyle name="Currency 3 2 5 4 3 2" xfId="22750" xr:uid="{00000000-0005-0000-0000-000023210000}"/>
    <cellStyle name="Currency 3 2 5 4 3 2 2" xfId="39618" xr:uid="{1E0DDCE7-0521-4D9A-90AB-93C9BC313B7B}"/>
    <cellStyle name="Currency 3 2 5 4 3 3" xfId="14315" xr:uid="{00000000-0005-0000-0000-000024210000}"/>
    <cellStyle name="Currency 3 2 5 4 3 4" xfId="31184" xr:uid="{270C2EFA-4039-449C-95F4-9887D8E7971C}"/>
    <cellStyle name="Currency 3 2 5 4 4" xfId="18532" xr:uid="{00000000-0005-0000-0000-000025210000}"/>
    <cellStyle name="Currency 3 2 5 4 4 2" xfId="35401" xr:uid="{0E39FCC1-C9B3-4997-9536-7A8047AAFCF1}"/>
    <cellStyle name="Currency 3 2 5 4 5" xfId="10097" xr:uid="{00000000-0005-0000-0000-000026210000}"/>
    <cellStyle name="Currency 3 2 5 4 6" xfId="26967" xr:uid="{BE7DFA93-7DE9-457A-ACA6-81EA3196C050}"/>
    <cellStyle name="Currency 3 2 5 5" xfId="1986" xr:uid="{00000000-0005-0000-0000-000027210000}"/>
    <cellStyle name="Currency 3 2 5 5 2" xfId="4215" xr:uid="{00000000-0005-0000-0000-000028210000}"/>
    <cellStyle name="Currency 3 2 5 5 2 2" xfId="8438" xr:uid="{00000000-0005-0000-0000-000029210000}"/>
    <cellStyle name="Currency 3 2 5 5 2 2 2" xfId="25308" xr:uid="{00000000-0005-0000-0000-00002A210000}"/>
    <cellStyle name="Currency 3 2 5 5 2 2 2 2" xfId="42176" xr:uid="{E979D29D-76BA-4445-9E32-505C1AFD1D08}"/>
    <cellStyle name="Currency 3 2 5 5 2 2 3" xfId="16873" xr:uid="{00000000-0005-0000-0000-00002B210000}"/>
    <cellStyle name="Currency 3 2 5 5 2 2 4" xfId="33742" xr:uid="{8DDAB226-C6AC-4694-B40C-6738FC3EAB63}"/>
    <cellStyle name="Currency 3 2 5 5 2 3" xfId="21090" xr:uid="{00000000-0005-0000-0000-00002C210000}"/>
    <cellStyle name="Currency 3 2 5 5 2 3 2" xfId="37959" xr:uid="{3FF1E5E8-DB55-4248-9FE4-7B82BE883D48}"/>
    <cellStyle name="Currency 3 2 5 5 2 4" xfId="12655" xr:uid="{00000000-0005-0000-0000-00002D210000}"/>
    <cellStyle name="Currency 3 2 5 5 2 5" xfId="29525" xr:uid="{F2CB4D79-49E7-44FF-96A3-EE0C8A4B051B}"/>
    <cellStyle name="Currency 3 2 5 5 3" xfId="6293" xr:uid="{00000000-0005-0000-0000-00002E210000}"/>
    <cellStyle name="Currency 3 2 5 5 3 2" xfId="23163" xr:uid="{00000000-0005-0000-0000-00002F210000}"/>
    <cellStyle name="Currency 3 2 5 5 3 2 2" xfId="40031" xr:uid="{91B2E786-CD13-4078-BEC5-31A1DAB76909}"/>
    <cellStyle name="Currency 3 2 5 5 3 3" xfId="14728" xr:uid="{00000000-0005-0000-0000-000030210000}"/>
    <cellStyle name="Currency 3 2 5 5 3 4" xfId="31597" xr:uid="{B08302F1-2EAD-42E7-A1AA-12BFAF7425CD}"/>
    <cellStyle name="Currency 3 2 5 5 4" xfId="18945" xr:uid="{00000000-0005-0000-0000-000031210000}"/>
    <cellStyle name="Currency 3 2 5 5 4 2" xfId="35814" xr:uid="{30084CA7-BA00-4EFC-8203-9F8CCEEEA772}"/>
    <cellStyle name="Currency 3 2 5 5 5" xfId="10510" xr:uid="{00000000-0005-0000-0000-000032210000}"/>
    <cellStyle name="Currency 3 2 5 5 6" xfId="27380" xr:uid="{4F841201-4B7C-49F1-BB10-60BA849D5D03}"/>
    <cellStyle name="Currency 3 2 5 6" xfId="2421" xr:uid="{00000000-0005-0000-0000-000033210000}"/>
    <cellStyle name="Currency 3 2 5 6 2" xfId="6706" xr:uid="{00000000-0005-0000-0000-000034210000}"/>
    <cellStyle name="Currency 3 2 5 6 2 2" xfId="23576" xr:uid="{00000000-0005-0000-0000-000035210000}"/>
    <cellStyle name="Currency 3 2 5 6 2 2 2" xfId="40444" xr:uid="{A42964B3-ECAA-43E1-A704-57D4EDD785EF}"/>
    <cellStyle name="Currency 3 2 5 6 2 3" xfId="15141" xr:uid="{00000000-0005-0000-0000-000036210000}"/>
    <cellStyle name="Currency 3 2 5 6 2 4" xfId="32010" xr:uid="{388295AE-8AC2-4CED-9261-F9913CD8BA81}"/>
    <cellStyle name="Currency 3 2 5 6 3" xfId="19358" xr:uid="{00000000-0005-0000-0000-000037210000}"/>
    <cellStyle name="Currency 3 2 5 6 3 2" xfId="36227" xr:uid="{65690608-BE0E-4D0D-8B35-20D69322E6BB}"/>
    <cellStyle name="Currency 3 2 5 6 4" xfId="10923" xr:uid="{00000000-0005-0000-0000-000038210000}"/>
    <cellStyle name="Currency 3 2 5 6 5" xfId="27793" xr:uid="{791FD091-B383-4776-81F0-C8A42A584074}"/>
    <cellStyle name="Currency 3 2 5 7" xfId="2718" xr:uid="{00000000-0005-0000-0000-000039210000}"/>
    <cellStyle name="Currency 3 2 5 8" xfId="2799" xr:uid="{00000000-0005-0000-0000-00003A210000}"/>
    <cellStyle name="Currency 3 2 5 8 2" xfId="7023" xr:uid="{00000000-0005-0000-0000-00003B210000}"/>
    <cellStyle name="Currency 3 2 5 8 2 2" xfId="23893" xr:uid="{00000000-0005-0000-0000-00003C210000}"/>
    <cellStyle name="Currency 3 2 5 8 2 2 2" xfId="40761" xr:uid="{11226680-520A-4FE7-A46C-962B9145631C}"/>
    <cellStyle name="Currency 3 2 5 8 2 3" xfId="15458" xr:uid="{00000000-0005-0000-0000-00003D210000}"/>
    <cellStyle name="Currency 3 2 5 8 2 4" xfId="32327" xr:uid="{D9DFDFF5-E708-4815-8950-9DCEC57CE20F}"/>
    <cellStyle name="Currency 3 2 5 8 3" xfId="19675" xr:uid="{00000000-0005-0000-0000-00003E210000}"/>
    <cellStyle name="Currency 3 2 5 8 3 2" xfId="36544" xr:uid="{8F03285E-7727-4CF9-AEFE-1D799755F69A}"/>
    <cellStyle name="Currency 3 2 5 8 4" xfId="11240" xr:uid="{00000000-0005-0000-0000-00003F210000}"/>
    <cellStyle name="Currency 3 2 5 8 5" xfId="28110" xr:uid="{044B79C0-7AB5-4A12-9285-5D8F42F661A4}"/>
    <cellStyle name="Currency 3 2 5 9" xfId="4640" xr:uid="{00000000-0005-0000-0000-000040210000}"/>
    <cellStyle name="Currency 3 2 5 9 2" xfId="21510" xr:uid="{00000000-0005-0000-0000-000041210000}"/>
    <cellStyle name="Currency 3 2 5 9 2 2" xfId="38378" xr:uid="{CD87782E-DAF8-4C7A-A087-06A925C088E3}"/>
    <cellStyle name="Currency 3 2 5 9 3" xfId="13075" xr:uid="{00000000-0005-0000-0000-000042210000}"/>
    <cellStyle name="Currency 3 2 5 9 4" xfId="29944" xr:uid="{579D5074-2F03-4AB1-90A8-E785D054E357}"/>
    <cellStyle name="Currency 3 3" xfId="186" xr:uid="{00000000-0005-0000-0000-000043210000}"/>
    <cellStyle name="Currency 4" xfId="187" xr:uid="{00000000-0005-0000-0000-000044210000}"/>
    <cellStyle name="Currency 4 2" xfId="188" xr:uid="{00000000-0005-0000-0000-000045210000}"/>
    <cellStyle name="Currency 4 2 2" xfId="717" xr:uid="{00000000-0005-0000-0000-000046210000}"/>
    <cellStyle name="Currency 4 3" xfId="189" xr:uid="{00000000-0005-0000-0000-000047210000}"/>
    <cellStyle name="Currency 4 3 2" xfId="190" xr:uid="{00000000-0005-0000-0000-000048210000}"/>
    <cellStyle name="Currency 4 3 2 2" xfId="719" xr:uid="{00000000-0005-0000-0000-000049210000}"/>
    <cellStyle name="Currency 4 3 3" xfId="718" xr:uid="{00000000-0005-0000-0000-00004A210000}"/>
    <cellStyle name="Currency 4 4" xfId="191" xr:uid="{00000000-0005-0000-0000-00004B210000}"/>
    <cellStyle name="Currency 4 5" xfId="192" xr:uid="{00000000-0005-0000-0000-00004C210000}"/>
    <cellStyle name="Currency 4 5 2" xfId="720" xr:uid="{00000000-0005-0000-0000-00004D210000}"/>
    <cellStyle name="Currency 4 6" xfId="716" xr:uid="{00000000-0005-0000-0000-00004E210000}"/>
    <cellStyle name="Currency 5" xfId="193" xr:uid="{00000000-0005-0000-0000-00004F210000}"/>
    <cellStyle name="Currency 5 2" xfId="194" xr:uid="{00000000-0005-0000-0000-000050210000}"/>
    <cellStyle name="Currency 5 2 2" xfId="195" xr:uid="{00000000-0005-0000-0000-000051210000}"/>
    <cellStyle name="Currency 5 2 2 2" xfId="196" xr:uid="{00000000-0005-0000-0000-000052210000}"/>
    <cellStyle name="Currency 5 2 2 2 10" xfId="2800" xr:uid="{00000000-0005-0000-0000-000053210000}"/>
    <cellStyle name="Currency 5 2 2 2 10 2" xfId="7024" xr:uid="{00000000-0005-0000-0000-000054210000}"/>
    <cellStyle name="Currency 5 2 2 2 10 2 2" xfId="23894" xr:uid="{00000000-0005-0000-0000-000055210000}"/>
    <cellStyle name="Currency 5 2 2 2 10 2 2 2" xfId="40762" xr:uid="{CCAB3820-0864-4C78-B0E5-B446830C3CCA}"/>
    <cellStyle name="Currency 5 2 2 2 10 2 3" xfId="15459" xr:uid="{00000000-0005-0000-0000-000056210000}"/>
    <cellStyle name="Currency 5 2 2 2 10 2 4" xfId="32328" xr:uid="{9A0DF170-C8E3-4C2D-97DC-B26B3D945CF0}"/>
    <cellStyle name="Currency 5 2 2 2 10 3" xfId="19676" xr:uid="{00000000-0005-0000-0000-000057210000}"/>
    <cellStyle name="Currency 5 2 2 2 10 3 2" xfId="36545" xr:uid="{E98D8FD0-1013-4C55-A8F2-EBB5FCAC12E9}"/>
    <cellStyle name="Currency 5 2 2 2 10 4" xfId="11241" xr:uid="{00000000-0005-0000-0000-000058210000}"/>
    <cellStyle name="Currency 5 2 2 2 10 5" xfId="28111" xr:uid="{78C3AF27-C7EF-4527-8B54-0D772B70CEB8}"/>
    <cellStyle name="Currency 5 2 2 2 11" xfId="4641" xr:uid="{00000000-0005-0000-0000-000059210000}"/>
    <cellStyle name="Currency 5 2 2 2 11 2" xfId="21511" xr:uid="{00000000-0005-0000-0000-00005A210000}"/>
    <cellStyle name="Currency 5 2 2 2 11 2 2" xfId="38379" xr:uid="{E0E27961-3045-4FC2-A622-971C666CFE8C}"/>
    <cellStyle name="Currency 5 2 2 2 11 3" xfId="13076" xr:uid="{00000000-0005-0000-0000-00005B210000}"/>
    <cellStyle name="Currency 5 2 2 2 11 4" xfId="29945" xr:uid="{49F7740F-282C-46AD-9AD3-0E4D2AC229C3}"/>
    <cellStyle name="Currency 5 2 2 2 12" xfId="17293" xr:uid="{00000000-0005-0000-0000-00005C210000}"/>
    <cellStyle name="Currency 5 2 2 2 12 2" xfId="34162" xr:uid="{814114F5-3D36-4301-B722-B1C5DB0EFB7B}"/>
    <cellStyle name="Currency 5 2 2 2 13" xfId="8858" xr:uid="{00000000-0005-0000-0000-00005D210000}"/>
    <cellStyle name="Currency 5 2 2 2 14" xfId="25728" xr:uid="{87001C69-431E-41AF-A66B-B65EFA382973}"/>
    <cellStyle name="Currency 5 2 2 2 2" xfId="197" xr:uid="{00000000-0005-0000-0000-00005E210000}"/>
    <cellStyle name="Currency 5 2 2 2 2 10" xfId="4642" xr:uid="{00000000-0005-0000-0000-00005F210000}"/>
    <cellStyle name="Currency 5 2 2 2 2 10 2" xfId="21512" xr:uid="{00000000-0005-0000-0000-000060210000}"/>
    <cellStyle name="Currency 5 2 2 2 2 10 2 2" xfId="38380" xr:uid="{DF4974A3-2DC8-45C6-9288-A913F546B6E9}"/>
    <cellStyle name="Currency 5 2 2 2 2 10 3" xfId="13077" xr:uid="{00000000-0005-0000-0000-000061210000}"/>
    <cellStyle name="Currency 5 2 2 2 2 10 4" xfId="29946" xr:uid="{5FCFBEEF-1CF4-4E06-B488-B2B48459EF49}"/>
    <cellStyle name="Currency 5 2 2 2 2 11" xfId="17294" xr:uid="{00000000-0005-0000-0000-000062210000}"/>
    <cellStyle name="Currency 5 2 2 2 2 11 2" xfId="34163" xr:uid="{335385B9-A48F-41E6-A4B8-EB5B8A37EA4D}"/>
    <cellStyle name="Currency 5 2 2 2 2 12" xfId="8859" xr:uid="{00000000-0005-0000-0000-000063210000}"/>
    <cellStyle name="Currency 5 2 2 2 2 13" xfId="25729" xr:uid="{5FE891ED-0901-4FB6-A4EC-2544910DB173}"/>
    <cellStyle name="Currency 5 2 2 2 2 2" xfId="198" xr:uid="{00000000-0005-0000-0000-000064210000}"/>
    <cellStyle name="Currency 5 2 2 2 2 2 10" xfId="17295" xr:uid="{00000000-0005-0000-0000-000065210000}"/>
    <cellStyle name="Currency 5 2 2 2 2 2 10 2" xfId="34164" xr:uid="{D968334E-CC05-44E3-94CE-7CF2DEE21606}"/>
    <cellStyle name="Currency 5 2 2 2 2 2 11" xfId="8860" xr:uid="{00000000-0005-0000-0000-000066210000}"/>
    <cellStyle name="Currency 5 2 2 2 2 2 12" xfId="25730" xr:uid="{F0256B59-8A6C-4D16-BCBD-864CC1D4C674}"/>
    <cellStyle name="Currency 5 2 2 2 2 2 2" xfId="725" xr:uid="{00000000-0005-0000-0000-000067210000}"/>
    <cellStyle name="Currency 5 2 2 2 2 2 2 2" xfId="2979" xr:uid="{00000000-0005-0000-0000-000068210000}"/>
    <cellStyle name="Currency 5 2 2 2 2 2 2 2 2" xfId="7202" xr:uid="{00000000-0005-0000-0000-000069210000}"/>
    <cellStyle name="Currency 5 2 2 2 2 2 2 2 2 2" xfId="24072" xr:uid="{00000000-0005-0000-0000-00006A210000}"/>
    <cellStyle name="Currency 5 2 2 2 2 2 2 2 2 2 2" xfId="40940" xr:uid="{192C509D-BCC0-422E-BB21-00E01A88E2AE}"/>
    <cellStyle name="Currency 5 2 2 2 2 2 2 2 2 3" xfId="15637" xr:uid="{00000000-0005-0000-0000-00006B210000}"/>
    <cellStyle name="Currency 5 2 2 2 2 2 2 2 2 4" xfId="32506" xr:uid="{5388285C-3761-4A68-83ED-EB2A93DD640B}"/>
    <cellStyle name="Currency 5 2 2 2 2 2 2 2 3" xfId="19854" xr:uid="{00000000-0005-0000-0000-00006C210000}"/>
    <cellStyle name="Currency 5 2 2 2 2 2 2 2 3 2" xfId="36723" xr:uid="{54FD6218-5113-42AA-BA14-06AB0DC025E1}"/>
    <cellStyle name="Currency 5 2 2 2 2 2 2 2 4" xfId="11419" xr:uid="{00000000-0005-0000-0000-00006D210000}"/>
    <cellStyle name="Currency 5 2 2 2 2 2 2 2 5" xfId="28289" xr:uid="{831F2BF8-21DE-4ADD-B702-6EB7349E8CD1}"/>
    <cellStyle name="Currency 5 2 2 2 2 2 2 3" xfId="5057" xr:uid="{00000000-0005-0000-0000-00006E210000}"/>
    <cellStyle name="Currency 5 2 2 2 2 2 2 3 2" xfId="21927" xr:uid="{00000000-0005-0000-0000-00006F210000}"/>
    <cellStyle name="Currency 5 2 2 2 2 2 2 3 2 2" xfId="38795" xr:uid="{417CFBB9-0E19-4E66-A079-426C28B4725B}"/>
    <cellStyle name="Currency 5 2 2 2 2 2 2 3 3" xfId="13492" xr:uid="{00000000-0005-0000-0000-000070210000}"/>
    <cellStyle name="Currency 5 2 2 2 2 2 2 3 4" xfId="30361" xr:uid="{8C62A6A3-C83B-4410-987E-9B435CD4CA6B}"/>
    <cellStyle name="Currency 5 2 2 2 2 2 2 4" xfId="17709" xr:uid="{00000000-0005-0000-0000-000071210000}"/>
    <cellStyle name="Currency 5 2 2 2 2 2 2 4 2" xfId="34578" xr:uid="{107797E4-98D2-4FB2-BAB6-05EF9D335610}"/>
    <cellStyle name="Currency 5 2 2 2 2 2 2 5" xfId="9274" xr:uid="{00000000-0005-0000-0000-000072210000}"/>
    <cellStyle name="Currency 5 2 2 2 2 2 2 6" xfId="26144" xr:uid="{1055BC06-89FA-47AA-96EF-9235F648154D}"/>
    <cellStyle name="Currency 5 2 2 2 2 2 3" xfId="1161" xr:uid="{00000000-0005-0000-0000-000073210000}"/>
    <cellStyle name="Currency 5 2 2 2 2 2 3 2" xfId="3392" xr:uid="{00000000-0005-0000-0000-000074210000}"/>
    <cellStyle name="Currency 5 2 2 2 2 2 3 2 2" xfId="7615" xr:uid="{00000000-0005-0000-0000-000075210000}"/>
    <cellStyle name="Currency 5 2 2 2 2 2 3 2 2 2" xfId="24485" xr:uid="{00000000-0005-0000-0000-000076210000}"/>
    <cellStyle name="Currency 5 2 2 2 2 2 3 2 2 2 2" xfId="41353" xr:uid="{0D03EA08-9755-4B66-857B-1187D7263031}"/>
    <cellStyle name="Currency 5 2 2 2 2 2 3 2 2 3" xfId="16050" xr:uid="{00000000-0005-0000-0000-000077210000}"/>
    <cellStyle name="Currency 5 2 2 2 2 2 3 2 2 4" xfId="32919" xr:uid="{390E55DD-AC15-44F3-9102-8202A58525B8}"/>
    <cellStyle name="Currency 5 2 2 2 2 2 3 2 3" xfId="20267" xr:uid="{00000000-0005-0000-0000-000078210000}"/>
    <cellStyle name="Currency 5 2 2 2 2 2 3 2 3 2" xfId="37136" xr:uid="{C2921278-1F79-4353-8652-0C3C7E3E477A}"/>
    <cellStyle name="Currency 5 2 2 2 2 2 3 2 4" xfId="11832" xr:uid="{00000000-0005-0000-0000-000079210000}"/>
    <cellStyle name="Currency 5 2 2 2 2 2 3 2 5" xfId="28702" xr:uid="{9E35F459-EA04-4ADD-A9C2-1C322B4AE27F}"/>
    <cellStyle name="Currency 5 2 2 2 2 2 3 3" xfId="5470" xr:uid="{00000000-0005-0000-0000-00007A210000}"/>
    <cellStyle name="Currency 5 2 2 2 2 2 3 3 2" xfId="22340" xr:uid="{00000000-0005-0000-0000-00007B210000}"/>
    <cellStyle name="Currency 5 2 2 2 2 2 3 3 2 2" xfId="39208" xr:uid="{FFCEE00E-03AB-4960-ACFC-E90C5A3AAE84}"/>
    <cellStyle name="Currency 5 2 2 2 2 2 3 3 3" xfId="13905" xr:uid="{00000000-0005-0000-0000-00007C210000}"/>
    <cellStyle name="Currency 5 2 2 2 2 2 3 3 4" xfId="30774" xr:uid="{DB4A67A4-6F8F-4687-A3FE-4E4C7B79C78A}"/>
    <cellStyle name="Currency 5 2 2 2 2 2 3 4" xfId="18122" xr:uid="{00000000-0005-0000-0000-00007D210000}"/>
    <cellStyle name="Currency 5 2 2 2 2 2 3 4 2" xfId="34991" xr:uid="{19085A43-1913-4D8A-828E-4F08AAF680E6}"/>
    <cellStyle name="Currency 5 2 2 2 2 2 3 5" xfId="9687" xr:uid="{00000000-0005-0000-0000-00007E210000}"/>
    <cellStyle name="Currency 5 2 2 2 2 2 3 6" xfId="26557" xr:uid="{1E34DCBC-F2AF-46C7-A55D-FBB67C86646E}"/>
    <cellStyle name="Currency 5 2 2 2 2 2 4" xfId="1575" xr:uid="{00000000-0005-0000-0000-00007F210000}"/>
    <cellStyle name="Currency 5 2 2 2 2 2 4 2" xfId="3805" xr:uid="{00000000-0005-0000-0000-000080210000}"/>
    <cellStyle name="Currency 5 2 2 2 2 2 4 2 2" xfId="8028" xr:uid="{00000000-0005-0000-0000-000081210000}"/>
    <cellStyle name="Currency 5 2 2 2 2 2 4 2 2 2" xfId="24898" xr:uid="{00000000-0005-0000-0000-000082210000}"/>
    <cellStyle name="Currency 5 2 2 2 2 2 4 2 2 2 2" xfId="41766" xr:uid="{12766B1F-88A8-46E9-997F-1372E7159E4E}"/>
    <cellStyle name="Currency 5 2 2 2 2 2 4 2 2 3" xfId="16463" xr:uid="{00000000-0005-0000-0000-000083210000}"/>
    <cellStyle name="Currency 5 2 2 2 2 2 4 2 2 4" xfId="33332" xr:uid="{9B3D1574-8EDC-436A-A1A8-6E7928E3EA12}"/>
    <cellStyle name="Currency 5 2 2 2 2 2 4 2 3" xfId="20680" xr:uid="{00000000-0005-0000-0000-000084210000}"/>
    <cellStyle name="Currency 5 2 2 2 2 2 4 2 3 2" xfId="37549" xr:uid="{7F8A049E-149D-48FB-8155-98533C107A0D}"/>
    <cellStyle name="Currency 5 2 2 2 2 2 4 2 4" xfId="12245" xr:uid="{00000000-0005-0000-0000-000085210000}"/>
    <cellStyle name="Currency 5 2 2 2 2 2 4 2 5" xfId="29115" xr:uid="{5BC383F1-0B98-4108-BFF0-4E02B1FCD4B2}"/>
    <cellStyle name="Currency 5 2 2 2 2 2 4 3" xfId="5883" xr:uid="{00000000-0005-0000-0000-000086210000}"/>
    <cellStyle name="Currency 5 2 2 2 2 2 4 3 2" xfId="22753" xr:uid="{00000000-0005-0000-0000-000087210000}"/>
    <cellStyle name="Currency 5 2 2 2 2 2 4 3 2 2" xfId="39621" xr:uid="{CFBD4185-49A0-4B61-B5D6-F180178045C1}"/>
    <cellStyle name="Currency 5 2 2 2 2 2 4 3 3" xfId="14318" xr:uid="{00000000-0005-0000-0000-000088210000}"/>
    <cellStyle name="Currency 5 2 2 2 2 2 4 3 4" xfId="31187" xr:uid="{87A01F02-3016-46C2-B480-9CBC4BDDD45B}"/>
    <cellStyle name="Currency 5 2 2 2 2 2 4 4" xfId="18535" xr:uid="{00000000-0005-0000-0000-000089210000}"/>
    <cellStyle name="Currency 5 2 2 2 2 2 4 4 2" xfId="35404" xr:uid="{D85E9571-DECF-42B7-8530-EA0D9F820D2B}"/>
    <cellStyle name="Currency 5 2 2 2 2 2 4 5" xfId="10100" xr:uid="{00000000-0005-0000-0000-00008A210000}"/>
    <cellStyle name="Currency 5 2 2 2 2 2 4 6" xfId="26970" xr:uid="{6CA0E687-DE9B-4DF0-865F-0AB6835B97BE}"/>
    <cellStyle name="Currency 5 2 2 2 2 2 5" xfId="1989" xr:uid="{00000000-0005-0000-0000-00008B210000}"/>
    <cellStyle name="Currency 5 2 2 2 2 2 5 2" xfId="4218" xr:uid="{00000000-0005-0000-0000-00008C210000}"/>
    <cellStyle name="Currency 5 2 2 2 2 2 5 2 2" xfId="8441" xr:uid="{00000000-0005-0000-0000-00008D210000}"/>
    <cellStyle name="Currency 5 2 2 2 2 2 5 2 2 2" xfId="25311" xr:uid="{00000000-0005-0000-0000-00008E210000}"/>
    <cellStyle name="Currency 5 2 2 2 2 2 5 2 2 2 2" xfId="42179" xr:uid="{DF7D25B4-C0E2-4B4C-8C74-CFC68EE3A11D}"/>
    <cellStyle name="Currency 5 2 2 2 2 2 5 2 2 3" xfId="16876" xr:uid="{00000000-0005-0000-0000-00008F210000}"/>
    <cellStyle name="Currency 5 2 2 2 2 2 5 2 2 4" xfId="33745" xr:uid="{F2174307-28C9-426C-9616-A3E75572633F}"/>
    <cellStyle name="Currency 5 2 2 2 2 2 5 2 3" xfId="21093" xr:uid="{00000000-0005-0000-0000-000090210000}"/>
    <cellStyle name="Currency 5 2 2 2 2 2 5 2 3 2" xfId="37962" xr:uid="{DB41F831-E4A7-4D69-9E96-9AE9C09F3976}"/>
    <cellStyle name="Currency 5 2 2 2 2 2 5 2 4" xfId="12658" xr:uid="{00000000-0005-0000-0000-000091210000}"/>
    <cellStyle name="Currency 5 2 2 2 2 2 5 2 5" xfId="29528" xr:uid="{6EB2E7AD-4D8A-48C5-A23E-24BE947FA1E3}"/>
    <cellStyle name="Currency 5 2 2 2 2 2 5 3" xfId="6296" xr:uid="{00000000-0005-0000-0000-000092210000}"/>
    <cellStyle name="Currency 5 2 2 2 2 2 5 3 2" xfId="23166" xr:uid="{00000000-0005-0000-0000-000093210000}"/>
    <cellStyle name="Currency 5 2 2 2 2 2 5 3 2 2" xfId="40034" xr:uid="{AE01DFCB-E67D-41BF-BF44-ADD66F4A3B34}"/>
    <cellStyle name="Currency 5 2 2 2 2 2 5 3 3" xfId="14731" xr:uid="{00000000-0005-0000-0000-000094210000}"/>
    <cellStyle name="Currency 5 2 2 2 2 2 5 3 4" xfId="31600" xr:uid="{22F76E1C-DBDF-401F-AE97-42D0E6B3FE4E}"/>
    <cellStyle name="Currency 5 2 2 2 2 2 5 4" xfId="18948" xr:uid="{00000000-0005-0000-0000-000095210000}"/>
    <cellStyle name="Currency 5 2 2 2 2 2 5 4 2" xfId="35817" xr:uid="{39D527A0-391D-4D08-A080-291CC18EEA70}"/>
    <cellStyle name="Currency 5 2 2 2 2 2 5 5" xfId="10513" xr:uid="{00000000-0005-0000-0000-000096210000}"/>
    <cellStyle name="Currency 5 2 2 2 2 2 5 6" xfId="27383" xr:uid="{75036FB7-C89F-4012-BF33-8A55C0EFC43E}"/>
    <cellStyle name="Currency 5 2 2 2 2 2 6" xfId="2424" xr:uid="{00000000-0005-0000-0000-000097210000}"/>
    <cellStyle name="Currency 5 2 2 2 2 2 6 2" xfId="6709" xr:uid="{00000000-0005-0000-0000-000098210000}"/>
    <cellStyle name="Currency 5 2 2 2 2 2 6 2 2" xfId="23579" xr:uid="{00000000-0005-0000-0000-000099210000}"/>
    <cellStyle name="Currency 5 2 2 2 2 2 6 2 2 2" xfId="40447" xr:uid="{2619A424-4F2C-4019-813D-9A67C90D733F}"/>
    <cellStyle name="Currency 5 2 2 2 2 2 6 2 3" xfId="15144" xr:uid="{00000000-0005-0000-0000-00009A210000}"/>
    <cellStyle name="Currency 5 2 2 2 2 2 6 2 4" xfId="32013" xr:uid="{975B7DC4-A32B-4514-A731-BCE726F34376}"/>
    <cellStyle name="Currency 5 2 2 2 2 2 6 3" xfId="19361" xr:uid="{00000000-0005-0000-0000-00009B210000}"/>
    <cellStyle name="Currency 5 2 2 2 2 2 6 3 2" xfId="36230" xr:uid="{5D91EC28-DE3B-4E50-828B-2FC804AFA369}"/>
    <cellStyle name="Currency 5 2 2 2 2 2 6 4" xfId="10926" xr:uid="{00000000-0005-0000-0000-00009C210000}"/>
    <cellStyle name="Currency 5 2 2 2 2 2 6 5" xfId="27796" xr:uid="{2F40F4F4-CC83-4B91-B9FA-A35B2CB9EE94}"/>
    <cellStyle name="Currency 5 2 2 2 2 2 7" xfId="2721" xr:uid="{00000000-0005-0000-0000-00009D210000}"/>
    <cellStyle name="Currency 5 2 2 2 2 2 8" xfId="2802" xr:uid="{00000000-0005-0000-0000-00009E210000}"/>
    <cellStyle name="Currency 5 2 2 2 2 2 8 2" xfId="7026" xr:uid="{00000000-0005-0000-0000-00009F210000}"/>
    <cellStyle name="Currency 5 2 2 2 2 2 8 2 2" xfId="23896" xr:uid="{00000000-0005-0000-0000-0000A0210000}"/>
    <cellStyle name="Currency 5 2 2 2 2 2 8 2 2 2" xfId="40764" xr:uid="{1EDA8A8F-9FEC-49B4-8F95-B63155EEE122}"/>
    <cellStyle name="Currency 5 2 2 2 2 2 8 2 3" xfId="15461" xr:uid="{00000000-0005-0000-0000-0000A1210000}"/>
    <cellStyle name="Currency 5 2 2 2 2 2 8 2 4" xfId="32330" xr:uid="{76DE1249-3AFC-403C-A1F2-066482DD4E64}"/>
    <cellStyle name="Currency 5 2 2 2 2 2 8 3" xfId="19678" xr:uid="{00000000-0005-0000-0000-0000A2210000}"/>
    <cellStyle name="Currency 5 2 2 2 2 2 8 3 2" xfId="36547" xr:uid="{9C84E220-FDC6-48F6-97CC-ACAA4B26B61B}"/>
    <cellStyle name="Currency 5 2 2 2 2 2 8 4" xfId="11243" xr:uid="{00000000-0005-0000-0000-0000A3210000}"/>
    <cellStyle name="Currency 5 2 2 2 2 2 8 5" xfId="28113" xr:uid="{01C71085-11B0-48CC-8236-B2E639CEE2CC}"/>
    <cellStyle name="Currency 5 2 2 2 2 2 9" xfId="4643" xr:uid="{00000000-0005-0000-0000-0000A4210000}"/>
    <cellStyle name="Currency 5 2 2 2 2 2 9 2" xfId="21513" xr:uid="{00000000-0005-0000-0000-0000A5210000}"/>
    <cellStyle name="Currency 5 2 2 2 2 2 9 2 2" xfId="38381" xr:uid="{997C5EE9-DDD6-42CC-ACD2-77624B947A4C}"/>
    <cellStyle name="Currency 5 2 2 2 2 2 9 3" xfId="13078" xr:uid="{00000000-0005-0000-0000-0000A6210000}"/>
    <cellStyle name="Currency 5 2 2 2 2 2 9 4" xfId="29947" xr:uid="{897F53DC-CC38-4334-97C8-1F970649A4F4}"/>
    <cellStyle name="Currency 5 2 2 2 2 3" xfId="724" xr:uid="{00000000-0005-0000-0000-0000A7210000}"/>
    <cellStyle name="Currency 5 2 2 2 2 3 2" xfId="2978" xr:uid="{00000000-0005-0000-0000-0000A8210000}"/>
    <cellStyle name="Currency 5 2 2 2 2 3 2 2" xfId="7201" xr:uid="{00000000-0005-0000-0000-0000A9210000}"/>
    <cellStyle name="Currency 5 2 2 2 2 3 2 2 2" xfId="24071" xr:uid="{00000000-0005-0000-0000-0000AA210000}"/>
    <cellStyle name="Currency 5 2 2 2 2 3 2 2 2 2" xfId="40939" xr:uid="{09EAA98B-128E-4636-8761-041D2CE89018}"/>
    <cellStyle name="Currency 5 2 2 2 2 3 2 2 3" xfId="15636" xr:uid="{00000000-0005-0000-0000-0000AB210000}"/>
    <cellStyle name="Currency 5 2 2 2 2 3 2 2 4" xfId="32505" xr:uid="{E580EF63-E24A-4BCB-A727-1F624A8F362C}"/>
    <cellStyle name="Currency 5 2 2 2 2 3 2 3" xfId="19853" xr:uid="{00000000-0005-0000-0000-0000AC210000}"/>
    <cellStyle name="Currency 5 2 2 2 2 3 2 3 2" xfId="36722" xr:uid="{5B95F00F-D4D7-4F0D-BB20-894F629A33E4}"/>
    <cellStyle name="Currency 5 2 2 2 2 3 2 4" xfId="11418" xr:uid="{00000000-0005-0000-0000-0000AD210000}"/>
    <cellStyle name="Currency 5 2 2 2 2 3 2 5" xfId="28288" xr:uid="{833E2339-1E7B-413B-9C37-8BCE75DF2851}"/>
    <cellStyle name="Currency 5 2 2 2 2 3 3" xfId="5056" xr:uid="{00000000-0005-0000-0000-0000AE210000}"/>
    <cellStyle name="Currency 5 2 2 2 2 3 3 2" xfId="21926" xr:uid="{00000000-0005-0000-0000-0000AF210000}"/>
    <cellStyle name="Currency 5 2 2 2 2 3 3 2 2" xfId="38794" xr:uid="{60DF9ECA-9E92-4187-98E9-874F7D258CA9}"/>
    <cellStyle name="Currency 5 2 2 2 2 3 3 3" xfId="13491" xr:uid="{00000000-0005-0000-0000-0000B0210000}"/>
    <cellStyle name="Currency 5 2 2 2 2 3 3 4" xfId="30360" xr:uid="{1EE36E15-7378-4F6A-9BC0-021CE2AEEA39}"/>
    <cellStyle name="Currency 5 2 2 2 2 3 4" xfId="17708" xr:uid="{00000000-0005-0000-0000-0000B1210000}"/>
    <cellStyle name="Currency 5 2 2 2 2 3 4 2" xfId="34577" xr:uid="{05D19453-BC9C-4919-8856-8E9F34243D3A}"/>
    <cellStyle name="Currency 5 2 2 2 2 3 5" xfId="9273" xr:uid="{00000000-0005-0000-0000-0000B2210000}"/>
    <cellStyle name="Currency 5 2 2 2 2 3 6" xfId="26143" xr:uid="{C4D0B5A9-69E0-4BCB-8BBA-DD8534AFF963}"/>
    <cellStyle name="Currency 5 2 2 2 2 4" xfId="1160" xr:uid="{00000000-0005-0000-0000-0000B3210000}"/>
    <cellStyle name="Currency 5 2 2 2 2 4 2" xfId="3391" xr:uid="{00000000-0005-0000-0000-0000B4210000}"/>
    <cellStyle name="Currency 5 2 2 2 2 4 2 2" xfId="7614" xr:uid="{00000000-0005-0000-0000-0000B5210000}"/>
    <cellStyle name="Currency 5 2 2 2 2 4 2 2 2" xfId="24484" xr:uid="{00000000-0005-0000-0000-0000B6210000}"/>
    <cellStyle name="Currency 5 2 2 2 2 4 2 2 2 2" xfId="41352" xr:uid="{5AB31BB5-5D5C-4376-91D6-0A306F93B365}"/>
    <cellStyle name="Currency 5 2 2 2 2 4 2 2 3" xfId="16049" xr:uid="{00000000-0005-0000-0000-0000B7210000}"/>
    <cellStyle name="Currency 5 2 2 2 2 4 2 2 4" xfId="32918" xr:uid="{1B10E8CF-B4E4-454A-947E-5634385BCBF5}"/>
    <cellStyle name="Currency 5 2 2 2 2 4 2 3" xfId="20266" xr:uid="{00000000-0005-0000-0000-0000B8210000}"/>
    <cellStyle name="Currency 5 2 2 2 2 4 2 3 2" xfId="37135" xr:uid="{CADA49EF-1BA4-4EB4-B6EB-3757965EC8EA}"/>
    <cellStyle name="Currency 5 2 2 2 2 4 2 4" xfId="11831" xr:uid="{00000000-0005-0000-0000-0000B9210000}"/>
    <cellStyle name="Currency 5 2 2 2 2 4 2 5" xfId="28701" xr:uid="{7EA635ED-45A5-4B61-8E7C-7F3CFB104A3A}"/>
    <cellStyle name="Currency 5 2 2 2 2 4 3" xfId="5469" xr:uid="{00000000-0005-0000-0000-0000BA210000}"/>
    <cellStyle name="Currency 5 2 2 2 2 4 3 2" xfId="22339" xr:uid="{00000000-0005-0000-0000-0000BB210000}"/>
    <cellStyle name="Currency 5 2 2 2 2 4 3 2 2" xfId="39207" xr:uid="{B8D776BF-E1DE-4AC8-B6D7-859FE1982F27}"/>
    <cellStyle name="Currency 5 2 2 2 2 4 3 3" xfId="13904" xr:uid="{00000000-0005-0000-0000-0000BC210000}"/>
    <cellStyle name="Currency 5 2 2 2 2 4 3 4" xfId="30773" xr:uid="{E5A9E644-50C6-4357-A1D9-3AB017DFD7D5}"/>
    <cellStyle name="Currency 5 2 2 2 2 4 4" xfId="18121" xr:uid="{00000000-0005-0000-0000-0000BD210000}"/>
    <cellStyle name="Currency 5 2 2 2 2 4 4 2" xfId="34990" xr:uid="{A5F31AF8-6B57-456B-AF71-7BC90174445C}"/>
    <cellStyle name="Currency 5 2 2 2 2 4 5" xfId="9686" xr:uid="{00000000-0005-0000-0000-0000BE210000}"/>
    <cellStyle name="Currency 5 2 2 2 2 4 6" xfId="26556" xr:uid="{2515A7B9-7571-4F09-BAAE-61BCB520CDE1}"/>
    <cellStyle name="Currency 5 2 2 2 2 5" xfId="1574" xr:uid="{00000000-0005-0000-0000-0000BF210000}"/>
    <cellStyle name="Currency 5 2 2 2 2 5 2" xfId="3804" xr:uid="{00000000-0005-0000-0000-0000C0210000}"/>
    <cellStyle name="Currency 5 2 2 2 2 5 2 2" xfId="8027" xr:uid="{00000000-0005-0000-0000-0000C1210000}"/>
    <cellStyle name="Currency 5 2 2 2 2 5 2 2 2" xfId="24897" xr:uid="{00000000-0005-0000-0000-0000C2210000}"/>
    <cellStyle name="Currency 5 2 2 2 2 5 2 2 2 2" xfId="41765" xr:uid="{D9597472-FAF3-4D7B-BAF6-E9AE428F45BF}"/>
    <cellStyle name="Currency 5 2 2 2 2 5 2 2 3" xfId="16462" xr:uid="{00000000-0005-0000-0000-0000C3210000}"/>
    <cellStyle name="Currency 5 2 2 2 2 5 2 2 4" xfId="33331" xr:uid="{81CC5F58-BA66-4217-9073-DF3213ED2510}"/>
    <cellStyle name="Currency 5 2 2 2 2 5 2 3" xfId="20679" xr:uid="{00000000-0005-0000-0000-0000C4210000}"/>
    <cellStyle name="Currency 5 2 2 2 2 5 2 3 2" xfId="37548" xr:uid="{529506B4-3F63-42C2-B21E-181E2FD3BB4E}"/>
    <cellStyle name="Currency 5 2 2 2 2 5 2 4" xfId="12244" xr:uid="{00000000-0005-0000-0000-0000C5210000}"/>
    <cellStyle name="Currency 5 2 2 2 2 5 2 5" xfId="29114" xr:uid="{43E57FD4-26E1-4F59-8C0A-0CFBB02B8A22}"/>
    <cellStyle name="Currency 5 2 2 2 2 5 3" xfId="5882" xr:uid="{00000000-0005-0000-0000-0000C6210000}"/>
    <cellStyle name="Currency 5 2 2 2 2 5 3 2" xfId="22752" xr:uid="{00000000-0005-0000-0000-0000C7210000}"/>
    <cellStyle name="Currency 5 2 2 2 2 5 3 2 2" xfId="39620" xr:uid="{1914BAE9-A78E-4BC6-8254-98B591EA5604}"/>
    <cellStyle name="Currency 5 2 2 2 2 5 3 3" xfId="14317" xr:uid="{00000000-0005-0000-0000-0000C8210000}"/>
    <cellStyle name="Currency 5 2 2 2 2 5 3 4" xfId="31186" xr:uid="{74446F60-E811-40B5-9289-C5FEEC1BC03C}"/>
    <cellStyle name="Currency 5 2 2 2 2 5 4" xfId="18534" xr:uid="{00000000-0005-0000-0000-0000C9210000}"/>
    <cellStyle name="Currency 5 2 2 2 2 5 4 2" xfId="35403" xr:uid="{3DED6E69-FB8F-451C-ACCF-AF7674D5F4FE}"/>
    <cellStyle name="Currency 5 2 2 2 2 5 5" xfId="10099" xr:uid="{00000000-0005-0000-0000-0000CA210000}"/>
    <cellStyle name="Currency 5 2 2 2 2 5 6" xfId="26969" xr:uid="{C22C1018-853A-4EC9-AD08-5F32F90D6415}"/>
    <cellStyle name="Currency 5 2 2 2 2 6" xfId="1988" xr:uid="{00000000-0005-0000-0000-0000CB210000}"/>
    <cellStyle name="Currency 5 2 2 2 2 6 2" xfId="4217" xr:uid="{00000000-0005-0000-0000-0000CC210000}"/>
    <cellStyle name="Currency 5 2 2 2 2 6 2 2" xfId="8440" xr:uid="{00000000-0005-0000-0000-0000CD210000}"/>
    <cellStyle name="Currency 5 2 2 2 2 6 2 2 2" xfId="25310" xr:uid="{00000000-0005-0000-0000-0000CE210000}"/>
    <cellStyle name="Currency 5 2 2 2 2 6 2 2 2 2" xfId="42178" xr:uid="{86B9F9EB-8004-44DF-BB93-FB969935798F}"/>
    <cellStyle name="Currency 5 2 2 2 2 6 2 2 3" xfId="16875" xr:uid="{00000000-0005-0000-0000-0000CF210000}"/>
    <cellStyle name="Currency 5 2 2 2 2 6 2 2 4" xfId="33744" xr:uid="{CA8825F8-5704-4F46-AB11-0D389212DA4C}"/>
    <cellStyle name="Currency 5 2 2 2 2 6 2 3" xfId="21092" xr:uid="{00000000-0005-0000-0000-0000D0210000}"/>
    <cellStyle name="Currency 5 2 2 2 2 6 2 3 2" xfId="37961" xr:uid="{FD1F274E-399C-43FA-A93E-8B6273E316E2}"/>
    <cellStyle name="Currency 5 2 2 2 2 6 2 4" xfId="12657" xr:uid="{00000000-0005-0000-0000-0000D1210000}"/>
    <cellStyle name="Currency 5 2 2 2 2 6 2 5" xfId="29527" xr:uid="{3E44A214-409E-42B2-A372-BD301DC79CFF}"/>
    <cellStyle name="Currency 5 2 2 2 2 6 3" xfId="6295" xr:uid="{00000000-0005-0000-0000-0000D2210000}"/>
    <cellStyle name="Currency 5 2 2 2 2 6 3 2" xfId="23165" xr:uid="{00000000-0005-0000-0000-0000D3210000}"/>
    <cellStyle name="Currency 5 2 2 2 2 6 3 2 2" xfId="40033" xr:uid="{AC0AEA26-DE8D-4AF5-9EA9-3E74301FA69B}"/>
    <cellStyle name="Currency 5 2 2 2 2 6 3 3" xfId="14730" xr:uid="{00000000-0005-0000-0000-0000D4210000}"/>
    <cellStyle name="Currency 5 2 2 2 2 6 3 4" xfId="31599" xr:uid="{ED73E37F-B761-4C79-AD39-A8995B499D29}"/>
    <cellStyle name="Currency 5 2 2 2 2 6 4" xfId="18947" xr:uid="{00000000-0005-0000-0000-0000D5210000}"/>
    <cellStyle name="Currency 5 2 2 2 2 6 4 2" xfId="35816" xr:uid="{3949C11D-F064-439C-BAC8-155380CE1496}"/>
    <cellStyle name="Currency 5 2 2 2 2 6 5" xfId="10512" xr:uid="{00000000-0005-0000-0000-0000D6210000}"/>
    <cellStyle name="Currency 5 2 2 2 2 6 6" xfId="27382" xr:uid="{01167FA2-0E06-4E50-AECE-B0463057C2C1}"/>
    <cellStyle name="Currency 5 2 2 2 2 7" xfId="2423" xr:uid="{00000000-0005-0000-0000-0000D7210000}"/>
    <cellStyle name="Currency 5 2 2 2 2 7 2" xfId="6708" xr:uid="{00000000-0005-0000-0000-0000D8210000}"/>
    <cellStyle name="Currency 5 2 2 2 2 7 2 2" xfId="23578" xr:uid="{00000000-0005-0000-0000-0000D9210000}"/>
    <cellStyle name="Currency 5 2 2 2 2 7 2 2 2" xfId="40446" xr:uid="{FE4E7093-6AA0-41ED-BA41-F5D2C1C60EB6}"/>
    <cellStyle name="Currency 5 2 2 2 2 7 2 3" xfId="15143" xr:uid="{00000000-0005-0000-0000-0000DA210000}"/>
    <cellStyle name="Currency 5 2 2 2 2 7 2 4" xfId="32012" xr:uid="{D69A92D1-3DA0-4203-96DA-518D7764A86E}"/>
    <cellStyle name="Currency 5 2 2 2 2 7 3" xfId="19360" xr:uid="{00000000-0005-0000-0000-0000DB210000}"/>
    <cellStyle name="Currency 5 2 2 2 2 7 3 2" xfId="36229" xr:uid="{CE28BBA1-876F-4062-9393-39DF7ECE1E48}"/>
    <cellStyle name="Currency 5 2 2 2 2 7 4" xfId="10925" xr:uid="{00000000-0005-0000-0000-0000DC210000}"/>
    <cellStyle name="Currency 5 2 2 2 2 7 5" xfId="27795" xr:uid="{58AD3D5E-3496-4F87-848C-D29E03515D00}"/>
    <cellStyle name="Currency 5 2 2 2 2 8" xfId="2720" xr:uid="{00000000-0005-0000-0000-0000DD210000}"/>
    <cellStyle name="Currency 5 2 2 2 2 9" xfId="2801" xr:uid="{00000000-0005-0000-0000-0000DE210000}"/>
    <cellStyle name="Currency 5 2 2 2 2 9 2" xfId="7025" xr:uid="{00000000-0005-0000-0000-0000DF210000}"/>
    <cellStyle name="Currency 5 2 2 2 2 9 2 2" xfId="23895" xr:uid="{00000000-0005-0000-0000-0000E0210000}"/>
    <cellStyle name="Currency 5 2 2 2 2 9 2 2 2" xfId="40763" xr:uid="{F4A2BCB0-FBA2-4493-894E-9D405CB3DA33}"/>
    <cellStyle name="Currency 5 2 2 2 2 9 2 3" xfId="15460" xr:uid="{00000000-0005-0000-0000-0000E1210000}"/>
    <cellStyle name="Currency 5 2 2 2 2 9 2 4" xfId="32329" xr:uid="{0E21D232-8261-4DD1-9DAB-AD014CC9DF53}"/>
    <cellStyle name="Currency 5 2 2 2 2 9 3" xfId="19677" xr:uid="{00000000-0005-0000-0000-0000E2210000}"/>
    <cellStyle name="Currency 5 2 2 2 2 9 3 2" xfId="36546" xr:uid="{9E227605-CFD7-43FA-854A-3CA98752B5FC}"/>
    <cellStyle name="Currency 5 2 2 2 2 9 4" xfId="11242" xr:uid="{00000000-0005-0000-0000-0000E3210000}"/>
    <cellStyle name="Currency 5 2 2 2 2 9 5" xfId="28112" xr:uid="{916A9C01-5687-4711-8110-1FDD170A1424}"/>
    <cellStyle name="Currency 5 2 2 2 3" xfId="199" xr:uid="{00000000-0005-0000-0000-0000E4210000}"/>
    <cellStyle name="Currency 5 2 2 2 3 10" xfId="17296" xr:uid="{00000000-0005-0000-0000-0000E5210000}"/>
    <cellStyle name="Currency 5 2 2 2 3 10 2" xfId="34165" xr:uid="{CD6BFB67-B494-46C5-9269-00BCB8EFFDF2}"/>
    <cellStyle name="Currency 5 2 2 2 3 11" xfId="8861" xr:uid="{00000000-0005-0000-0000-0000E6210000}"/>
    <cellStyle name="Currency 5 2 2 2 3 12" xfId="25731" xr:uid="{9860DF89-FE8E-490B-8BA4-009C9738662B}"/>
    <cellStyle name="Currency 5 2 2 2 3 2" xfId="726" xr:uid="{00000000-0005-0000-0000-0000E7210000}"/>
    <cellStyle name="Currency 5 2 2 2 3 2 2" xfId="2980" xr:uid="{00000000-0005-0000-0000-0000E8210000}"/>
    <cellStyle name="Currency 5 2 2 2 3 2 2 2" xfId="7203" xr:uid="{00000000-0005-0000-0000-0000E9210000}"/>
    <cellStyle name="Currency 5 2 2 2 3 2 2 2 2" xfId="24073" xr:uid="{00000000-0005-0000-0000-0000EA210000}"/>
    <cellStyle name="Currency 5 2 2 2 3 2 2 2 2 2" xfId="40941" xr:uid="{9D131F41-DE91-4487-947E-5921ABCD5B9E}"/>
    <cellStyle name="Currency 5 2 2 2 3 2 2 2 3" xfId="15638" xr:uid="{00000000-0005-0000-0000-0000EB210000}"/>
    <cellStyle name="Currency 5 2 2 2 3 2 2 2 4" xfId="32507" xr:uid="{317B8D7D-F8DC-41A2-ABE0-CA000407B059}"/>
    <cellStyle name="Currency 5 2 2 2 3 2 2 3" xfId="19855" xr:uid="{00000000-0005-0000-0000-0000EC210000}"/>
    <cellStyle name="Currency 5 2 2 2 3 2 2 3 2" xfId="36724" xr:uid="{4C4F97CC-6C9C-40B0-9807-FCD8155831CD}"/>
    <cellStyle name="Currency 5 2 2 2 3 2 2 4" xfId="11420" xr:uid="{00000000-0005-0000-0000-0000ED210000}"/>
    <cellStyle name="Currency 5 2 2 2 3 2 2 5" xfId="28290" xr:uid="{D1FC9B49-A176-4D6C-A026-A75A77F137E4}"/>
    <cellStyle name="Currency 5 2 2 2 3 2 3" xfId="5058" xr:uid="{00000000-0005-0000-0000-0000EE210000}"/>
    <cellStyle name="Currency 5 2 2 2 3 2 3 2" xfId="21928" xr:uid="{00000000-0005-0000-0000-0000EF210000}"/>
    <cellStyle name="Currency 5 2 2 2 3 2 3 2 2" xfId="38796" xr:uid="{03CFFD73-BCD8-42DF-B355-94CA531DE32A}"/>
    <cellStyle name="Currency 5 2 2 2 3 2 3 3" xfId="13493" xr:uid="{00000000-0005-0000-0000-0000F0210000}"/>
    <cellStyle name="Currency 5 2 2 2 3 2 3 4" xfId="30362" xr:uid="{3AA2BE18-9C16-4B31-B3CA-F1485219E54B}"/>
    <cellStyle name="Currency 5 2 2 2 3 2 4" xfId="17710" xr:uid="{00000000-0005-0000-0000-0000F1210000}"/>
    <cellStyle name="Currency 5 2 2 2 3 2 4 2" xfId="34579" xr:uid="{6DBA34E6-3EDF-4A03-8CD5-00E3937AF3B7}"/>
    <cellStyle name="Currency 5 2 2 2 3 2 5" xfId="9275" xr:uid="{00000000-0005-0000-0000-0000F2210000}"/>
    <cellStyle name="Currency 5 2 2 2 3 2 6" xfId="26145" xr:uid="{3A41D66D-DFA8-4442-9FA1-0B1F380E2A72}"/>
    <cellStyle name="Currency 5 2 2 2 3 3" xfId="1162" xr:uid="{00000000-0005-0000-0000-0000F3210000}"/>
    <cellStyle name="Currency 5 2 2 2 3 3 2" xfId="3393" xr:uid="{00000000-0005-0000-0000-0000F4210000}"/>
    <cellStyle name="Currency 5 2 2 2 3 3 2 2" xfId="7616" xr:uid="{00000000-0005-0000-0000-0000F5210000}"/>
    <cellStyle name="Currency 5 2 2 2 3 3 2 2 2" xfId="24486" xr:uid="{00000000-0005-0000-0000-0000F6210000}"/>
    <cellStyle name="Currency 5 2 2 2 3 3 2 2 2 2" xfId="41354" xr:uid="{D906B8C2-816C-43E7-9C80-FAB0B8946AFC}"/>
    <cellStyle name="Currency 5 2 2 2 3 3 2 2 3" xfId="16051" xr:uid="{00000000-0005-0000-0000-0000F7210000}"/>
    <cellStyle name="Currency 5 2 2 2 3 3 2 2 4" xfId="32920" xr:uid="{8DEA17C9-5488-40B5-914C-E78CA54EB709}"/>
    <cellStyle name="Currency 5 2 2 2 3 3 2 3" xfId="20268" xr:uid="{00000000-0005-0000-0000-0000F8210000}"/>
    <cellStyle name="Currency 5 2 2 2 3 3 2 3 2" xfId="37137" xr:uid="{281E936F-B8AC-4F7A-8740-A4997056BF1C}"/>
    <cellStyle name="Currency 5 2 2 2 3 3 2 4" xfId="11833" xr:uid="{00000000-0005-0000-0000-0000F9210000}"/>
    <cellStyle name="Currency 5 2 2 2 3 3 2 5" xfId="28703" xr:uid="{0DF8761A-4616-41A0-A4DE-832CF2396B4D}"/>
    <cellStyle name="Currency 5 2 2 2 3 3 3" xfId="5471" xr:uid="{00000000-0005-0000-0000-0000FA210000}"/>
    <cellStyle name="Currency 5 2 2 2 3 3 3 2" xfId="22341" xr:uid="{00000000-0005-0000-0000-0000FB210000}"/>
    <cellStyle name="Currency 5 2 2 2 3 3 3 2 2" xfId="39209" xr:uid="{5971E18C-9FBC-49B3-A11D-71723659D09D}"/>
    <cellStyle name="Currency 5 2 2 2 3 3 3 3" xfId="13906" xr:uid="{00000000-0005-0000-0000-0000FC210000}"/>
    <cellStyle name="Currency 5 2 2 2 3 3 3 4" xfId="30775" xr:uid="{01A901FB-5EBF-4795-9870-A53821890035}"/>
    <cellStyle name="Currency 5 2 2 2 3 3 4" xfId="18123" xr:uid="{00000000-0005-0000-0000-0000FD210000}"/>
    <cellStyle name="Currency 5 2 2 2 3 3 4 2" xfId="34992" xr:uid="{A32F13EA-2E53-4AD7-BDBB-45ABDAA10161}"/>
    <cellStyle name="Currency 5 2 2 2 3 3 5" xfId="9688" xr:uid="{00000000-0005-0000-0000-0000FE210000}"/>
    <cellStyle name="Currency 5 2 2 2 3 3 6" xfId="26558" xr:uid="{79BD9CB3-2D60-4124-A652-6F3142C0E894}"/>
    <cellStyle name="Currency 5 2 2 2 3 4" xfId="1576" xr:uid="{00000000-0005-0000-0000-0000FF210000}"/>
    <cellStyle name="Currency 5 2 2 2 3 4 2" xfId="3806" xr:uid="{00000000-0005-0000-0000-000000220000}"/>
    <cellStyle name="Currency 5 2 2 2 3 4 2 2" xfId="8029" xr:uid="{00000000-0005-0000-0000-000001220000}"/>
    <cellStyle name="Currency 5 2 2 2 3 4 2 2 2" xfId="24899" xr:uid="{00000000-0005-0000-0000-000002220000}"/>
    <cellStyle name="Currency 5 2 2 2 3 4 2 2 2 2" xfId="41767" xr:uid="{C7472027-8CAF-4EB0-8591-58E3D0D7EF43}"/>
    <cellStyle name="Currency 5 2 2 2 3 4 2 2 3" xfId="16464" xr:uid="{00000000-0005-0000-0000-000003220000}"/>
    <cellStyle name="Currency 5 2 2 2 3 4 2 2 4" xfId="33333" xr:uid="{1AC17CD2-AD99-4CD7-99D3-E7B74EA9AD1C}"/>
    <cellStyle name="Currency 5 2 2 2 3 4 2 3" xfId="20681" xr:uid="{00000000-0005-0000-0000-000004220000}"/>
    <cellStyle name="Currency 5 2 2 2 3 4 2 3 2" xfId="37550" xr:uid="{ED8F47BC-B7F8-4815-90CF-A32B9541C640}"/>
    <cellStyle name="Currency 5 2 2 2 3 4 2 4" xfId="12246" xr:uid="{00000000-0005-0000-0000-000005220000}"/>
    <cellStyle name="Currency 5 2 2 2 3 4 2 5" xfId="29116" xr:uid="{53142E92-A560-4B2A-9AB5-43431F7C1783}"/>
    <cellStyle name="Currency 5 2 2 2 3 4 3" xfId="5884" xr:uid="{00000000-0005-0000-0000-000006220000}"/>
    <cellStyle name="Currency 5 2 2 2 3 4 3 2" xfId="22754" xr:uid="{00000000-0005-0000-0000-000007220000}"/>
    <cellStyle name="Currency 5 2 2 2 3 4 3 2 2" xfId="39622" xr:uid="{BDDA42FD-30B1-4131-9080-57AC3E687E29}"/>
    <cellStyle name="Currency 5 2 2 2 3 4 3 3" xfId="14319" xr:uid="{00000000-0005-0000-0000-000008220000}"/>
    <cellStyle name="Currency 5 2 2 2 3 4 3 4" xfId="31188" xr:uid="{8CCB0ACF-ED78-4776-B035-7A384DED36F7}"/>
    <cellStyle name="Currency 5 2 2 2 3 4 4" xfId="18536" xr:uid="{00000000-0005-0000-0000-000009220000}"/>
    <cellStyle name="Currency 5 2 2 2 3 4 4 2" xfId="35405" xr:uid="{8572E708-50AF-438C-B277-04C712982C06}"/>
    <cellStyle name="Currency 5 2 2 2 3 4 5" xfId="10101" xr:uid="{00000000-0005-0000-0000-00000A220000}"/>
    <cellStyle name="Currency 5 2 2 2 3 4 6" xfId="26971" xr:uid="{61DA9DB2-27D7-4823-9A20-91B912B222B0}"/>
    <cellStyle name="Currency 5 2 2 2 3 5" xfId="1990" xr:uid="{00000000-0005-0000-0000-00000B220000}"/>
    <cellStyle name="Currency 5 2 2 2 3 5 2" xfId="4219" xr:uid="{00000000-0005-0000-0000-00000C220000}"/>
    <cellStyle name="Currency 5 2 2 2 3 5 2 2" xfId="8442" xr:uid="{00000000-0005-0000-0000-00000D220000}"/>
    <cellStyle name="Currency 5 2 2 2 3 5 2 2 2" xfId="25312" xr:uid="{00000000-0005-0000-0000-00000E220000}"/>
    <cellStyle name="Currency 5 2 2 2 3 5 2 2 2 2" xfId="42180" xr:uid="{9961C07A-EFD6-4DC9-9783-DC2F8FE6AB7F}"/>
    <cellStyle name="Currency 5 2 2 2 3 5 2 2 3" xfId="16877" xr:uid="{00000000-0005-0000-0000-00000F220000}"/>
    <cellStyle name="Currency 5 2 2 2 3 5 2 2 4" xfId="33746" xr:uid="{D5725103-2F3A-4FF5-9692-3A254E9EC083}"/>
    <cellStyle name="Currency 5 2 2 2 3 5 2 3" xfId="21094" xr:uid="{00000000-0005-0000-0000-000010220000}"/>
    <cellStyle name="Currency 5 2 2 2 3 5 2 3 2" xfId="37963" xr:uid="{E930F13A-1662-47C9-B78A-3E183AB7563B}"/>
    <cellStyle name="Currency 5 2 2 2 3 5 2 4" xfId="12659" xr:uid="{00000000-0005-0000-0000-000011220000}"/>
    <cellStyle name="Currency 5 2 2 2 3 5 2 5" xfId="29529" xr:uid="{210FA50C-285D-4762-AEDA-1B3850146EB3}"/>
    <cellStyle name="Currency 5 2 2 2 3 5 3" xfId="6297" xr:uid="{00000000-0005-0000-0000-000012220000}"/>
    <cellStyle name="Currency 5 2 2 2 3 5 3 2" xfId="23167" xr:uid="{00000000-0005-0000-0000-000013220000}"/>
    <cellStyle name="Currency 5 2 2 2 3 5 3 2 2" xfId="40035" xr:uid="{31958124-4D0E-42B9-9315-A21FA119692E}"/>
    <cellStyle name="Currency 5 2 2 2 3 5 3 3" xfId="14732" xr:uid="{00000000-0005-0000-0000-000014220000}"/>
    <cellStyle name="Currency 5 2 2 2 3 5 3 4" xfId="31601" xr:uid="{7BF89CEB-06FB-47F4-B521-866E1F1C3ED9}"/>
    <cellStyle name="Currency 5 2 2 2 3 5 4" xfId="18949" xr:uid="{00000000-0005-0000-0000-000015220000}"/>
    <cellStyle name="Currency 5 2 2 2 3 5 4 2" xfId="35818" xr:uid="{5F6836C2-97C3-4CAF-8DFC-ECFAF661DDFB}"/>
    <cellStyle name="Currency 5 2 2 2 3 5 5" xfId="10514" xr:uid="{00000000-0005-0000-0000-000016220000}"/>
    <cellStyle name="Currency 5 2 2 2 3 5 6" xfId="27384" xr:uid="{8420863F-9549-4A54-86CF-BC3657CC563B}"/>
    <cellStyle name="Currency 5 2 2 2 3 6" xfId="2425" xr:uid="{00000000-0005-0000-0000-000017220000}"/>
    <cellStyle name="Currency 5 2 2 2 3 6 2" xfId="6710" xr:uid="{00000000-0005-0000-0000-000018220000}"/>
    <cellStyle name="Currency 5 2 2 2 3 6 2 2" xfId="23580" xr:uid="{00000000-0005-0000-0000-000019220000}"/>
    <cellStyle name="Currency 5 2 2 2 3 6 2 2 2" xfId="40448" xr:uid="{1FB0D135-0757-446A-843B-7F270C806D1C}"/>
    <cellStyle name="Currency 5 2 2 2 3 6 2 3" xfId="15145" xr:uid="{00000000-0005-0000-0000-00001A220000}"/>
    <cellStyle name="Currency 5 2 2 2 3 6 2 4" xfId="32014" xr:uid="{59FBF2C8-8C1C-4C44-BBB9-BF265721B9C5}"/>
    <cellStyle name="Currency 5 2 2 2 3 6 3" xfId="19362" xr:uid="{00000000-0005-0000-0000-00001B220000}"/>
    <cellStyle name="Currency 5 2 2 2 3 6 3 2" xfId="36231" xr:uid="{20EBC5A1-A17B-4075-A6C4-36E15EBA1BC2}"/>
    <cellStyle name="Currency 5 2 2 2 3 6 4" xfId="10927" xr:uid="{00000000-0005-0000-0000-00001C220000}"/>
    <cellStyle name="Currency 5 2 2 2 3 6 5" xfId="27797" xr:uid="{FD2015D4-D3F0-4AD7-82BF-AB84E97A3095}"/>
    <cellStyle name="Currency 5 2 2 2 3 7" xfId="2722" xr:uid="{00000000-0005-0000-0000-00001D220000}"/>
    <cellStyle name="Currency 5 2 2 2 3 8" xfId="2803" xr:uid="{00000000-0005-0000-0000-00001E220000}"/>
    <cellStyle name="Currency 5 2 2 2 3 8 2" xfId="7027" xr:uid="{00000000-0005-0000-0000-00001F220000}"/>
    <cellStyle name="Currency 5 2 2 2 3 8 2 2" xfId="23897" xr:uid="{00000000-0005-0000-0000-000020220000}"/>
    <cellStyle name="Currency 5 2 2 2 3 8 2 2 2" xfId="40765" xr:uid="{4CFEF2A4-7A4B-4F4F-8D5D-67E8F45642B6}"/>
    <cellStyle name="Currency 5 2 2 2 3 8 2 3" xfId="15462" xr:uid="{00000000-0005-0000-0000-000021220000}"/>
    <cellStyle name="Currency 5 2 2 2 3 8 2 4" xfId="32331" xr:uid="{4A467C7B-2703-4CAC-979B-D809A7165F01}"/>
    <cellStyle name="Currency 5 2 2 2 3 8 3" xfId="19679" xr:uid="{00000000-0005-0000-0000-000022220000}"/>
    <cellStyle name="Currency 5 2 2 2 3 8 3 2" xfId="36548" xr:uid="{15106ABC-7194-4523-A8B1-1EDCF8E503F4}"/>
    <cellStyle name="Currency 5 2 2 2 3 8 4" xfId="11244" xr:uid="{00000000-0005-0000-0000-000023220000}"/>
    <cellStyle name="Currency 5 2 2 2 3 8 5" xfId="28114" xr:uid="{8D26C9CF-46F6-4938-9616-4D531B35D99C}"/>
    <cellStyle name="Currency 5 2 2 2 3 9" xfId="4644" xr:uid="{00000000-0005-0000-0000-000024220000}"/>
    <cellStyle name="Currency 5 2 2 2 3 9 2" xfId="21514" xr:uid="{00000000-0005-0000-0000-000025220000}"/>
    <cellStyle name="Currency 5 2 2 2 3 9 2 2" xfId="38382" xr:uid="{59BDBDD2-7AEE-498F-AE40-A4A2DA496A0B}"/>
    <cellStyle name="Currency 5 2 2 2 3 9 3" xfId="13079" xr:uid="{00000000-0005-0000-0000-000026220000}"/>
    <cellStyle name="Currency 5 2 2 2 3 9 4" xfId="29948" xr:uid="{D2FC3932-EC0C-4291-8B01-06B2844B1B9D}"/>
    <cellStyle name="Currency 5 2 2 2 4" xfId="723" xr:uid="{00000000-0005-0000-0000-000027220000}"/>
    <cellStyle name="Currency 5 2 2 2 4 2" xfId="2977" xr:uid="{00000000-0005-0000-0000-000028220000}"/>
    <cellStyle name="Currency 5 2 2 2 4 2 2" xfId="7200" xr:uid="{00000000-0005-0000-0000-000029220000}"/>
    <cellStyle name="Currency 5 2 2 2 4 2 2 2" xfId="24070" xr:uid="{00000000-0005-0000-0000-00002A220000}"/>
    <cellStyle name="Currency 5 2 2 2 4 2 2 2 2" xfId="40938" xr:uid="{8ADB5D22-5267-4C92-933A-E4FF29AB08B9}"/>
    <cellStyle name="Currency 5 2 2 2 4 2 2 3" xfId="15635" xr:uid="{00000000-0005-0000-0000-00002B220000}"/>
    <cellStyle name="Currency 5 2 2 2 4 2 2 4" xfId="32504" xr:uid="{40BBB8EB-21AC-4BA8-B28C-312A0C3E46E1}"/>
    <cellStyle name="Currency 5 2 2 2 4 2 3" xfId="19852" xr:uid="{00000000-0005-0000-0000-00002C220000}"/>
    <cellStyle name="Currency 5 2 2 2 4 2 3 2" xfId="36721" xr:uid="{45D82CE1-09D2-47A0-86D4-5D2155AE5964}"/>
    <cellStyle name="Currency 5 2 2 2 4 2 4" xfId="11417" xr:uid="{00000000-0005-0000-0000-00002D220000}"/>
    <cellStyle name="Currency 5 2 2 2 4 2 5" xfId="28287" xr:uid="{D2C637B3-DC9B-47B6-86F0-D7624E8F1D9E}"/>
    <cellStyle name="Currency 5 2 2 2 4 3" xfId="5055" xr:uid="{00000000-0005-0000-0000-00002E220000}"/>
    <cellStyle name="Currency 5 2 2 2 4 3 2" xfId="21925" xr:uid="{00000000-0005-0000-0000-00002F220000}"/>
    <cellStyle name="Currency 5 2 2 2 4 3 2 2" xfId="38793" xr:uid="{CE6C5CB6-DDEB-4469-BBD6-ECB901E5A73C}"/>
    <cellStyle name="Currency 5 2 2 2 4 3 3" xfId="13490" xr:uid="{00000000-0005-0000-0000-000030220000}"/>
    <cellStyle name="Currency 5 2 2 2 4 3 4" xfId="30359" xr:uid="{E97BC159-A855-419A-A0DB-3B03EBFDFF1F}"/>
    <cellStyle name="Currency 5 2 2 2 4 4" xfId="17707" xr:uid="{00000000-0005-0000-0000-000031220000}"/>
    <cellStyle name="Currency 5 2 2 2 4 4 2" xfId="34576" xr:uid="{5B7E6C53-77C3-4E06-B4AA-4221C8F94C53}"/>
    <cellStyle name="Currency 5 2 2 2 4 5" xfId="9272" xr:uid="{00000000-0005-0000-0000-000032220000}"/>
    <cellStyle name="Currency 5 2 2 2 4 6" xfId="26142" xr:uid="{BE66460B-CCC9-4EDC-A3A2-3CF521E1844C}"/>
    <cellStyle name="Currency 5 2 2 2 5" xfId="1159" xr:uid="{00000000-0005-0000-0000-000033220000}"/>
    <cellStyle name="Currency 5 2 2 2 5 2" xfId="3390" xr:uid="{00000000-0005-0000-0000-000034220000}"/>
    <cellStyle name="Currency 5 2 2 2 5 2 2" xfId="7613" xr:uid="{00000000-0005-0000-0000-000035220000}"/>
    <cellStyle name="Currency 5 2 2 2 5 2 2 2" xfId="24483" xr:uid="{00000000-0005-0000-0000-000036220000}"/>
    <cellStyle name="Currency 5 2 2 2 5 2 2 2 2" xfId="41351" xr:uid="{9C0BFD74-C38A-4D14-B3A3-98CC267E5520}"/>
    <cellStyle name="Currency 5 2 2 2 5 2 2 3" xfId="16048" xr:uid="{00000000-0005-0000-0000-000037220000}"/>
    <cellStyle name="Currency 5 2 2 2 5 2 2 4" xfId="32917" xr:uid="{189B1D95-86DA-43BF-90D1-5963C10C6835}"/>
    <cellStyle name="Currency 5 2 2 2 5 2 3" xfId="20265" xr:uid="{00000000-0005-0000-0000-000038220000}"/>
    <cellStyle name="Currency 5 2 2 2 5 2 3 2" xfId="37134" xr:uid="{92F6D527-5CA6-4DAC-9EF0-A475F93B0FEE}"/>
    <cellStyle name="Currency 5 2 2 2 5 2 4" xfId="11830" xr:uid="{00000000-0005-0000-0000-000039220000}"/>
    <cellStyle name="Currency 5 2 2 2 5 2 5" xfId="28700" xr:uid="{6B950D88-5212-4518-B5F0-7EBE5BECE217}"/>
    <cellStyle name="Currency 5 2 2 2 5 3" xfId="5468" xr:uid="{00000000-0005-0000-0000-00003A220000}"/>
    <cellStyle name="Currency 5 2 2 2 5 3 2" xfId="22338" xr:uid="{00000000-0005-0000-0000-00003B220000}"/>
    <cellStyle name="Currency 5 2 2 2 5 3 2 2" xfId="39206" xr:uid="{F6A7E7A7-F1DB-498F-B425-E444071C88C6}"/>
    <cellStyle name="Currency 5 2 2 2 5 3 3" xfId="13903" xr:uid="{00000000-0005-0000-0000-00003C220000}"/>
    <cellStyle name="Currency 5 2 2 2 5 3 4" xfId="30772" xr:uid="{A11745E2-92F6-4748-9BAA-773D5F6AEB04}"/>
    <cellStyle name="Currency 5 2 2 2 5 4" xfId="18120" xr:uid="{00000000-0005-0000-0000-00003D220000}"/>
    <cellStyle name="Currency 5 2 2 2 5 4 2" xfId="34989" xr:uid="{E96BDCFC-2F3E-4FAD-973B-4B3F293F7024}"/>
    <cellStyle name="Currency 5 2 2 2 5 5" xfId="9685" xr:uid="{00000000-0005-0000-0000-00003E220000}"/>
    <cellStyle name="Currency 5 2 2 2 5 6" xfId="26555" xr:uid="{848F3ED1-58F0-4095-8D0C-0E9A100CF396}"/>
    <cellStyle name="Currency 5 2 2 2 6" xfId="1573" xr:uid="{00000000-0005-0000-0000-00003F220000}"/>
    <cellStyle name="Currency 5 2 2 2 6 2" xfId="3803" xr:uid="{00000000-0005-0000-0000-000040220000}"/>
    <cellStyle name="Currency 5 2 2 2 6 2 2" xfId="8026" xr:uid="{00000000-0005-0000-0000-000041220000}"/>
    <cellStyle name="Currency 5 2 2 2 6 2 2 2" xfId="24896" xr:uid="{00000000-0005-0000-0000-000042220000}"/>
    <cellStyle name="Currency 5 2 2 2 6 2 2 2 2" xfId="41764" xr:uid="{1C281548-A00A-4D25-86A1-CF130A2B1FAA}"/>
    <cellStyle name="Currency 5 2 2 2 6 2 2 3" xfId="16461" xr:uid="{00000000-0005-0000-0000-000043220000}"/>
    <cellStyle name="Currency 5 2 2 2 6 2 2 4" xfId="33330" xr:uid="{F6257CFC-7A60-407C-964F-5FDD0129C280}"/>
    <cellStyle name="Currency 5 2 2 2 6 2 3" xfId="20678" xr:uid="{00000000-0005-0000-0000-000044220000}"/>
    <cellStyle name="Currency 5 2 2 2 6 2 3 2" xfId="37547" xr:uid="{8301C9E0-DDE5-4F5D-8E08-D4799947E6EA}"/>
    <cellStyle name="Currency 5 2 2 2 6 2 4" xfId="12243" xr:uid="{00000000-0005-0000-0000-000045220000}"/>
    <cellStyle name="Currency 5 2 2 2 6 2 5" xfId="29113" xr:uid="{6A83F837-3545-4A85-9729-1C6098F450D7}"/>
    <cellStyle name="Currency 5 2 2 2 6 3" xfId="5881" xr:uid="{00000000-0005-0000-0000-000046220000}"/>
    <cellStyle name="Currency 5 2 2 2 6 3 2" xfId="22751" xr:uid="{00000000-0005-0000-0000-000047220000}"/>
    <cellStyle name="Currency 5 2 2 2 6 3 2 2" xfId="39619" xr:uid="{79BB643A-6953-4244-B899-BB5ECA0DD320}"/>
    <cellStyle name="Currency 5 2 2 2 6 3 3" xfId="14316" xr:uid="{00000000-0005-0000-0000-000048220000}"/>
    <cellStyle name="Currency 5 2 2 2 6 3 4" xfId="31185" xr:uid="{D24640D0-F635-420E-8ACF-FF9A739A38D3}"/>
    <cellStyle name="Currency 5 2 2 2 6 4" xfId="18533" xr:uid="{00000000-0005-0000-0000-000049220000}"/>
    <cellStyle name="Currency 5 2 2 2 6 4 2" xfId="35402" xr:uid="{E25F1888-EDD7-480E-989A-E39A5E9D218E}"/>
    <cellStyle name="Currency 5 2 2 2 6 5" xfId="10098" xr:uid="{00000000-0005-0000-0000-00004A220000}"/>
    <cellStyle name="Currency 5 2 2 2 6 6" xfId="26968" xr:uid="{E1C99FF3-9454-47B5-B50B-78D9E5CE1573}"/>
    <cellStyle name="Currency 5 2 2 2 7" xfId="1987" xr:uid="{00000000-0005-0000-0000-00004B220000}"/>
    <cellStyle name="Currency 5 2 2 2 7 2" xfId="4216" xr:uid="{00000000-0005-0000-0000-00004C220000}"/>
    <cellStyle name="Currency 5 2 2 2 7 2 2" xfId="8439" xr:uid="{00000000-0005-0000-0000-00004D220000}"/>
    <cellStyle name="Currency 5 2 2 2 7 2 2 2" xfId="25309" xr:uid="{00000000-0005-0000-0000-00004E220000}"/>
    <cellStyle name="Currency 5 2 2 2 7 2 2 2 2" xfId="42177" xr:uid="{F58D5460-F0C8-4846-A121-13668EF9F0C4}"/>
    <cellStyle name="Currency 5 2 2 2 7 2 2 3" xfId="16874" xr:uid="{00000000-0005-0000-0000-00004F220000}"/>
    <cellStyle name="Currency 5 2 2 2 7 2 2 4" xfId="33743" xr:uid="{4EBB5080-839F-44E1-AF59-9882604E2323}"/>
    <cellStyle name="Currency 5 2 2 2 7 2 3" xfId="21091" xr:uid="{00000000-0005-0000-0000-000050220000}"/>
    <cellStyle name="Currency 5 2 2 2 7 2 3 2" xfId="37960" xr:uid="{22B51286-32BE-4282-AAA0-124A0C752E0A}"/>
    <cellStyle name="Currency 5 2 2 2 7 2 4" xfId="12656" xr:uid="{00000000-0005-0000-0000-000051220000}"/>
    <cellStyle name="Currency 5 2 2 2 7 2 5" xfId="29526" xr:uid="{A64A472B-1A39-4E44-82FB-9E7CE2F73417}"/>
    <cellStyle name="Currency 5 2 2 2 7 3" xfId="6294" xr:uid="{00000000-0005-0000-0000-000052220000}"/>
    <cellStyle name="Currency 5 2 2 2 7 3 2" xfId="23164" xr:uid="{00000000-0005-0000-0000-000053220000}"/>
    <cellStyle name="Currency 5 2 2 2 7 3 2 2" xfId="40032" xr:uid="{60596B86-F858-44A8-950E-E0041E350602}"/>
    <cellStyle name="Currency 5 2 2 2 7 3 3" xfId="14729" xr:uid="{00000000-0005-0000-0000-000054220000}"/>
    <cellStyle name="Currency 5 2 2 2 7 3 4" xfId="31598" xr:uid="{0A358C25-F209-4340-BE22-8789D0326E4C}"/>
    <cellStyle name="Currency 5 2 2 2 7 4" xfId="18946" xr:uid="{00000000-0005-0000-0000-000055220000}"/>
    <cellStyle name="Currency 5 2 2 2 7 4 2" xfId="35815" xr:uid="{D09D87CE-4487-468F-A254-6E353D8D1467}"/>
    <cellStyle name="Currency 5 2 2 2 7 5" xfId="10511" xr:uid="{00000000-0005-0000-0000-000056220000}"/>
    <cellStyle name="Currency 5 2 2 2 7 6" xfId="27381" xr:uid="{06B53DF8-A80D-4788-9C3E-D3EE33DC32A4}"/>
    <cellStyle name="Currency 5 2 2 2 8" xfId="2422" xr:uid="{00000000-0005-0000-0000-000057220000}"/>
    <cellStyle name="Currency 5 2 2 2 8 2" xfId="6707" xr:uid="{00000000-0005-0000-0000-000058220000}"/>
    <cellStyle name="Currency 5 2 2 2 8 2 2" xfId="23577" xr:uid="{00000000-0005-0000-0000-000059220000}"/>
    <cellStyle name="Currency 5 2 2 2 8 2 2 2" xfId="40445" xr:uid="{5107E285-30AC-4263-BB58-5D5BECDDBEC6}"/>
    <cellStyle name="Currency 5 2 2 2 8 2 3" xfId="15142" xr:uid="{00000000-0005-0000-0000-00005A220000}"/>
    <cellStyle name="Currency 5 2 2 2 8 2 4" xfId="32011" xr:uid="{E08A1DF1-2F0F-40C6-9399-D723498088AD}"/>
    <cellStyle name="Currency 5 2 2 2 8 3" xfId="19359" xr:uid="{00000000-0005-0000-0000-00005B220000}"/>
    <cellStyle name="Currency 5 2 2 2 8 3 2" xfId="36228" xr:uid="{5474B041-4D32-449F-831A-2AC0208DFE72}"/>
    <cellStyle name="Currency 5 2 2 2 8 4" xfId="10924" xr:uid="{00000000-0005-0000-0000-00005C220000}"/>
    <cellStyle name="Currency 5 2 2 2 8 5" xfId="27794" xr:uid="{A9E351CA-15F0-484C-B094-7C565D7FD69A}"/>
    <cellStyle name="Currency 5 2 2 2 9" xfId="2719" xr:uid="{00000000-0005-0000-0000-00005D220000}"/>
    <cellStyle name="Currency 5 2 2 3" xfId="200" xr:uid="{00000000-0005-0000-0000-00005E220000}"/>
    <cellStyle name="Currency 5 2 2 3 10" xfId="4645" xr:uid="{00000000-0005-0000-0000-00005F220000}"/>
    <cellStyle name="Currency 5 2 2 3 10 2" xfId="21515" xr:uid="{00000000-0005-0000-0000-000060220000}"/>
    <cellStyle name="Currency 5 2 2 3 10 2 2" xfId="38383" xr:uid="{206DEF29-0051-4BA0-9610-018F0C9B729A}"/>
    <cellStyle name="Currency 5 2 2 3 10 3" xfId="13080" xr:uid="{00000000-0005-0000-0000-000061220000}"/>
    <cellStyle name="Currency 5 2 2 3 10 4" xfId="29949" xr:uid="{9E02C25A-738A-4E04-BEB9-DDD69F79A5C6}"/>
    <cellStyle name="Currency 5 2 2 3 11" xfId="17297" xr:uid="{00000000-0005-0000-0000-000062220000}"/>
    <cellStyle name="Currency 5 2 2 3 11 2" xfId="34166" xr:uid="{E530358E-8CA4-4B2F-B073-80E01D076EA4}"/>
    <cellStyle name="Currency 5 2 2 3 12" xfId="8862" xr:uid="{00000000-0005-0000-0000-000063220000}"/>
    <cellStyle name="Currency 5 2 2 3 13" xfId="25732" xr:uid="{D2EC7BC0-9056-4D58-86F2-D3A9D6AD7234}"/>
    <cellStyle name="Currency 5 2 2 3 2" xfId="201" xr:uid="{00000000-0005-0000-0000-000064220000}"/>
    <cellStyle name="Currency 5 2 2 3 2 10" xfId="17298" xr:uid="{00000000-0005-0000-0000-000065220000}"/>
    <cellStyle name="Currency 5 2 2 3 2 10 2" xfId="34167" xr:uid="{85F3451A-3A15-4A7E-B04D-B4CC458630A0}"/>
    <cellStyle name="Currency 5 2 2 3 2 11" xfId="8863" xr:uid="{00000000-0005-0000-0000-000066220000}"/>
    <cellStyle name="Currency 5 2 2 3 2 12" xfId="25733" xr:uid="{B92BAFA3-BFC2-4093-8602-034FC7309836}"/>
    <cellStyle name="Currency 5 2 2 3 2 2" xfId="728" xr:uid="{00000000-0005-0000-0000-000067220000}"/>
    <cellStyle name="Currency 5 2 2 3 2 2 2" xfId="2982" xr:uid="{00000000-0005-0000-0000-000068220000}"/>
    <cellStyle name="Currency 5 2 2 3 2 2 2 2" xfId="7205" xr:uid="{00000000-0005-0000-0000-000069220000}"/>
    <cellStyle name="Currency 5 2 2 3 2 2 2 2 2" xfId="24075" xr:uid="{00000000-0005-0000-0000-00006A220000}"/>
    <cellStyle name="Currency 5 2 2 3 2 2 2 2 2 2" xfId="40943" xr:uid="{23B8691E-8D7E-4CE7-8A6A-A5DF5BB99F83}"/>
    <cellStyle name="Currency 5 2 2 3 2 2 2 2 3" xfId="15640" xr:uid="{00000000-0005-0000-0000-00006B220000}"/>
    <cellStyle name="Currency 5 2 2 3 2 2 2 2 4" xfId="32509" xr:uid="{AE07264F-6208-4AFD-8AEC-EC53BE7B0C3D}"/>
    <cellStyle name="Currency 5 2 2 3 2 2 2 3" xfId="19857" xr:uid="{00000000-0005-0000-0000-00006C220000}"/>
    <cellStyle name="Currency 5 2 2 3 2 2 2 3 2" xfId="36726" xr:uid="{18F31140-CAA2-406D-B73D-6ADABF9963C0}"/>
    <cellStyle name="Currency 5 2 2 3 2 2 2 4" xfId="11422" xr:uid="{00000000-0005-0000-0000-00006D220000}"/>
    <cellStyle name="Currency 5 2 2 3 2 2 2 5" xfId="28292" xr:uid="{0C8B1847-766E-4743-96C2-FF4BDD937830}"/>
    <cellStyle name="Currency 5 2 2 3 2 2 3" xfId="5060" xr:uid="{00000000-0005-0000-0000-00006E220000}"/>
    <cellStyle name="Currency 5 2 2 3 2 2 3 2" xfId="21930" xr:uid="{00000000-0005-0000-0000-00006F220000}"/>
    <cellStyle name="Currency 5 2 2 3 2 2 3 2 2" xfId="38798" xr:uid="{E5F5CF3F-3213-4AA9-BA2F-9DCD85669DC4}"/>
    <cellStyle name="Currency 5 2 2 3 2 2 3 3" xfId="13495" xr:uid="{00000000-0005-0000-0000-000070220000}"/>
    <cellStyle name="Currency 5 2 2 3 2 2 3 4" xfId="30364" xr:uid="{D90370B2-F494-4499-90AD-DB16B3F1791B}"/>
    <cellStyle name="Currency 5 2 2 3 2 2 4" xfId="17712" xr:uid="{00000000-0005-0000-0000-000071220000}"/>
    <cellStyle name="Currency 5 2 2 3 2 2 4 2" xfId="34581" xr:uid="{5EE19095-E828-4462-85C0-5A5997256E48}"/>
    <cellStyle name="Currency 5 2 2 3 2 2 5" xfId="9277" xr:uid="{00000000-0005-0000-0000-000072220000}"/>
    <cellStyle name="Currency 5 2 2 3 2 2 6" xfId="26147" xr:uid="{1F7F123C-436E-4D05-A1D5-F41FBEB2C4C7}"/>
    <cellStyle name="Currency 5 2 2 3 2 3" xfId="1164" xr:uid="{00000000-0005-0000-0000-000073220000}"/>
    <cellStyle name="Currency 5 2 2 3 2 3 2" xfId="3395" xr:uid="{00000000-0005-0000-0000-000074220000}"/>
    <cellStyle name="Currency 5 2 2 3 2 3 2 2" xfId="7618" xr:uid="{00000000-0005-0000-0000-000075220000}"/>
    <cellStyle name="Currency 5 2 2 3 2 3 2 2 2" xfId="24488" xr:uid="{00000000-0005-0000-0000-000076220000}"/>
    <cellStyle name="Currency 5 2 2 3 2 3 2 2 2 2" xfId="41356" xr:uid="{1836CFF8-EF85-463F-A7F6-6AD64CE2CAFF}"/>
    <cellStyle name="Currency 5 2 2 3 2 3 2 2 3" xfId="16053" xr:uid="{00000000-0005-0000-0000-000077220000}"/>
    <cellStyle name="Currency 5 2 2 3 2 3 2 2 4" xfId="32922" xr:uid="{BD405A8C-07E4-4090-9179-D7D8476262E0}"/>
    <cellStyle name="Currency 5 2 2 3 2 3 2 3" xfId="20270" xr:uid="{00000000-0005-0000-0000-000078220000}"/>
    <cellStyle name="Currency 5 2 2 3 2 3 2 3 2" xfId="37139" xr:uid="{F5E9D7FE-AC4E-4294-8574-1BBC36442ECA}"/>
    <cellStyle name="Currency 5 2 2 3 2 3 2 4" xfId="11835" xr:uid="{00000000-0005-0000-0000-000079220000}"/>
    <cellStyle name="Currency 5 2 2 3 2 3 2 5" xfId="28705" xr:uid="{83D25C6F-7823-4297-8648-FDC58EB01867}"/>
    <cellStyle name="Currency 5 2 2 3 2 3 3" xfId="5473" xr:uid="{00000000-0005-0000-0000-00007A220000}"/>
    <cellStyle name="Currency 5 2 2 3 2 3 3 2" xfId="22343" xr:uid="{00000000-0005-0000-0000-00007B220000}"/>
    <cellStyle name="Currency 5 2 2 3 2 3 3 2 2" xfId="39211" xr:uid="{CAD5DD63-1D8A-4C3F-BF44-40A1AA07259F}"/>
    <cellStyle name="Currency 5 2 2 3 2 3 3 3" xfId="13908" xr:uid="{00000000-0005-0000-0000-00007C220000}"/>
    <cellStyle name="Currency 5 2 2 3 2 3 3 4" xfId="30777" xr:uid="{D5F6464B-3724-4643-BE7B-798AF79013C4}"/>
    <cellStyle name="Currency 5 2 2 3 2 3 4" xfId="18125" xr:uid="{00000000-0005-0000-0000-00007D220000}"/>
    <cellStyle name="Currency 5 2 2 3 2 3 4 2" xfId="34994" xr:uid="{B6D4FBD6-A195-49AA-BB84-AEC108FA2530}"/>
    <cellStyle name="Currency 5 2 2 3 2 3 5" xfId="9690" xr:uid="{00000000-0005-0000-0000-00007E220000}"/>
    <cellStyle name="Currency 5 2 2 3 2 3 6" xfId="26560" xr:uid="{AF1C636B-347F-49EE-A5B1-B3D27F8F5EB9}"/>
    <cellStyle name="Currency 5 2 2 3 2 4" xfId="1578" xr:uid="{00000000-0005-0000-0000-00007F220000}"/>
    <cellStyle name="Currency 5 2 2 3 2 4 2" xfId="3808" xr:uid="{00000000-0005-0000-0000-000080220000}"/>
    <cellStyle name="Currency 5 2 2 3 2 4 2 2" xfId="8031" xr:uid="{00000000-0005-0000-0000-000081220000}"/>
    <cellStyle name="Currency 5 2 2 3 2 4 2 2 2" xfId="24901" xr:uid="{00000000-0005-0000-0000-000082220000}"/>
    <cellStyle name="Currency 5 2 2 3 2 4 2 2 2 2" xfId="41769" xr:uid="{6649D447-D6AF-44EB-B592-A5D12F1DD4DC}"/>
    <cellStyle name="Currency 5 2 2 3 2 4 2 2 3" xfId="16466" xr:uid="{00000000-0005-0000-0000-000083220000}"/>
    <cellStyle name="Currency 5 2 2 3 2 4 2 2 4" xfId="33335" xr:uid="{C288181A-6D23-4FD5-ABBC-CB42463624B0}"/>
    <cellStyle name="Currency 5 2 2 3 2 4 2 3" xfId="20683" xr:uid="{00000000-0005-0000-0000-000084220000}"/>
    <cellStyle name="Currency 5 2 2 3 2 4 2 3 2" xfId="37552" xr:uid="{63BC88B0-C564-4B70-ADB1-2314782D3E39}"/>
    <cellStyle name="Currency 5 2 2 3 2 4 2 4" xfId="12248" xr:uid="{00000000-0005-0000-0000-000085220000}"/>
    <cellStyle name="Currency 5 2 2 3 2 4 2 5" xfId="29118" xr:uid="{72296BFA-EBCA-4B48-8E28-9BE14D62AAC5}"/>
    <cellStyle name="Currency 5 2 2 3 2 4 3" xfId="5886" xr:uid="{00000000-0005-0000-0000-000086220000}"/>
    <cellStyle name="Currency 5 2 2 3 2 4 3 2" xfId="22756" xr:uid="{00000000-0005-0000-0000-000087220000}"/>
    <cellStyle name="Currency 5 2 2 3 2 4 3 2 2" xfId="39624" xr:uid="{914C9DC1-C27A-4E59-ACE9-D728B9199F09}"/>
    <cellStyle name="Currency 5 2 2 3 2 4 3 3" xfId="14321" xr:uid="{00000000-0005-0000-0000-000088220000}"/>
    <cellStyle name="Currency 5 2 2 3 2 4 3 4" xfId="31190" xr:uid="{7D59FDA0-3A53-4074-9883-6C57854B6D82}"/>
    <cellStyle name="Currency 5 2 2 3 2 4 4" xfId="18538" xr:uid="{00000000-0005-0000-0000-000089220000}"/>
    <cellStyle name="Currency 5 2 2 3 2 4 4 2" xfId="35407" xr:uid="{4EFC8929-C000-43CD-8B18-98EA504325B6}"/>
    <cellStyle name="Currency 5 2 2 3 2 4 5" xfId="10103" xr:uid="{00000000-0005-0000-0000-00008A220000}"/>
    <cellStyle name="Currency 5 2 2 3 2 4 6" xfId="26973" xr:uid="{10CDA413-D474-40C7-9303-1463441ADA04}"/>
    <cellStyle name="Currency 5 2 2 3 2 5" xfId="1992" xr:uid="{00000000-0005-0000-0000-00008B220000}"/>
    <cellStyle name="Currency 5 2 2 3 2 5 2" xfId="4221" xr:uid="{00000000-0005-0000-0000-00008C220000}"/>
    <cellStyle name="Currency 5 2 2 3 2 5 2 2" xfId="8444" xr:uid="{00000000-0005-0000-0000-00008D220000}"/>
    <cellStyle name="Currency 5 2 2 3 2 5 2 2 2" xfId="25314" xr:uid="{00000000-0005-0000-0000-00008E220000}"/>
    <cellStyle name="Currency 5 2 2 3 2 5 2 2 2 2" xfId="42182" xr:uid="{9088D305-93F3-40FD-A3BE-AE97152A6C39}"/>
    <cellStyle name="Currency 5 2 2 3 2 5 2 2 3" xfId="16879" xr:uid="{00000000-0005-0000-0000-00008F220000}"/>
    <cellStyle name="Currency 5 2 2 3 2 5 2 2 4" xfId="33748" xr:uid="{E0EB8B47-098C-4D59-A62F-929933A482FD}"/>
    <cellStyle name="Currency 5 2 2 3 2 5 2 3" xfId="21096" xr:uid="{00000000-0005-0000-0000-000090220000}"/>
    <cellStyle name="Currency 5 2 2 3 2 5 2 3 2" xfId="37965" xr:uid="{E632BCAB-20C1-4FAC-8CCC-0276133624FE}"/>
    <cellStyle name="Currency 5 2 2 3 2 5 2 4" xfId="12661" xr:uid="{00000000-0005-0000-0000-000091220000}"/>
    <cellStyle name="Currency 5 2 2 3 2 5 2 5" xfId="29531" xr:uid="{A4BB41E1-A5A8-41B8-910F-88AA6AD416F6}"/>
    <cellStyle name="Currency 5 2 2 3 2 5 3" xfId="6299" xr:uid="{00000000-0005-0000-0000-000092220000}"/>
    <cellStyle name="Currency 5 2 2 3 2 5 3 2" xfId="23169" xr:uid="{00000000-0005-0000-0000-000093220000}"/>
    <cellStyle name="Currency 5 2 2 3 2 5 3 2 2" xfId="40037" xr:uid="{E1E04754-66E3-4603-BC86-7B4EFE051B48}"/>
    <cellStyle name="Currency 5 2 2 3 2 5 3 3" xfId="14734" xr:uid="{00000000-0005-0000-0000-000094220000}"/>
    <cellStyle name="Currency 5 2 2 3 2 5 3 4" xfId="31603" xr:uid="{E735E5AF-6E2F-4785-88CD-CB17AC7E1B5C}"/>
    <cellStyle name="Currency 5 2 2 3 2 5 4" xfId="18951" xr:uid="{00000000-0005-0000-0000-000095220000}"/>
    <cellStyle name="Currency 5 2 2 3 2 5 4 2" xfId="35820" xr:uid="{E6BF601A-2163-4DB5-8E27-7A0676D5E8AA}"/>
    <cellStyle name="Currency 5 2 2 3 2 5 5" xfId="10516" xr:uid="{00000000-0005-0000-0000-000096220000}"/>
    <cellStyle name="Currency 5 2 2 3 2 5 6" xfId="27386" xr:uid="{FE85B43D-774B-458D-A61C-34E2B822B64F}"/>
    <cellStyle name="Currency 5 2 2 3 2 6" xfId="2427" xr:uid="{00000000-0005-0000-0000-000097220000}"/>
    <cellStyle name="Currency 5 2 2 3 2 6 2" xfId="6712" xr:uid="{00000000-0005-0000-0000-000098220000}"/>
    <cellStyle name="Currency 5 2 2 3 2 6 2 2" xfId="23582" xr:uid="{00000000-0005-0000-0000-000099220000}"/>
    <cellStyle name="Currency 5 2 2 3 2 6 2 2 2" xfId="40450" xr:uid="{27558CBE-C008-4093-ADA7-402C1CA47468}"/>
    <cellStyle name="Currency 5 2 2 3 2 6 2 3" xfId="15147" xr:uid="{00000000-0005-0000-0000-00009A220000}"/>
    <cellStyle name="Currency 5 2 2 3 2 6 2 4" xfId="32016" xr:uid="{B0698AAC-7BF7-4E31-986E-26822CFE85F2}"/>
    <cellStyle name="Currency 5 2 2 3 2 6 3" xfId="19364" xr:uid="{00000000-0005-0000-0000-00009B220000}"/>
    <cellStyle name="Currency 5 2 2 3 2 6 3 2" xfId="36233" xr:uid="{9789348F-29B4-461D-875C-DCEB524DB94F}"/>
    <cellStyle name="Currency 5 2 2 3 2 6 4" xfId="10929" xr:uid="{00000000-0005-0000-0000-00009C220000}"/>
    <cellStyle name="Currency 5 2 2 3 2 6 5" xfId="27799" xr:uid="{606C504E-1103-4B1E-B9D1-D8DAC3C843A7}"/>
    <cellStyle name="Currency 5 2 2 3 2 7" xfId="2724" xr:uid="{00000000-0005-0000-0000-00009D220000}"/>
    <cellStyle name="Currency 5 2 2 3 2 8" xfId="2805" xr:uid="{00000000-0005-0000-0000-00009E220000}"/>
    <cellStyle name="Currency 5 2 2 3 2 8 2" xfId="7029" xr:uid="{00000000-0005-0000-0000-00009F220000}"/>
    <cellStyle name="Currency 5 2 2 3 2 8 2 2" xfId="23899" xr:uid="{00000000-0005-0000-0000-0000A0220000}"/>
    <cellStyle name="Currency 5 2 2 3 2 8 2 2 2" xfId="40767" xr:uid="{4E72BE01-BBBD-4DD6-8A2A-22230696E935}"/>
    <cellStyle name="Currency 5 2 2 3 2 8 2 3" xfId="15464" xr:uid="{00000000-0005-0000-0000-0000A1220000}"/>
    <cellStyle name="Currency 5 2 2 3 2 8 2 4" xfId="32333" xr:uid="{B420998E-8DA0-4BDE-A09C-66F37D046A5D}"/>
    <cellStyle name="Currency 5 2 2 3 2 8 3" xfId="19681" xr:uid="{00000000-0005-0000-0000-0000A2220000}"/>
    <cellStyle name="Currency 5 2 2 3 2 8 3 2" xfId="36550" xr:uid="{11270298-C5AB-4D60-901E-56828291231F}"/>
    <cellStyle name="Currency 5 2 2 3 2 8 4" xfId="11246" xr:uid="{00000000-0005-0000-0000-0000A3220000}"/>
    <cellStyle name="Currency 5 2 2 3 2 8 5" xfId="28116" xr:uid="{2C3F7352-FA80-4577-B9E5-A243686FB5DF}"/>
    <cellStyle name="Currency 5 2 2 3 2 9" xfId="4646" xr:uid="{00000000-0005-0000-0000-0000A4220000}"/>
    <cellStyle name="Currency 5 2 2 3 2 9 2" xfId="21516" xr:uid="{00000000-0005-0000-0000-0000A5220000}"/>
    <cellStyle name="Currency 5 2 2 3 2 9 2 2" xfId="38384" xr:uid="{4968A697-EC87-4B53-9FC9-7204E35DCA4C}"/>
    <cellStyle name="Currency 5 2 2 3 2 9 3" xfId="13081" xr:uid="{00000000-0005-0000-0000-0000A6220000}"/>
    <cellStyle name="Currency 5 2 2 3 2 9 4" xfId="29950" xr:uid="{59792AF6-E58B-4111-A69E-4228AEC0F71B}"/>
    <cellStyle name="Currency 5 2 2 3 3" xfId="727" xr:uid="{00000000-0005-0000-0000-0000A7220000}"/>
    <cellStyle name="Currency 5 2 2 3 3 2" xfId="2981" xr:uid="{00000000-0005-0000-0000-0000A8220000}"/>
    <cellStyle name="Currency 5 2 2 3 3 2 2" xfId="7204" xr:uid="{00000000-0005-0000-0000-0000A9220000}"/>
    <cellStyle name="Currency 5 2 2 3 3 2 2 2" xfId="24074" xr:uid="{00000000-0005-0000-0000-0000AA220000}"/>
    <cellStyle name="Currency 5 2 2 3 3 2 2 2 2" xfId="40942" xr:uid="{E91677F3-036B-4E18-9173-6756A365694A}"/>
    <cellStyle name="Currency 5 2 2 3 3 2 2 3" xfId="15639" xr:uid="{00000000-0005-0000-0000-0000AB220000}"/>
    <cellStyle name="Currency 5 2 2 3 3 2 2 4" xfId="32508" xr:uid="{15838392-88AE-4A32-9FBE-5B194808A2C2}"/>
    <cellStyle name="Currency 5 2 2 3 3 2 3" xfId="19856" xr:uid="{00000000-0005-0000-0000-0000AC220000}"/>
    <cellStyle name="Currency 5 2 2 3 3 2 3 2" xfId="36725" xr:uid="{F620E346-654A-4FC9-9F60-43BE1C91121D}"/>
    <cellStyle name="Currency 5 2 2 3 3 2 4" xfId="11421" xr:uid="{00000000-0005-0000-0000-0000AD220000}"/>
    <cellStyle name="Currency 5 2 2 3 3 2 5" xfId="28291" xr:uid="{BFE1C645-091E-4015-AEAD-44D0D5CE5EDD}"/>
    <cellStyle name="Currency 5 2 2 3 3 3" xfId="5059" xr:uid="{00000000-0005-0000-0000-0000AE220000}"/>
    <cellStyle name="Currency 5 2 2 3 3 3 2" xfId="21929" xr:uid="{00000000-0005-0000-0000-0000AF220000}"/>
    <cellStyle name="Currency 5 2 2 3 3 3 2 2" xfId="38797" xr:uid="{DB626492-75F1-4869-93C7-950CADE23B85}"/>
    <cellStyle name="Currency 5 2 2 3 3 3 3" xfId="13494" xr:uid="{00000000-0005-0000-0000-0000B0220000}"/>
    <cellStyle name="Currency 5 2 2 3 3 3 4" xfId="30363" xr:uid="{E9F3E22F-5AA0-4DD8-903B-2325B6105A59}"/>
    <cellStyle name="Currency 5 2 2 3 3 4" xfId="17711" xr:uid="{00000000-0005-0000-0000-0000B1220000}"/>
    <cellStyle name="Currency 5 2 2 3 3 4 2" xfId="34580" xr:uid="{0E331470-1A5E-43EE-AACF-8137C5AC225B}"/>
    <cellStyle name="Currency 5 2 2 3 3 5" xfId="9276" xr:uid="{00000000-0005-0000-0000-0000B2220000}"/>
    <cellStyle name="Currency 5 2 2 3 3 6" xfId="26146" xr:uid="{34A66EE6-F441-4997-8B29-023B9ADE08D3}"/>
    <cellStyle name="Currency 5 2 2 3 4" xfId="1163" xr:uid="{00000000-0005-0000-0000-0000B3220000}"/>
    <cellStyle name="Currency 5 2 2 3 4 2" xfId="3394" xr:uid="{00000000-0005-0000-0000-0000B4220000}"/>
    <cellStyle name="Currency 5 2 2 3 4 2 2" xfId="7617" xr:uid="{00000000-0005-0000-0000-0000B5220000}"/>
    <cellStyle name="Currency 5 2 2 3 4 2 2 2" xfId="24487" xr:uid="{00000000-0005-0000-0000-0000B6220000}"/>
    <cellStyle name="Currency 5 2 2 3 4 2 2 2 2" xfId="41355" xr:uid="{E92345C2-1746-43EE-932F-F74679BFC78F}"/>
    <cellStyle name="Currency 5 2 2 3 4 2 2 3" xfId="16052" xr:uid="{00000000-0005-0000-0000-0000B7220000}"/>
    <cellStyle name="Currency 5 2 2 3 4 2 2 4" xfId="32921" xr:uid="{135AB454-A93C-4D20-9FD5-0CEAC9512D2C}"/>
    <cellStyle name="Currency 5 2 2 3 4 2 3" xfId="20269" xr:uid="{00000000-0005-0000-0000-0000B8220000}"/>
    <cellStyle name="Currency 5 2 2 3 4 2 3 2" xfId="37138" xr:uid="{8CF9779A-E892-4626-9E34-519594784095}"/>
    <cellStyle name="Currency 5 2 2 3 4 2 4" xfId="11834" xr:uid="{00000000-0005-0000-0000-0000B9220000}"/>
    <cellStyle name="Currency 5 2 2 3 4 2 5" xfId="28704" xr:uid="{3971F7C7-4967-4262-AE3C-2AF66A59CC0C}"/>
    <cellStyle name="Currency 5 2 2 3 4 3" xfId="5472" xr:uid="{00000000-0005-0000-0000-0000BA220000}"/>
    <cellStyle name="Currency 5 2 2 3 4 3 2" xfId="22342" xr:uid="{00000000-0005-0000-0000-0000BB220000}"/>
    <cellStyle name="Currency 5 2 2 3 4 3 2 2" xfId="39210" xr:uid="{009967AF-C308-44B8-98BB-E554354095B3}"/>
    <cellStyle name="Currency 5 2 2 3 4 3 3" xfId="13907" xr:uid="{00000000-0005-0000-0000-0000BC220000}"/>
    <cellStyle name="Currency 5 2 2 3 4 3 4" xfId="30776" xr:uid="{9FA11EAB-5D0A-43F8-BD88-E1AC5C17C19B}"/>
    <cellStyle name="Currency 5 2 2 3 4 4" xfId="18124" xr:uid="{00000000-0005-0000-0000-0000BD220000}"/>
    <cellStyle name="Currency 5 2 2 3 4 4 2" xfId="34993" xr:uid="{0087DCA2-FB26-45E9-A0B1-DADFED9C05A8}"/>
    <cellStyle name="Currency 5 2 2 3 4 5" xfId="9689" xr:uid="{00000000-0005-0000-0000-0000BE220000}"/>
    <cellStyle name="Currency 5 2 2 3 4 6" xfId="26559" xr:uid="{C7A3AEDC-D7DE-4A58-9B89-FB8D34426C51}"/>
    <cellStyle name="Currency 5 2 2 3 5" xfId="1577" xr:uid="{00000000-0005-0000-0000-0000BF220000}"/>
    <cellStyle name="Currency 5 2 2 3 5 2" xfId="3807" xr:uid="{00000000-0005-0000-0000-0000C0220000}"/>
    <cellStyle name="Currency 5 2 2 3 5 2 2" xfId="8030" xr:uid="{00000000-0005-0000-0000-0000C1220000}"/>
    <cellStyle name="Currency 5 2 2 3 5 2 2 2" xfId="24900" xr:uid="{00000000-0005-0000-0000-0000C2220000}"/>
    <cellStyle name="Currency 5 2 2 3 5 2 2 2 2" xfId="41768" xr:uid="{465B76BA-0449-43C3-A048-DD140412AA85}"/>
    <cellStyle name="Currency 5 2 2 3 5 2 2 3" xfId="16465" xr:uid="{00000000-0005-0000-0000-0000C3220000}"/>
    <cellStyle name="Currency 5 2 2 3 5 2 2 4" xfId="33334" xr:uid="{7C2F26EC-53E0-4B61-B638-EF7F9DF4BDAB}"/>
    <cellStyle name="Currency 5 2 2 3 5 2 3" xfId="20682" xr:uid="{00000000-0005-0000-0000-0000C4220000}"/>
    <cellStyle name="Currency 5 2 2 3 5 2 3 2" xfId="37551" xr:uid="{4C36D36B-3A7B-4FAD-810A-C948E45E557F}"/>
    <cellStyle name="Currency 5 2 2 3 5 2 4" xfId="12247" xr:uid="{00000000-0005-0000-0000-0000C5220000}"/>
    <cellStyle name="Currency 5 2 2 3 5 2 5" xfId="29117" xr:uid="{5ACC7C33-7B3E-475B-AA10-87A541BF75CF}"/>
    <cellStyle name="Currency 5 2 2 3 5 3" xfId="5885" xr:uid="{00000000-0005-0000-0000-0000C6220000}"/>
    <cellStyle name="Currency 5 2 2 3 5 3 2" xfId="22755" xr:uid="{00000000-0005-0000-0000-0000C7220000}"/>
    <cellStyle name="Currency 5 2 2 3 5 3 2 2" xfId="39623" xr:uid="{B87E2446-9126-4DD7-B4DE-5036A128D9AA}"/>
    <cellStyle name="Currency 5 2 2 3 5 3 3" xfId="14320" xr:uid="{00000000-0005-0000-0000-0000C8220000}"/>
    <cellStyle name="Currency 5 2 2 3 5 3 4" xfId="31189" xr:uid="{012FA362-555B-4893-8F02-E265215B2382}"/>
    <cellStyle name="Currency 5 2 2 3 5 4" xfId="18537" xr:uid="{00000000-0005-0000-0000-0000C9220000}"/>
    <cellStyle name="Currency 5 2 2 3 5 4 2" xfId="35406" xr:uid="{B6DB3881-5CCE-44B1-900E-7BB08812112E}"/>
    <cellStyle name="Currency 5 2 2 3 5 5" xfId="10102" xr:uid="{00000000-0005-0000-0000-0000CA220000}"/>
    <cellStyle name="Currency 5 2 2 3 5 6" xfId="26972" xr:uid="{9977AAF1-EB99-4EF2-BD76-0D1ACC2B22F4}"/>
    <cellStyle name="Currency 5 2 2 3 6" xfId="1991" xr:uid="{00000000-0005-0000-0000-0000CB220000}"/>
    <cellStyle name="Currency 5 2 2 3 6 2" xfId="4220" xr:uid="{00000000-0005-0000-0000-0000CC220000}"/>
    <cellStyle name="Currency 5 2 2 3 6 2 2" xfId="8443" xr:uid="{00000000-0005-0000-0000-0000CD220000}"/>
    <cellStyle name="Currency 5 2 2 3 6 2 2 2" xfId="25313" xr:uid="{00000000-0005-0000-0000-0000CE220000}"/>
    <cellStyle name="Currency 5 2 2 3 6 2 2 2 2" xfId="42181" xr:uid="{6F95A81E-E55A-4328-8120-3C823C906093}"/>
    <cellStyle name="Currency 5 2 2 3 6 2 2 3" xfId="16878" xr:uid="{00000000-0005-0000-0000-0000CF220000}"/>
    <cellStyle name="Currency 5 2 2 3 6 2 2 4" xfId="33747" xr:uid="{2E64FA1F-A97B-4847-B7C7-92082F05BA28}"/>
    <cellStyle name="Currency 5 2 2 3 6 2 3" xfId="21095" xr:uid="{00000000-0005-0000-0000-0000D0220000}"/>
    <cellStyle name="Currency 5 2 2 3 6 2 3 2" xfId="37964" xr:uid="{09AF6A69-8306-45BA-89B9-434DE60E180F}"/>
    <cellStyle name="Currency 5 2 2 3 6 2 4" xfId="12660" xr:uid="{00000000-0005-0000-0000-0000D1220000}"/>
    <cellStyle name="Currency 5 2 2 3 6 2 5" xfId="29530" xr:uid="{D75F9F34-5BCE-4C55-B822-375C8B79352F}"/>
    <cellStyle name="Currency 5 2 2 3 6 3" xfId="6298" xr:uid="{00000000-0005-0000-0000-0000D2220000}"/>
    <cellStyle name="Currency 5 2 2 3 6 3 2" xfId="23168" xr:uid="{00000000-0005-0000-0000-0000D3220000}"/>
    <cellStyle name="Currency 5 2 2 3 6 3 2 2" xfId="40036" xr:uid="{45D25CDB-8CD6-43E3-B481-00295B98936A}"/>
    <cellStyle name="Currency 5 2 2 3 6 3 3" xfId="14733" xr:uid="{00000000-0005-0000-0000-0000D4220000}"/>
    <cellStyle name="Currency 5 2 2 3 6 3 4" xfId="31602" xr:uid="{5C8473C8-0ABB-4381-BB84-667E14E419E1}"/>
    <cellStyle name="Currency 5 2 2 3 6 4" xfId="18950" xr:uid="{00000000-0005-0000-0000-0000D5220000}"/>
    <cellStyle name="Currency 5 2 2 3 6 4 2" xfId="35819" xr:uid="{2D9DA532-389F-4370-8FB4-B356977D4CED}"/>
    <cellStyle name="Currency 5 2 2 3 6 5" xfId="10515" xr:uid="{00000000-0005-0000-0000-0000D6220000}"/>
    <cellStyle name="Currency 5 2 2 3 6 6" xfId="27385" xr:uid="{E7CA22A9-49FF-4D87-9DA8-6002E1DACD9D}"/>
    <cellStyle name="Currency 5 2 2 3 7" xfId="2426" xr:uid="{00000000-0005-0000-0000-0000D7220000}"/>
    <cellStyle name="Currency 5 2 2 3 7 2" xfId="6711" xr:uid="{00000000-0005-0000-0000-0000D8220000}"/>
    <cellStyle name="Currency 5 2 2 3 7 2 2" xfId="23581" xr:uid="{00000000-0005-0000-0000-0000D9220000}"/>
    <cellStyle name="Currency 5 2 2 3 7 2 2 2" xfId="40449" xr:uid="{5EB1554F-8237-46B8-861F-8E8951FD34EE}"/>
    <cellStyle name="Currency 5 2 2 3 7 2 3" xfId="15146" xr:uid="{00000000-0005-0000-0000-0000DA220000}"/>
    <cellStyle name="Currency 5 2 2 3 7 2 4" xfId="32015" xr:uid="{0F4EF475-7394-4A6B-B58D-6FB8BACA57D6}"/>
    <cellStyle name="Currency 5 2 2 3 7 3" xfId="19363" xr:uid="{00000000-0005-0000-0000-0000DB220000}"/>
    <cellStyle name="Currency 5 2 2 3 7 3 2" xfId="36232" xr:uid="{2A8EF8F9-D049-4A40-A128-D244915F0622}"/>
    <cellStyle name="Currency 5 2 2 3 7 4" xfId="10928" xr:uid="{00000000-0005-0000-0000-0000DC220000}"/>
    <cellStyle name="Currency 5 2 2 3 7 5" xfId="27798" xr:uid="{4B410482-724F-4133-B13D-791D39D5EDC6}"/>
    <cellStyle name="Currency 5 2 2 3 8" xfId="2723" xr:uid="{00000000-0005-0000-0000-0000DD220000}"/>
    <cellStyle name="Currency 5 2 2 3 9" xfId="2804" xr:uid="{00000000-0005-0000-0000-0000DE220000}"/>
    <cellStyle name="Currency 5 2 2 3 9 2" xfId="7028" xr:uid="{00000000-0005-0000-0000-0000DF220000}"/>
    <cellStyle name="Currency 5 2 2 3 9 2 2" xfId="23898" xr:uid="{00000000-0005-0000-0000-0000E0220000}"/>
    <cellStyle name="Currency 5 2 2 3 9 2 2 2" xfId="40766" xr:uid="{621640D8-7230-4FDB-8B35-84F26A94DB00}"/>
    <cellStyle name="Currency 5 2 2 3 9 2 3" xfId="15463" xr:uid="{00000000-0005-0000-0000-0000E1220000}"/>
    <cellStyle name="Currency 5 2 2 3 9 2 4" xfId="32332" xr:uid="{41BC8282-6A21-494D-83D7-FE0160A69EF0}"/>
    <cellStyle name="Currency 5 2 2 3 9 3" xfId="19680" xr:uid="{00000000-0005-0000-0000-0000E2220000}"/>
    <cellStyle name="Currency 5 2 2 3 9 3 2" xfId="36549" xr:uid="{4324EE9C-BBF5-4974-9321-7E2DBCE25EF3}"/>
    <cellStyle name="Currency 5 2 2 3 9 4" xfId="11245" xr:uid="{00000000-0005-0000-0000-0000E3220000}"/>
    <cellStyle name="Currency 5 2 2 3 9 5" xfId="28115" xr:uid="{D1F20F6E-152E-49A7-970D-7E18F1E06C44}"/>
    <cellStyle name="Currency 5 2 2 4" xfId="202" xr:uid="{00000000-0005-0000-0000-0000E4220000}"/>
    <cellStyle name="Currency 5 2 2 4 10" xfId="17299" xr:uid="{00000000-0005-0000-0000-0000E5220000}"/>
    <cellStyle name="Currency 5 2 2 4 10 2" xfId="34168" xr:uid="{471DCDE7-DDF1-413A-8935-156676293DEF}"/>
    <cellStyle name="Currency 5 2 2 4 11" xfId="8864" xr:uid="{00000000-0005-0000-0000-0000E6220000}"/>
    <cellStyle name="Currency 5 2 2 4 12" xfId="25734" xr:uid="{9DF2D0BC-6D6C-4198-9895-C02BDFF23688}"/>
    <cellStyle name="Currency 5 2 2 4 2" xfId="729" xr:uid="{00000000-0005-0000-0000-0000E7220000}"/>
    <cellStyle name="Currency 5 2 2 4 2 2" xfId="2983" xr:uid="{00000000-0005-0000-0000-0000E8220000}"/>
    <cellStyle name="Currency 5 2 2 4 2 2 2" xfId="7206" xr:uid="{00000000-0005-0000-0000-0000E9220000}"/>
    <cellStyle name="Currency 5 2 2 4 2 2 2 2" xfId="24076" xr:uid="{00000000-0005-0000-0000-0000EA220000}"/>
    <cellStyle name="Currency 5 2 2 4 2 2 2 2 2" xfId="40944" xr:uid="{AA536810-24EC-4ACF-85A1-8EAD5A635124}"/>
    <cellStyle name="Currency 5 2 2 4 2 2 2 3" xfId="15641" xr:uid="{00000000-0005-0000-0000-0000EB220000}"/>
    <cellStyle name="Currency 5 2 2 4 2 2 2 4" xfId="32510" xr:uid="{BED8FFD2-A5FA-4440-8732-E5CD6A59F250}"/>
    <cellStyle name="Currency 5 2 2 4 2 2 3" xfId="19858" xr:uid="{00000000-0005-0000-0000-0000EC220000}"/>
    <cellStyle name="Currency 5 2 2 4 2 2 3 2" xfId="36727" xr:uid="{76E8E944-90D9-4C8C-B8D4-514CDA1C6018}"/>
    <cellStyle name="Currency 5 2 2 4 2 2 4" xfId="11423" xr:uid="{00000000-0005-0000-0000-0000ED220000}"/>
    <cellStyle name="Currency 5 2 2 4 2 2 5" xfId="28293" xr:uid="{1549D155-407F-48B5-A84B-49E2A6BDAA6A}"/>
    <cellStyle name="Currency 5 2 2 4 2 3" xfId="5061" xr:uid="{00000000-0005-0000-0000-0000EE220000}"/>
    <cellStyle name="Currency 5 2 2 4 2 3 2" xfId="21931" xr:uid="{00000000-0005-0000-0000-0000EF220000}"/>
    <cellStyle name="Currency 5 2 2 4 2 3 2 2" xfId="38799" xr:uid="{B00F6159-EFB6-4485-AF88-670C202AD1C2}"/>
    <cellStyle name="Currency 5 2 2 4 2 3 3" xfId="13496" xr:uid="{00000000-0005-0000-0000-0000F0220000}"/>
    <cellStyle name="Currency 5 2 2 4 2 3 4" xfId="30365" xr:uid="{391930C4-DD3F-40F9-A2DA-6279A2CDCFB0}"/>
    <cellStyle name="Currency 5 2 2 4 2 4" xfId="17713" xr:uid="{00000000-0005-0000-0000-0000F1220000}"/>
    <cellStyle name="Currency 5 2 2 4 2 4 2" xfId="34582" xr:uid="{E098C21F-799C-4921-AD28-CFF1901D2D0A}"/>
    <cellStyle name="Currency 5 2 2 4 2 5" xfId="9278" xr:uid="{00000000-0005-0000-0000-0000F2220000}"/>
    <cellStyle name="Currency 5 2 2 4 2 6" xfId="26148" xr:uid="{1D30F212-D854-4E7B-AA80-EAF6E0C79545}"/>
    <cellStyle name="Currency 5 2 2 4 3" xfId="1165" xr:uid="{00000000-0005-0000-0000-0000F3220000}"/>
    <cellStyle name="Currency 5 2 2 4 3 2" xfId="3396" xr:uid="{00000000-0005-0000-0000-0000F4220000}"/>
    <cellStyle name="Currency 5 2 2 4 3 2 2" xfId="7619" xr:uid="{00000000-0005-0000-0000-0000F5220000}"/>
    <cellStyle name="Currency 5 2 2 4 3 2 2 2" xfId="24489" xr:uid="{00000000-0005-0000-0000-0000F6220000}"/>
    <cellStyle name="Currency 5 2 2 4 3 2 2 2 2" xfId="41357" xr:uid="{44AEBF9C-12C4-463D-B6FA-968A5860D09B}"/>
    <cellStyle name="Currency 5 2 2 4 3 2 2 3" xfId="16054" xr:uid="{00000000-0005-0000-0000-0000F7220000}"/>
    <cellStyle name="Currency 5 2 2 4 3 2 2 4" xfId="32923" xr:uid="{80B1E916-B4C0-462C-8DF0-C6FB02E37E09}"/>
    <cellStyle name="Currency 5 2 2 4 3 2 3" xfId="20271" xr:uid="{00000000-0005-0000-0000-0000F8220000}"/>
    <cellStyle name="Currency 5 2 2 4 3 2 3 2" xfId="37140" xr:uid="{B6D8F5EF-F5FB-42C4-A16A-AC95F6B5AB6E}"/>
    <cellStyle name="Currency 5 2 2 4 3 2 4" xfId="11836" xr:uid="{00000000-0005-0000-0000-0000F9220000}"/>
    <cellStyle name="Currency 5 2 2 4 3 2 5" xfId="28706" xr:uid="{5C9CEE64-D43A-4B4D-BB59-F007526B156A}"/>
    <cellStyle name="Currency 5 2 2 4 3 3" xfId="5474" xr:uid="{00000000-0005-0000-0000-0000FA220000}"/>
    <cellStyle name="Currency 5 2 2 4 3 3 2" xfId="22344" xr:uid="{00000000-0005-0000-0000-0000FB220000}"/>
    <cellStyle name="Currency 5 2 2 4 3 3 2 2" xfId="39212" xr:uid="{7722B3FD-415D-4707-A0FF-C34902592BBA}"/>
    <cellStyle name="Currency 5 2 2 4 3 3 3" xfId="13909" xr:uid="{00000000-0005-0000-0000-0000FC220000}"/>
    <cellStyle name="Currency 5 2 2 4 3 3 4" xfId="30778" xr:uid="{139BAF14-3FAB-49BA-ACD8-D4F428C39623}"/>
    <cellStyle name="Currency 5 2 2 4 3 4" xfId="18126" xr:uid="{00000000-0005-0000-0000-0000FD220000}"/>
    <cellStyle name="Currency 5 2 2 4 3 4 2" xfId="34995" xr:uid="{DCAFB4D8-A9F6-41E7-AF06-067001F78576}"/>
    <cellStyle name="Currency 5 2 2 4 3 5" xfId="9691" xr:uid="{00000000-0005-0000-0000-0000FE220000}"/>
    <cellStyle name="Currency 5 2 2 4 3 6" xfId="26561" xr:uid="{897F26D9-FD2D-4EFC-B967-FCC035875F52}"/>
    <cellStyle name="Currency 5 2 2 4 4" xfId="1579" xr:uid="{00000000-0005-0000-0000-0000FF220000}"/>
    <cellStyle name="Currency 5 2 2 4 4 2" xfId="3809" xr:uid="{00000000-0005-0000-0000-000000230000}"/>
    <cellStyle name="Currency 5 2 2 4 4 2 2" xfId="8032" xr:uid="{00000000-0005-0000-0000-000001230000}"/>
    <cellStyle name="Currency 5 2 2 4 4 2 2 2" xfId="24902" xr:uid="{00000000-0005-0000-0000-000002230000}"/>
    <cellStyle name="Currency 5 2 2 4 4 2 2 2 2" xfId="41770" xr:uid="{FE82F663-CBB3-4480-A982-79596A0A9D31}"/>
    <cellStyle name="Currency 5 2 2 4 4 2 2 3" xfId="16467" xr:uid="{00000000-0005-0000-0000-000003230000}"/>
    <cellStyle name="Currency 5 2 2 4 4 2 2 4" xfId="33336" xr:uid="{8F9A43A3-CB4A-406E-AEEC-9C046920B171}"/>
    <cellStyle name="Currency 5 2 2 4 4 2 3" xfId="20684" xr:uid="{00000000-0005-0000-0000-000004230000}"/>
    <cellStyle name="Currency 5 2 2 4 4 2 3 2" xfId="37553" xr:uid="{C825F845-4445-4F0E-AAA9-CC4910C03675}"/>
    <cellStyle name="Currency 5 2 2 4 4 2 4" xfId="12249" xr:uid="{00000000-0005-0000-0000-000005230000}"/>
    <cellStyle name="Currency 5 2 2 4 4 2 5" xfId="29119" xr:uid="{02D46A37-07E4-41DE-A569-1E996EAFDA22}"/>
    <cellStyle name="Currency 5 2 2 4 4 3" xfId="5887" xr:uid="{00000000-0005-0000-0000-000006230000}"/>
    <cellStyle name="Currency 5 2 2 4 4 3 2" xfId="22757" xr:uid="{00000000-0005-0000-0000-000007230000}"/>
    <cellStyle name="Currency 5 2 2 4 4 3 2 2" xfId="39625" xr:uid="{BBA6E352-5546-4F7B-9317-DA2381A1F886}"/>
    <cellStyle name="Currency 5 2 2 4 4 3 3" xfId="14322" xr:uid="{00000000-0005-0000-0000-000008230000}"/>
    <cellStyle name="Currency 5 2 2 4 4 3 4" xfId="31191" xr:uid="{5BDEEF4A-331C-4628-AA27-E91F2A53FC52}"/>
    <cellStyle name="Currency 5 2 2 4 4 4" xfId="18539" xr:uid="{00000000-0005-0000-0000-000009230000}"/>
    <cellStyle name="Currency 5 2 2 4 4 4 2" xfId="35408" xr:uid="{43E86D7A-C7F3-4BC9-A0A8-862542A1F61A}"/>
    <cellStyle name="Currency 5 2 2 4 4 5" xfId="10104" xr:uid="{00000000-0005-0000-0000-00000A230000}"/>
    <cellStyle name="Currency 5 2 2 4 4 6" xfId="26974" xr:uid="{10879F0C-EA5F-4167-9A9A-1D99568504EB}"/>
    <cellStyle name="Currency 5 2 2 4 5" xfId="1993" xr:uid="{00000000-0005-0000-0000-00000B230000}"/>
    <cellStyle name="Currency 5 2 2 4 5 2" xfId="4222" xr:uid="{00000000-0005-0000-0000-00000C230000}"/>
    <cellStyle name="Currency 5 2 2 4 5 2 2" xfId="8445" xr:uid="{00000000-0005-0000-0000-00000D230000}"/>
    <cellStyle name="Currency 5 2 2 4 5 2 2 2" xfId="25315" xr:uid="{00000000-0005-0000-0000-00000E230000}"/>
    <cellStyle name="Currency 5 2 2 4 5 2 2 2 2" xfId="42183" xr:uid="{D3A4F842-58E4-412D-A6AA-CA745A9D03B6}"/>
    <cellStyle name="Currency 5 2 2 4 5 2 2 3" xfId="16880" xr:uid="{00000000-0005-0000-0000-00000F230000}"/>
    <cellStyle name="Currency 5 2 2 4 5 2 2 4" xfId="33749" xr:uid="{497BD517-0DFF-44DB-8302-4DEFC3880D67}"/>
    <cellStyle name="Currency 5 2 2 4 5 2 3" xfId="21097" xr:uid="{00000000-0005-0000-0000-000010230000}"/>
    <cellStyle name="Currency 5 2 2 4 5 2 3 2" xfId="37966" xr:uid="{4EA5C6DA-4C07-4B3A-B994-D5EC25C02A02}"/>
    <cellStyle name="Currency 5 2 2 4 5 2 4" xfId="12662" xr:uid="{00000000-0005-0000-0000-000011230000}"/>
    <cellStyle name="Currency 5 2 2 4 5 2 5" xfId="29532" xr:uid="{4C6A3FC4-B70C-4138-B5DE-8E47BCA69FC5}"/>
    <cellStyle name="Currency 5 2 2 4 5 3" xfId="6300" xr:uid="{00000000-0005-0000-0000-000012230000}"/>
    <cellStyle name="Currency 5 2 2 4 5 3 2" xfId="23170" xr:uid="{00000000-0005-0000-0000-000013230000}"/>
    <cellStyle name="Currency 5 2 2 4 5 3 2 2" xfId="40038" xr:uid="{6CFE8790-46C8-4D7C-B342-8C3CF97A25D0}"/>
    <cellStyle name="Currency 5 2 2 4 5 3 3" xfId="14735" xr:uid="{00000000-0005-0000-0000-000014230000}"/>
    <cellStyle name="Currency 5 2 2 4 5 3 4" xfId="31604" xr:uid="{855010D1-4794-40F3-B8BD-67038325AFBE}"/>
    <cellStyle name="Currency 5 2 2 4 5 4" xfId="18952" xr:uid="{00000000-0005-0000-0000-000015230000}"/>
    <cellStyle name="Currency 5 2 2 4 5 4 2" xfId="35821" xr:uid="{379EB76B-574D-466F-82B0-99E24CC4AEE2}"/>
    <cellStyle name="Currency 5 2 2 4 5 5" xfId="10517" xr:uid="{00000000-0005-0000-0000-000016230000}"/>
    <cellStyle name="Currency 5 2 2 4 5 6" xfId="27387" xr:uid="{3E1080CB-838A-482D-AFFA-220E2508814A}"/>
    <cellStyle name="Currency 5 2 2 4 6" xfId="2428" xr:uid="{00000000-0005-0000-0000-000017230000}"/>
    <cellStyle name="Currency 5 2 2 4 6 2" xfId="6713" xr:uid="{00000000-0005-0000-0000-000018230000}"/>
    <cellStyle name="Currency 5 2 2 4 6 2 2" xfId="23583" xr:uid="{00000000-0005-0000-0000-000019230000}"/>
    <cellStyle name="Currency 5 2 2 4 6 2 2 2" xfId="40451" xr:uid="{9852C1ED-9196-40A5-BB57-8B693465E24C}"/>
    <cellStyle name="Currency 5 2 2 4 6 2 3" xfId="15148" xr:uid="{00000000-0005-0000-0000-00001A230000}"/>
    <cellStyle name="Currency 5 2 2 4 6 2 4" xfId="32017" xr:uid="{820EB18A-E1D7-43ED-A601-DCBE63496DCE}"/>
    <cellStyle name="Currency 5 2 2 4 6 3" xfId="19365" xr:uid="{00000000-0005-0000-0000-00001B230000}"/>
    <cellStyle name="Currency 5 2 2 4 6 3 2" xfId="36234" xr:uid="{E15690B1-53D4-4814-8116-57F079E8F96E}"/>
    <cellStyle name="Currency 5 2 2 4 6 4" xfId="10930" xr:uid="{00000000-0005-0000-0000-00001C230000}"/>
    <cellStyle name="Currency 5 2 2 4 6 5" xfId="27800" xr:uid="{9B2608B4-461C-4021-AEDF-C7867CDC0FD1}"/>
    <cellStyle name="Currency 5 2 2 4 7" xfId="2725" xr:uid="{00000000-0005-0000-0000-00001D230000}"/>
    <cellStyle name="Currency 5 2 2 4 8" xfId="2806" xr:uid="{00000000-0005-0000-0000-00001E230000}"/>
    <cellStyle name="Currency 5 2 2 4 8 2" xfId="7030" xr:uid="{00000000-0005-0000-0000-00001F230000}"/>
    <cellStyle name="Currency 5 2 2 4 8 2 2" xfId="23900" xr:uid="{00000000-0005-0000-0000-000020230000}"/>
    <cellStyle name="Currency 5 2 2 4 8 2 2 2" xfId="40768" xr:uid="{6BF25A50-D1AF-4AF5-A8F9-CAEE5CC0A85B}"/>
    <cellStyle name="Currency 5 2 2 4 8 2 3" xfId="15465" xr:uid="{00000000-0005-0000-0000-000021230000}"/>
    <cellStyle name="Currency 5 2 2 4 8 2 4" xfId="32334" xr:uid="{0DD85C45-170F-4B61-A874-BBFDC0445F17}"/>
    <cellStyle name="Currency 5 2 2 4 8 3" xfId="19682" xr:uid="{00000000-0005-0000-0000-000022230000}"/>
    <cellStyle name="Currency 5 2 2 4 8 3 2" xfId="36551" xr:uid="{E00E4665-C3A6-4D87-BE68-0EDEE1C0F734}"/>
    <cellStyle name="Currency 5 2 2 4 8 4" xfId="11247" xr:uid="{00000000-0005-0000-0000-000023230000}"/>
    <cellStyle name="Currency 5 2 2 4 8 5" xfId="28117" xr:uid="{B32E317E-2884-4606-B2FA-7AFB41F1D503}"/>
    <cellStyle name="Currency 5 2 2 4 9" xfId="4647" xr:uid="{00000000-0005-0000-0000-000024230000}"/>
    <cellStyle name="Currency 5 2 2 4 9 2" xfId="21517" xr:uid="{00000000-0005-0000-0000-000025230000}"/>
    <cellStyle name="Currency 5 2 2 4 9 2 2" xfId="38385" xr:uid="{398BC470-1064-485B-9609-F56843440F34}"/>
    <cellStyle name="Currency 5 2 2 4 9 3" xfId="13082" xr:uid="{00000000-0005-0000-0000-000026230000}"/>
    <cellStyle name="Currency 5 2 2 4 9 4" xfId="29951" xr:uid="{E4A068AE-B68A-42F4-BE5D-D7CF9F718BD7}"/>
    <cellStyle name="Currency 5 2 2 5" xfId="203" xr:uid="{00000000-0005-0000-0000-000027230000}"/>
    <cellStyle name="Currency 5 2 2 5 10" xfId="17300" xr:uid="{00000000-0005-0000-0000-000028230000}"/>
    <cellStyle name="Currency 5 2 2 5 10 2" xfId="34169" xr:uid="{B7D6BCA5-9BB4-4632-AAE0-497C4BC0A039}"/>
    <cellStyle name="Currency 5 2 2 5 11" xfId="8865" xr:uid="{00000000-0005-0000-0000-000029230000}"/>
    <cellStyle name="Currency 5 2 2 5 12" xfId="25735" xr:uid="{E7FE071C-7F1E-480E-8CFF-A1454B514B1F}"/>
    <cellStyle name="Currency 5 2 2 5 2" xfId="730" xr:uid="{00000000-0005-0000-0000-00002A230000}"/>
    <cellStyle name="Currency 5 2 2 5 2 2" xfId="2984" xr:uid="{00000000-0005-0000-0000-00002B230000}"/>
    <cellStyle name="Currency 5 2 2 5 2 2 2" xfId="7207" xr:uid="{00000000-0005-0000-0000-00002C230000}"/>
    <cellStyle name="Currency 5 2 2 5 2 2 2 2" xfId="24077" xr:uid="{00000000-0005-0000-0000-00002D230000}"/>
    <cellStyle name="Currency 5 2 2 5 2 2 2 2 2" xfId="40945" xr:uid="{D181F8B6-47D1-4F2B-9C12-137E7D8BA695}"/>
    <cellStyle name="Currency 5 2 2 5 2 2 2 3" xfId="15642" xr:uid="{00000000-0005-0000-0000-00002E230000}"/>
    <cellStyle name="Currency 5 2 2 5 2 2 2 4" xfId="32511" xr:uid="{D1FA295C-89CA-45D7-80CD-A1FBC8812245}"/>
    <cellStyle name="Currency 5 2 2 5 2 2 3" xfId="19859" xr:uid="{00000000-0005-0000-0000-00002F230000}"/>
    <cellStyle name="Currency 5 2 2 5 2 2 3 2" xfId="36728" xr:uid="{B06E790F-FA55-418F-80FE-DEB28D30865A}"/>
    <cellStyle name="Currency 5 2 2 5 2 2 4" xfId="11424" xr:uid="{00000000-0005-0000-0000-000030230000}"/>
    <cellStyle name="Currency 5 2 2 5 2 2 5" xfId="28294" xr:uid="{2A97F6D4-08F3-4EC3-A697-59EF05CC1685}"/>
    <cellStyle name="Currency 5 2 2 5 2 3" xfId="5062" xr:uid="{00000000-0005-0000-0000-000031230000}"/>
    <cellStyle name="Currency 5 2 2 5 2 3 2" xfId="21932" xr:uid="{00000000-0005-0000-0000-000032230000}"/>
    <cellStyle name="Currency 5 2 2 5 2 3 2 2" xfId="38800" xr:uid="{AB3E9B8D-7FB6-46E9-91C6-FD529C873E33}"/>
    <cellStyle name="Currency 5 2 2 5 2 3 3" xfId="13497" xr:uid="{00000000-0005-0000-0000-000033230000}"/>
    <cellStyle name="Currency 5 2 2 5 2 3 4" xfId="30366" xr:uid="{31A2AA50-6660-4AFA-8957-7EA2A8B81618}"/>
    <cellStyle name="Currency 5 2 2 5 2 4" xfId="17714" xr:uid="{00000000-0005-0000-0000-000034230000}"/>
    <cellStyle name="Currency 5 2 2 5 2 4 2" xfId="34583" xr:uid="{23528709-A8B4-4982-9DC3-631E63341B3C}"/>
    <cellStyle name="Currency 5 2 2 5 2 5" xfId="9279" xr:uid="{00000000-0005-0000-0000-000035230000}"/>
    <cellStyle name="Currency 5 2 2 5 2 6" xfId="26149" xr:uid="{BAEDC693-724E-48E8-B612-2E6B0E6C5771}"/>
    <cellStyle name="Currency 5 2 2 5 3" xfId="1166" xr:uid="{00000000-0005-0000-0000-000036230000}"/>
    <cellStyle name="Currency 5 2 2 5 3 2" xfId="3397" xr:uid="{00000000-0005-0000-0000-000037230000}"/>
    <cellStyle name="Currency 5 2 2 5 3 2 2" xfId="7620" xr:uid="{00000000-0005-0000-0000-000038230000}"/>
    <cellStyle name="Currency 5 2 2 5 3 2 2 2" xfId="24490" xr:uid="{00000000-0005-0000-0000-000039230000}"/>
    <cellStyle name="Currency 5 2 2 5 3 2 2 2 2" xfId="41358" xr:uid="{E5882604-DA32-4059-ACC0-EE3ECDAB883E}"/>
    <cellStyle name="Currency 5 2 2 5 3 2 2 3" xfId="16055" xr:uid="{00000000-0005-0000-0000-00003A230000}"/>
    <cellStyle name="Currency 5 2 2 5 3 2 2 4" xfId="32924" xr:uid="{57214822-D62B-457C-B22F-5E627E3BDD36}"/>
    <cellStyle name="Currency 5 2 2 5 3 2 3" xfId="20272" xr:uid="{00000000-0005-0000-0000-00003B230000}"/>
    <cellStyle name="Currency 5 2 2 5 3 2 3 2" xfId="37141" xr:uid="{CBE97376-529B-481F-BA50-47CCB687F674}"/>
    <cellStyle name="Currency 5 2 2 5 3 2 4" xfId="11837" xr:uid="{00000000-0005-0000-0000-00003C230000}"/>
    <cellStyle name="Currency 5 2 2 5 3 2 5" xfId="28707" xr:uid="{3D9CD2C9-9EB9-44D4-AF71-A961BA7FA9EE}"/>
    <cellStyle name="Currency 5 2 2 5 3 3" xfId="5475" xr:uid="{00000000-0005-0000-0000-00003D230000}"/>
    <cellStyle name="Currency 5 2 2 5 3 3 2" xfId="22345" xr:uid="{00000000-0005-0000-0000-00003E230000}"/>
    <cellStyle name="Currency 5 2 2 5 3 3 2 2" xfId="39213" xr:uid="{28238A8F-CD45-4EC0-9452-094CE6C03634}"/>
    <cellStyle name="Currency 5 2 2 5 3 3 3" xfId="13910" xr:uid="{00000000-0005-0000-0000-00003F230000}"/>
    <cellStyle name="Currency 5 2 2 5 3 3 4" xfId="30779" xr:uid="{51D1F133-C14B-4E2A-9BBF-94627201D2A6}"/>
    <cellStyle name="Currency 5 2 2 5 3 4" xfId="18127" xr:uid="{00000000-0005-0000-0000-000040230000}"/>
    <cellStyle name="Currency 5 2 2 5 3 4 2" xfId="34996" xr:uid="{FEA78C09-BB50-4C58-96EB-1645CDBF9C6C}"/>
    <cellStyle name="Currency 5 2 2 5 3 5" xfId="9692" xr:uid="{00000000-0005-0000-0000-000041230000}"/>
    <cellStyle name="Currency 5 2 2 5 3 6" xfId="26562" xr:uid="{8447A4C4-BA41-40D9-8F25-744DBD0C00B7}"/>
    <cellStyle name="Currency 5 2 2 5 4" xfId="1580" xr:uid="{00000000-0005-0000-0000-000042230000}"/>
    <cellStyle name="Currency 5 2 2 5 4 2" xfId="3810" xr:uid="{00000000-0005-0000-0000-000043230000}"/>
    <cellStyle name="Currency 5 2 2 5 4 2 2" xfId="8033" xr:uid="{00000000-0005-0000-0000-000044230000}"/>
    <cellStyle name="Currency 5 2 2 5 4 2 2 2" xfId="24903" xr:uid="{00000000-0005-0000-0000-000045230000}"/>
    <cellStyle name="Currency 5 2 2 5 4 2 2 2 2" xfId="41771" xr:uid="{90D886C1-3F22-407E-9073-F1BDBF39656D}"/>
    <cellStyle name="Currency 5 2 2 5 4 2 2 3" xfId="16468" xr:uid="{00000000-0005-0000-0000-000046230000}"/>
    <cellStyle name="Currency 5 2 2 5 4 2 2 4" xfId="33337" xr:uid="{C76D9748-7543-40F1-9575-445E7D1BA006}"/>
    <cellStyle name="Currency 5 2 2 5 4 2 3" xfId="20685" xr:uid="{00000000-0005-0000-0000-000047230000}"/>
    <cellStyle name="Currency 5 2 2 5 4 2 3 2" xfId="37554" xr:uid="{3FBDDFB1-7A8E-48E7-ABBD-948A5C559C7D}"/>
    <cellStyle name="Currency 5 2 2 5 4 2 4" xfId="12250" xr:uid="{00000000-0005-0000-0000-000048230000}"/>
    <cellStyle name="Currency 5 2 2 5 4 2 5" xfId="29120" xr:uid="{71F0847B-905B-4AE1-88C0-E2C0F32901F3}"/>
    <cellStyle name="Currency 5 2 2 5 4 3" xfId="5888" xr:uid="{00000000-0005-0000-0000-000049230000}"/>
    <cellStyle name="Currency 5 2 2 5 4 3 2" xfId="22758" xr:uid="{00000000-0005-0000-0000-00004A230000}"/>
    <cellStyle name="Currency 5 2 2 5 4 3 2 2" xfId="39626" xr:uid="{CBE6488A-0367-4A05-ACF0-E7650FE220BA}"/>
    <cellStyle name="Currency 5 2 2 5 4 3 3" xfId="14323" xr:uid="{00000000-0005-0000-0000-00004B230000}"/>
    <cellStyle name="Currency 5 2 2 5 4 3 4" xfId="31192" xr:uid="{DE482615-F2A5-4B60-AC1D-7F774B1823C5}"/>
    <cellStyle name="Currency 5 2 2 5 4 4" xfId="18540" xr:uid="{00000000-0005-0000-0000-00004C230000}"/>
    <cellStyle name="Currency 5 2 2 5 4 4 2" xfId="35409" xr:uid="{BEAFD74A-7F15-47A3-826C-98F341BFB631}"/>
    <cellStyle name="Currency 5 2 2 5 4 5" xfId="10105" xr:uid="{00000000-0005-0000-0000-00004D230000}"/>
    <cellStyle name="Currency 5 2 2 5 4 6" xfId="26975" xr:uid="{4C8655BF-19BE-4DCD-B4CB-3827813A2FBC}"/>
    <cellStyle name="Currency 5 2 2 5 5" xfId="1994" xr:uid="{00000000-0005-0000-0000-00004E230000}"/>
    <cellStyle name="Currency 5 2 2 5 5 2" xfId="4223" xr:uid="{00000000-0005-0000-0000-00004F230000}"/>
    <cellStyle name="Currency 5 2 2 5 5 2 2" xfId="8446" xr:uid="{00000000-0005-0000-0000-000050230000}"/>
    <cellStyle name="Currency 5 2 2 5 5 2 2 2" xfId="25316" xr:uid="{00000000-0005-0000-0000-000051230000}"/>
    <cellStyle name="Currency 5 2 2 5 5 2 2 2 2" xfId="42184" xr:uid="{032539DA-21B2-4BD5-80E2-5213DAD58C9F}"/>
    <cellStyle name="Currency 5 2 2 5 5 2 2 3" xfId="16881" xr:uid="{00000000-0005-0000-0000-000052230000}"/>
    <cellStyle name="Currency 5 2 2 5 5 2 2 4" xfId="33750" xr:uid="{E874DBCA-2E7E-4A0C-9F6C-0B9469FFB091}"/>
    <cellStyle name="Currency 5 2 2 5 5 2 3" xfId="21098" xr:uid="{00000000-0005-0000-0000-000053230000}"/>
    <cellStyle name="Currency 5 2 2 5 5 2 3 2" xfId="37967" xr:uid="{5590FD61-BE33-4635-90C5-C172EB85643C}"/>
    <cellStyle name="Currency 5 2 2 5 5 2 4" xfId="12663" xr:uid="{00000000-0005-0000-0000-000054230000}"/>
    <cellStyle name="Currency 5 2 2 5 5 2 5" xfId="29533" xr:uid="{E75FC7B1-C735-4DC0-932A-FAE4656550F4}"/>
    <cellStyle name="Currency 5 2 2 5 5 3" xfId="6301" xr:uid="{00000000-0005-0000-0000-000055230000}"/>
    <cellStyle name="Currency 5 2 2 5 5 3 2" xfId="23171" xr:uid="{00000000-0005-0000-0000-000056230000}"/>
    <cellStyle name="Currency 5 2 2 5 5 3 2 2" xfId="40039" xr:uid="{167FF68C-F3F1-4C1D-94E8-0BA2A128E388}"/>
    <cellStyle name="Currency 5 2 2 5 5 3 3" xfId="14736" xr:uid="{00000000-0005-0000-0000-000057230000}"/>
    <cellStyle name="Currency 5 2 2 5 5 3 4" xfId="31605" xr:uid="{99A405E1-5910-44CA-853F-5746580E7092}"/>
    <cellStyle name="Currency 5 2 2 5 5 4" xfId="18953" xr:uid="{00000000-0005-0000-0000-000058230000}"/>
    <cellStyle name="Currency 5 2 2 5 5 4 2" xfId="35822" xr:uid="{175F5AE0-1AD0-4F25-9CED-7B07F5FD785B}"/>
    <cellStyle name="Currency 5 2 2 5 5 5" xfId="10518" xr:uid="{00000000-0005-0000-0000-000059230000}"/>
    <cellStyle name="Currency 5 2 2 5 5 6" xfId="27388" xr:uid="{345D5DBA-5A6E-4B02-9066-8D5FD1D2C66C}"/>
    <cellStyle name="Currency 5 2 2 5 6" xfId="2429" xr:uid="{00000000-0005-0000-0000-00005A230000}"/>
    <cellStyle name="Currency 5 2 2 5 6 2" xfId="6714" xr:uid="{00000000-0005-0000-0000-00005B230000}"/>
    <cellStyle name="Currency 5 2 2 5 6 2 2" xfId="23584" xr:uid="{00000000-0005-0000-0000-00005C230000}"/>
    <cellStyle name="Currency 5 2 2 5 6 2 2 2" xfId="40452" xr:uid="{EEA80B5F-C3F8-4BA0-9D4B-A1A1CFCED733}"/>
    <cellStyle name="Currency 5 2 2 5 6 2 3" xfId="15149" xr:uid="{00000000-0005-0000-0000-00005D230000}"/>
    <cellStyle name="Currency 5 2 2 5 6 2 4" xfId="32018" xr:uid="{674362FB-B115-47D5-BD7B-64A310B17426}"/>
    <cellStyle name="Currency 5 2 2 5 6 3" xfId="19366" xr:uid="{00000000-0005-0000-0000-00005E230000}"/>
    <cellStyle name="Currency 5 2 2 5 6 3 2" xfId="36235" xr:uid="{B12F8014-241B-4BC6-8D3D-87FF6B27791E}"/>
    <cellStyle name="Currency 5 2 2 5 6 4" xfId="10931" xr:uid="{00000000-0005-0000-0000-00005F230000}"/>
    <cellStyle name="Currency 5 2 2 5 6 5" xfId="27801" xr:uid="{4EA02E26-54E0-46E5-97D1-63A5682A9066}"/>
    <cellStyle name="Currency 5 2 2 5 7" xfId="2726" xr:uid="{00000000-0005-0000-0000-000060230000}"/>
    <cellStyle name="Currency 5 2 2 5 8" xfId="2807" xr:uid="{00000000-0005-0000-0000-000061230000}"/>
    <cellStyle name="Currency 5 2 2 5 8 2" xfId="7031" xr:uid="{00000000-0005-0000-0000-000062230000}"/>
    <cellStyle name="Currency 5 2 2 5 8 2 2" xfId="23901" xr:uid="{00000000-0005-0000-0000-000063230000}"/>
    <cellStyle name="Currency 5 2 2 5 8 2 2 2" xfId="40769" xr:uid="{2EE0E2CB-2083-443D-9289-16B027DAB6E6}"/>
    <cellStyle name="Currency 5 2 2 5 8 2 3" xfId="15466" xr:uid="{00000000-0005-0000-0000-000064230000}"/>
    <cellStyle name="Currency 5 2 2 5 8 2 4" xfId="32335" xr:uid="{2C72B8A1-B2E2-46F3-8EAB-B35FC12442E6}"/>
    <cellStyle name="Currency 5 2 2 5 8 3" xfId="19683" xr:uid="{00000000-0005-0000-0000-000065230000}"/>
    <cellStyle name="Currency 5 2 2 5 8 3 2" xfId="36552" xr:uid="{4261A4B9-7AE9-44BC-838F-20B925EAC3C5}"/>
    <cellStyle name="Currency 5 2 2 5 8 4" xfId="11248" xr:uid="{00000000-0005-0000-0000-000066230000}"/>
    <cellStyle name="Currency 5 2 2 5 8 5" xfId="28118" xr:uid="{592E9520-D575-4107-8C31-C4C8CA468701}"/>
    <cellStyle name="Currency 5 2 2 5 9" xfId="4648" xr:uid="{00000000-0005-0000-0000-000067230000}"/>
    <cellStyle name="Currency 5 2 2 5 9 2" xfId="21518" xr:uid="{00000000-0005-0000-0000-000068230000}"/>
    <cellStyle name="Currency 5 2 2 5 9 2 2" xfId="38386" xr:uid="{E6D001F4-AF70-4C3B-A665-A9756D01DF68}"/>
    <cellStyle name="Currency 5 2 2 5 9 3" xfId="13083" xr:uid="{00000000-0005-0000-0000-000069230000}"/>
    <cellStyle name="Currency 5 2 2 5 9 4" xfId="29952" xr:uid="{44CEB1CF-12B6-4813-9129-1DD318B153A9}"/>
    <cellStyle name="Currency 5 2 3" xfId="204" xr:uid="{00000000-0005-0000-0000-00006A230000}"/>
    <cellStyle name="Currency 5 2 3 2" xfId="731" xr:uid="{00000000-0005-0000-0000-00006B230000}"/>
    <cellStyle name="Currency 5 2 4" xfId="205" xr:uid="{00000000-0005-0000-0000-00006C230000}"/>
    <cellStyle name="Currency 5 2 4 10" xfId="4649" xr:uid="{00000000-0005-0000-0000-00006D230000}"/>
    <cellStyle name="Currency 5 2 4 10 2" xfId="21519" xr:uid="{00000000-0005-0000-0000-00006E230000}"/>
    <cellStyle name="Currency 5 2 4 10 2 2" xfId="38387" xr:uid="{A04F307A-FE66-4070-91C6-79DFD3C69800}"/>
    <cellStyle name="Currency 5 2 4 10 3" xfId="13084" xr:uid="{00000000-0005-0000-0000-00006F230000}"/>
    <cellStyle name="Currency 5 2 4 10 4" xfId="29953" xr:uid="{0B1D3FC3-EA6C-46DA-8C57-AC57E3FAA9EA}"/>
    <cellStyle name="Currency 5 2 4 11" xfId="17301" xr:uid="{00000000-0005-0000-0000-000070230000}"/>
    <cellStyle name="Currency 5 2 4 11 2" xfId="34170" xr:uid="{AC9E92F2-CBBE-4A98-9A73-14AAA5927CAC}"/>
    <cellStyle name="Currency 5 2 4 12" xfId="8866" xr:uid="{00000000-0005-0000-0000-000071230000}"/>
    <cellStyle name="Currency 5 2 4 13" xfId="25736" xr:uid="{F4F588D1-0640-4DC3-BB09-C10C0D52ED1E}"/>
    <cellStyle name="Currency 5 2 4 2" xfId="206" xr:uid="{00000000-0005-0000-0000-000072230000}"/>
    <cellStyle name="Currency 5 2 4 2 10" xfId="17302" xr:uid="{00000000-0005-0000-0000-000073230000}"/>
    <cellStyle name="Currency 5 2 4 2 10 2" xfId="34171" xr:uid="{2CB8FCE1-209E-4E81-8997-484E11D5AFA4}"/>
    <cellStyle name="Currency 5 2 4 2 11" xfId="8867" xr:uid="{00000000-0005-0000-0000-000074230000}"/>
    <cellStyle name="Currency 5 2 4 2 12" xfId="25737" xr:uid="{96215E34-3AEF-4AF3-95A7-297ED7ED8338}"/>
    <cellStyle name="Currency 5 2 4 2 2" xfId="733" xr:uid="{00000000-0005-0000-0000-000075230000}"/>
    <cellStyle name="Currency 5 2 4 2 2 2" xfId="2986" xr:uid="{00000000-0005-0000-0000-000076230000}"/>
    <cellStyle name="Currency 5 2 4 2 2 2 2" xfId="7209" xr:uid="{00000000-0005-0000-0000-000077230000}"/>
    <cellStyle name="Currency 5 2 4 2 2 2 2 2" xfId="24079" xr:uid="{00000000-0005-0000-0000-000078230000}"/>
    <cellStyle name="Currency 5 2 4 2 2 2 2 2 2" xfId="40947" xr:uid="{BDD90074-E28B-40EA-A9BA-2953F6C1104A}"/>
    <cellStyle name="Currency 5 2 4 2 2 2 2 3" xfId="15644" xr:uid="{00000000-0005-0000-0000-000079230000}"/>
    <cellStyle name="Currency 5 2 4 2 2 2 2 4" xfId="32513" xr:uid="{2A2559F4-DCAD-4AC6-B3AA-159F92070787}"/>
    <cellStyle name="Currency 5 2 4 2 2 2 3" xfId="19861" xr:uid="{00000000-0005-0000-0000-00007A230000}"/>
    <cellStyle name="Currency 5 2 4 2 2 2 3 2" xfId="36730" xr:uid="{B85A48AB-9D8B-4463-AA74-00921487EAA4}"/>
    <cellStyle name="Currency 5 2 4 2 2 2 4" xfId="11426" xr:uid="{00000000-0005-0000-0000-00007B230000}"/>
    <cellStyle name="Currency 5 2 4 2 2 2 5" xfId="28296" xr:uid="{7E676C42-02C3-42FA-9529-718A78368E8F}"/>
    <cellStyle name="Currency 5 2 4 2 2 3" xfId="5064" xr:uid="{00000000-0005-0000-0000-00007C230000}"/>
    <cellStyle name="Currency 5 2 4 2 2 3 2" xfId="21934" xr:uid="{00000000-0005-0000-0000-00007D230000}"/>
    <cellStyle name="Currency 5 2 4 2 2 3 2 2" xfId="38802" xr:uid="{110A9996-F0F9-4DE8-BFFC-DD94B75E7EBF}"/>
    <cellStyle name="Currency 5 2 4 2 2 3 3" xfId="13499" xr:uid="{00000000-0005-0000-0000-00007E230000}"/>
    <cellStyle name="Currency 5 2 4 2 2 3 4" xfId="30368" xr:uid="{EDB62375-FA73-4F52-9D6E-C29F965AECAC}"/>
    <cellStyle name="Currency 5 2 4 2 2 4" xfId="17716" xr:uid="{00000000-0005-0000-0000-00007F230000}"/>
    <cellStyle name="Currency 5 2 4 2 2 4 2" xfId="34585" xr:uid="{3CCEE028-7970-4BCF-920C-7BE96084C91B}"/>
    <cellStyle name="Currency 5 2 4 2 2 5" xfId="9281" xr:uid="{00000000-0005-0000-0000-000080230000}"/>
    <cellStyle name="Currency 5 2 4 2 2 6" xfId="26151" xr:uid="{2FF7D8C1-C228-44C4-BD29-8C93E0F21C0E}"/>
    <cellStyle name="Currency 5 2 4 2 3" xfId="1168" xr:uid="{00000000-0005-0000-0000-000081230000}"/>
    <cellStyle name="Currency 5 2 4 2 3 2" xfId="3399" xr:uid="{00000000-0005-0000-0000-000082230000}"/>
    <cellStyle name="Currency 5 2 4 2 3 2 2" xfId="7622" xr:uid="{00000000-0005-0000-0000-000083230000}"/>
    <cellStyle name="Currency 5 2 4 2 3 2 2 2" xfId="24492" xr:uid="{00000000-0005-0000-0000-000084230000}"/>
    <cellStyle name="Currency 5 2 4 2 3 2 2 2 2" xfId="41360" xr:uid="{2C3AEB10-5945-4AA7-A203-C7BF22055EAD}"/>
    <cellStyle name="Currency 5 2 4 2 3 2 2 3" xfId="16057" xr:uid="{00000000-0005-0000-0000-000085230000}"/>
    <cellStyle name="Currency 5 2 4 2 3 2 2 4" xfId="32926" xr:uid="{CF8EC195-98DE-4F65-B3B2-3F1EBF706B4B}"/>
    <cellStyle name="Currency 5 2 4 2 3 2 3" xfId="20274" xr:uid="{00000000-0005-0000-0000-000086230000}"/>
    <cellStyle name="Currency 5 2 4 2 3 2 3 2" xfId="37143" xr:uid="{5A1FE3B8-BB54-4B31-B01A-F04B87EB7784}"/>
    <cellStyle name="Currency 5 2 4 2 3 2 4" xfId="11839" xr:uid="{00000000-0005-0000-0000-000087230000}"/>
    <cellStyle name="Currency 5 2 4 2 3 2 5" xfId="28709" xr:uid="{BE6CF18A-2DF3-4303-9E48-9AE8885DD9B8}"/>
    <cellStyle name="Currency 5 2 4 2 3 3" xfId="5477" xr:uid="{00000000-0005-0000-0000-000088230000}"/>
    <cellStyle name="Currency 5 2 4 2 3 3 2" xfId="22347" xr:uid="{00000000-0005-0000-0000-000089230000}"/>
    <cellStyle name="Currency 5 2 4 2 3 3 2 2" xfId="39215" xr:uid="{3B950F38-4A1B-40AC-AB87-9D7A2757FB3D}"/>
    <cellStyle name="Currency 5 2 4 2 3 3 3" xfId="13912" xr:uid="{00000000-0005-0000-0000-00008A230000}"/>
    <cellStyle name="Currency 5 2 4 2 3 3 4" xfId="30781" xr:uid="{6E836D5A-E166-41F8-B658-38133F1380ED}"/>
    <cellStyle name="Currency 5 2 4 2 3 4" xfId="18129" xr:uid="{00000000-0005-0000-0000-00008B230000}"/>
    <cellStyle name="Currency 5 2 4 2 3 4 2" xfId="34998" xr:uid="{0AA01192-5B2A-435B-BEC7-7E402AA2AFD1}"/>
    <cellStyle name="Currency 5 2 4 2 3 5" xfId="9694" xr:uid="{00000000-0005-0000-0000-00008C230000}"/>
    <cellStyle name="Currency 5 2 4 2 3 6" xfId="26564" xr:uid="{1F613B7E-D6E0-40DB-A30A-C54F8D067A49}"/>
    <cellStyle name="Currency 5 2 4 2 4" xfId="1582" xr:uid="{00000000-0005-0000-0000-00008D230000}"/>
    <cellStyle name="Currency 5 2 4 2 4 2" xfId="3812" xr:uid="{00000000-0005-0000-0000-00008E230000}"/>
    <cellStyle name="Currency 5 2 4 2 4 2 2" xfId="8035" xr:uid="{00000000-0005-0000-0000-00008F230000}"/>
    <cellStyle name="Currency 5 2 4 2 4 2 2 2" xfId="24905" xr:uid="{00000000-0005-0000-0000-000090230000}"/>
    <cellStyle name="Currency 5 2 4 2 4 2 2 2 2" xfId="41773" xr:uid="{CC155DEF-5C44-4BF1-9643-9ADB7207A01F}"/>
    <cellStyle name="Currency 5 2 4 2 4 2 2 3" xfId="16470" xr:uid="{00000000-0005-0000-0000-000091230000}"/>
    <cellStyle name="Currency 5 2 4 2 4 2 2 4" xfId="33339" xr:uid="{14437A23-61D2-4B42-A5C0-EC7B6513F26B}"/>
    <cellStyle name="Currency 5 2 4 2 4 2 3" xfId="20687" xr:uid="{00000000-0005-0000-0000-000092230000}"/>
    <cellStyle name="Currency 5 2 4 2 4 2 3 2" xfId="37556" xr:uid="{E6D0C421-509F-49A0-9EE6-8075AE7FC5BF}"/>
    <cellStyle name="Currency 5 2 4 2 4 2 4" xfId="12252" xr:uid="{00000000-0005-0000-0000-000093230000}"/>
    <cellStyle name="Currency 5 2 4 2 4 2 5" xfId="29122" xr:uid="{30FA1162-2A5D-4097-8424-09728EB1E158}"/>
    <cellStyle name="Currency 5 2 4 2 4 3" xfId="5890" xr:uid="{00000000-0005-0000-0000-000094230000}"/>
    <cellStyle name="Currency 5 2 4 2 4 3 2" xfId="22760" xr:uid="{00000000-0005-0000-0000-000095230000}"/>
    <cellStyle name="Currency 5 2 4 2 4 3 2 2" xfId="39628" xr:uid="{41E3EAA4-FA3A-4230-8D8E-A977055A5222}"/>
    <cellStyle name="Currency 5 2 4 2 4 3 3" xfId="14325" xr:uid="{00000000-0005-0000-0000-000096230000}"/>
    <cellStyle name="Currency 5 2 4 2 4 3 4" xfId="31194" xr:uid="{3A66ED31-8169-4D2B-A5A9-CF7341ED1D77}"/>
    <cellStyle name="Currency 5 2 4 2 4 4" xfId="18542" xr:uid="{00000000-0005-0000-0000-000097230000}"/>
    <cellStyle name="Currency 5 2 4 2 4 4 2" xfId="35411" xr:uid="{0074E933-5FC8-4462-A088-36768C2A3519}"/>
    <cellStyle name="Currency 5 2 4 2 4 5" xfId="10107" xr:uid="{00000000-0005-0000-0000-000098230000}"/>
    <cellStyle name="Currency 5 2 4 2 4 6" xfId="26977" xr:uid="{826D9C06-15B0-41AB-AEAA-A755F742FE79}"/>
    <cellStyle name="Currency 5 2 4 2 5" xfId="1996" xr:uid="{00000000-0005-0000-0000-000099230000}"/>
    <cellStyle name="Currency 5 2 4 2 5 2" xfId="4225" xr:uid="{00000000-0005-0000-0000-00009A230000}"/>
    <cellStyle name="Currency 5 2 4 2 5 2 2" xfId="8448" xr:uid="{00000000-0005-0000-0000-00009B230000}"/>
    <cellStyle name="Currency 5 2 4 2 5 2 2 2" xfId="25318" xr:uid="{00000000-0005-0000-0000-00009C230000}"/>
    <cellStyle name="Currency 5 2 4 2 5 2 2 2 2" xfId="42186" xr:uid="{F7979F6D-7577-4A18-8F93-0AD3C3F311CA}"/>
    <cellStyle name="Currency 5 2 4 2 5 2 2 3" xfId="16883" xr:uid="{00000000-0005-0000-0000-00009D230000}"/>
    <cellStyle name="Currency 5 2 4 2 5 2 2 4" xfId="33752" xr:uid="{65A265AF-4C61-4DA2-9A64-1286D4C3ED94}"/>
    <cellStyle name="Currency 5 2 4 2 5 2 3" xfId="21100" xr:uid="{00000000-0005-0000-0000-00009E230000}"/>
    <cellStyle name="Currency 5 2 4 2 5 2 3 2" xfId="37969" xr:uid="{6B040C21-874F-4427-A2C5-7B40D2594664}"/>
    <cellStyle name="Currency 5 2 4 2 5 2 4" xfId="12665" xr:uid="{00000000-0005-0000-0000-00009F230000}"/>
    <cellStyle name="Currency 5 2 4 2 5 2 5" xfId="29535" xr:uid="{3D5CB478-1931-492C-B3DA-006D4C061879}"/>
    <cellStyle name="Currency 5 2 4 2 5 3" xfId="6303" xr:uid="{00000000-0005-0000-0000-0000A0230000}"/>
    <cellStyle name="Currency 5 2 4 2 5 3 2" xfId="23173" xr:uid="{00000000-0005-0000-0000-0000A1230000}"/>
    <cellStyle name="Currency 5 2 4 2 5 3 2 2" xfId="40041" xr:uid="{BA7AB6A9-0F3D-4C70-8B87-05B6062B546B}"/>
    <cellStyle name="Currency 5 2 4 2 5 3 3" xfId="14738" xr:uid="{00000000-0005-0000-0000-0000A2230000}"/>
    <cellStyle name="Currency 5 2 4 2 5 3 4" xfId="31607" xr:uid="{D5342C25-387A-4D07-B7B0-24E537EABF61}"/>
    <cellStyle name="Currency 5 2 4 2 5 4" xfId="18955" xr:uid="{00000000-0005-0000-0000-0000A3230000}"/>
    <cellStyle name="Currency 5 2 4 2 5 4 2" xfId="35824" xr:uid="{7E1AB718-E5DB-491B-B35F-5B5CFA28BFC2}"/>
    <cellStyle name="Currency 5 2 4 2 5 5" xfId="10520" xr:uid="{00000000-0005-0000-0000-0000A4230000}"/>
    <cellStyle name="Currency 5 2 4 2 5 6" xfId="27390" xr:uid="{C1E02A14-5C2E-4EB1-B772-8BF00319A305}"/>
    <cellStyle name="Currency 5 2 4 2 6" xfId="2431" xr:uid="{00000000-0005-0000-0000-0000A5230000}"/>
    <cellStyle name="Currency 5 2 4 2 6 2" xfId="6716" xr:uid="{00000000-0005-0000-0000-0000A6230000}"/>
    <cellStyle name="Currency 5 2 4 2 6 2 2" xfId="23586" xr:uid="{00000000-0005-0000-0000-0000A7230000}"/>
    <cellStyle name="Currency 5 2 4 2 6 2 2 2" xfId="40454" xr:uid="{32E98136-BB54-49E4-838D-AB4D0D4998A7}"/>
    <cellStyle name="Currency 5 2 4 2 6 2 3" xfId="15151" xr:uid="{00000000-0005-0000-0000-0000A8230000}"/>
    <cellStyle name="Currency 5 2 4 2 6 2 4" xfId="32020" xr:uid="{61E6081E-E019-4111-9AE8-F8BEAEB0A83E}"/>
    <cellStyle name="Currency 5 2 4 2 6 3" xfId="19368" xr:uid="{00000000-0005-0000-0000-0000A9230000}"/>
    <cellStyle name="Currency 5 2 4 2 6 3 2" xfId="36237" xr:uid="{84D967AC-3FFC-4DD1-A2EB-5459A512F0A5}"/>
    <cellStyle name="Currency 5 2 4 2 6 4" xfId="10933" xr:uid="{00000000-0005-0000-0000-0000AA230000}"/>
    <cellStyle name="Currency 5 2 4 2 6 5" xfId="27803" xr:uid="{2ACF9019-0057-4427-BDBF-27C83BBE581B}"/>
    <cellStyle name="Currency 5 2 4 2 7" xfId="2728" xr:uid="{00000000-0005-0000-0000-0000AB230000}"/>
    <cellStyle name="Currency 5 2 4 2 8" xfId="2809" xr:uid="{00000000-0005-0000-0000-0000AC230000}"/>
    <cellStyle name="Currency 5 2 4 2 8 2" xfId="7033" xr:uid="{00000000-0005-0000-0000-0000AD230000}"/>
    <cellStyle name="Currency 5 2 4 2 8 2 2" xfId="23903" xr:uid="{00000000-0005-0000-0000-0000AE230000}"/>
    <cellStyle name="Currency 5 2 4 2 8 2 2 2" xfId="40771" xr:uid="{AA2A8381-F553-4647-983A-F254F6BC478D}"/>
    <cellStyle name="Currency 5 2 4 2 8 2 3" xfId="15468" xr:uid="{00000000-0005-0000-0000-0000AF230000}"/>
    <cellStyle name="Currency 5 2 4 2 8 2 4" xfId="32337" xr:uid="{20923F7D-5FF4-4E24-B414-8A33B119E131}"/>
    <cellStyle name="Currency 5 2 4 2 8 3" xfId="19685" xr:uid="{00000000-0005-0000-0000-0000B0230000}"/>
    <cellStyle name="Currency 5 2 4 2 8 3 2" xfId="36554" xr:uid="{426C5BAA-BFEC-4928-8447-72BE3980B7F7}"/>
    <cellStyle name="Currency 5 2 4 2 8 4" xfId="11250" xr:uid="{00000000-0005-0000-0000-0000B1230000}"/>
    <cellStyle name="Currency 5 2 4 2 8 5" xfId="28120" xr:uid="{9A3CFE76-5DA8-4E67-8F04-18FDBCDE2A8C}"/>
    <cellStyle name="Currency 5 2 4 2 9" xfId="4650" xr:uid="{00000000-0005-0000-0000-0000B2230000}"/>
    <cellStyle name="Currency 5 2 4 2 9 2" xfId="21520" xr:uid="{00000000-0005-0000-0000-0000B3230000}"/>
    <cellStyle name="Currency 5 2 4 2 9 2 2" xfId="38388" xr:uid="{1A7BF1B1-7072-4C36-9EA9-9377CD713B03}"/>
    <cellStyle name="Currency 5 2 4 2 9 3" xfId="13085" xr:uid="{00000000-0005-0000-0000-0000B4230000}"/>
    <cellStyle name="Currency 5 2 4 2 9 4" xfId="29954" xr:uid="{2D614057-8216-4941-8AB5-A1DEA660FDB3}"/>
    <cellStyle name="Currency 5 2 4 3" xfId="732" xr:uid="{00000000-0005-0000-0000-0000B5230000}"/>
    <cellStyle name="Currency 5 2 4 3 2" xfId="2985" xr:uid="{00000000-0005-0000-0000-0000B6230000}"/>
    <cellStyle name="Currency 5 2 4 3 2 2" xfId="7208" xr:uid="{00000000-0005-0000-0000-0000B7230000}"/>
    <cellStyle name="Currency 5 2 4 3 2 2 2" xfId="24078" xr:uid="{00000000-0005-0000-0000-0000B8230000}"/>
    <cellStyle name="Currency 5 2 4 3 2 2 2 2" xfId="40946" xr:uid="{3A98E406-B446-4E22-874E-FE53B62DB2A3}"/>
    <cellStyle name="Currency 5 2 4 3 2 2 3" xfId="15643" xr:uid="{00000000-0005-0000-0000-0000B9230000}"/>
    <cellStyle name="Currency 5 2 4 3 2 2 4" xfId="32512" xr:uid="{46CDA521-7F31-4EA6-962C-1516EEB8AF3F}"/>
    <cellStyle name="Currency 5 2 4 3 2 3" xfId="19860" xr:uid="{00000000-0005-0000-0000-0000BA230000}"/>
    <cellStyle name="Currency 5 2 4 3 2 3 2" xfId="36729" xr:uid="{029337EC-2F5C-4B52-9654-030062F8922F}"/>
    <cellStyle name="Currency 5 2 4 3 2 4" xfId="11425" xr:uid="{00000000-0005-0000-0000-0000BB230000}"/>
    <cellStyle name="Currency 5 2 4 3 2 5" xfId="28295" xr:uid="{7C2F8F13-7996-4E79-B440-C1DB76345505}"/>
    <cellStyle name="Currency 5 2 4 3 3" xfId="5063" xr:uid="{00000000-0005-0000-0000-0000BC230000}"/>
    <cellStyle name="Currency 5 2 4 3 3 2" xfId="21933" xr:uid="{00000000-0005-0000-0000-0000BD230000}"/>
    <cellStyle name="Currency 5 2 4 3 3 2 2" xfId="38801" xr:uid="{F8DF09ED-95AA-4E14-A6C5-B391CA868792}"/>
    <cellStyle name="Currency 5 2 4 3 3 3" xfId="13498" xr:uid="{00000000-0005-0000-0000-0000BE230000}"/>
    <cellStyle name="Currency 5 2 4 3 3 4" xfId="30367" xr:uid="{972745EF-777A-47F1-9212-4E0EB3289FAA}"/>
    <cellStyle name="Currency 5 2 4 3 4" xfId="17715" xr:uid="{00000000-0005-0000-0000-0000BF230000}"/>
    <cellStyle name="Currency 5 2 4 3 4 2" xfId="34584" xr:uid="{4EBF7C78-FCE8-4630-8D99-88ED8857B165}"/>
    <cellStyle name="Currency 5 2 4 3 5" xfId="9280" xr:uid="{00000000-0005-0000-0000-0000C0230000}"/>
    <cellStyle name="Currency 5 2 4 3 6" xfId="26150" xr:uid="{F6D16B56-4D7C-4209-8CF7-79CE80916B6D}"/>
    <cellStyle name="Currency 5 2 4 4" xfId="1167" xr:uid="{00000000-0005-0000-0000-0000C1230000}"/>
    <cellStyle name="Currency 5 2 4 4 2" xfId="3398" xr:uid="{00000000-0005-0000-0000-0000C2230000}"/>
    <cellStyle name="Currency 5 2 4 4 2 2" xfId="7621" xr:uid="{00000000-0005-0000-0000-0000C3230000}"/>
    <cellStyle name="Currency 5 2 4 4 2 2 2" xfId="24491" xr:uid="{00000000-0005-0000-0000-0000C4230000}"/>
    <cellStyle name="Currency 5 2 4 4 2 2 2 2" xfId="41359" xr:uid="{234FE635-DB05-46AE-BDFD-D244BEC49324}"/>
    <cellStyle name="Currency 5 2 4 4 2 2 3" xfId="16056" xr:uid="{00000000-0005-0000-0000-0000C5230000}"/>
    <cellStyle name="Currency 5 2 4 4 2 2 4" xfId="32925" xr:uid="{55C30266-1F69-4A96-96BC-233DA9DB3A2A}"/>
    <cellStyle name="Currency 5 2 4 4 2 3" xfId="20273" xr:uid="{00000000-0005-0000-0000-0000C6230000}"/>
    <cellStyle name="Currency 5 2 4 4 2 3 2" xfId="37142" xr:uid="{A1B92954-7E01-49C8-8463-C43B95C1608E}"/>
    <cellStyle name="Currency 5 2 4 4 2 4" xfId="11838" xr:uid="{00000000-0005-0000-0000-0000C7230000}"/>
    <cellStyle name="Currency 5 2 4 4 2 5" xfId="28708" xr:uid="{3E9A3E42-B48E-43E3-81C0-B83BA460955E}"/>
    <cellStyle name="Currency 5 2 4 4 3" xfId="5476" xr:uid="{00000000-0005-0000-0000-0000C8230000}"/>
    <cellStyle name="Currency 5 2 4 4 3 2" xfId="22346" xr:uid="{00000000-0005-0000-0000-0000C9230000}"/>
    <cellStyle name="Currency 5 2 4 4 3 2 2" xfId="39214" xr:uid="{4CE2BC44-23F7-47BC-BBA9-F8DC8527B692}"/>
    <cellStyle name="Currency 5 2 4 4 3 3" xfId="13911" xr:uid="{00000000-0005-0000-0000-0000CA230000}"/>
    <cellStyle name="Currency 5 2 4 4 3 4" xfId="30780" xr:uid="{717F9830-0F16-4F93-9CC2-5D84AA559702}"/>
    <cellStyle name="Currency 5 2 4 4 4" xfId="18128" xr:uid="{00000000-0005-0000-0000-0000CB230000}"/>
    <cellStyle name="Currency 5 2 4 4 4 2" xfId="34997" xr:uid="{9F0B131C-DCDD-432F-9761-915F714F313A}"/>
    <cellStyle name="Currency 5 2 4 4 5" xfId="9693" xr:uid="{00000000-0005-0000-0000-0000CC230000}"/>
    <cellStyle name="Currency 5 2 4 4 6" xfId="26563" xr:uid="{FE887A13-AFB5-4591-AF87-3445152B9C98}"/>
    <cellStyle name="Currency 5 2 4 5" xfId="1581" xr:uid="{00000000-0005-0000-0000-0000CD230000}"/>
    <cellStyle name="Currency 5 2 4 5 2" xfId="3811" xr:uid="{00000000-0005-0000-0000-0000CE230000}"/>
    <cellStyle name="Currency 5 2 4 5 2 2" xfId="8034" xr:uid="{00000000-0005-0000-0000-0000CF230000}"/>
    <cellStyle name="Currency 5 2 4 5 2 2 2" xfId="24904" xr:uid="{00000000-0005-0000-0000-0000D0230000}"/>
    <cellStyle name="Currency 5 2 4 5 2 2 2 2" xfId="41772" xr:uid="{ABE4FEF3-FABA-4532-85F4-6CFF59AEC48E}"/>
    <cellStyle name="Currency 5 2 4 5 2 2 3" xfId="16469" xr:uid="{00000000-0005-0000-0000-0000D1230000}"/>
    <cellStyle name="Currency 5 2 4 5 2 2 4" xfId="33338" xr:uid="{BE2616D5-2821-4F0D-BC84-AC92A20F3FD0}"/>
    <cellStyle name="Currency 5 2 4 5 2 3" xfId="20686" xr:uid="{00000000-0005-0000-0000-0000D2230000}"/>
    <cellStyle name="Currency 5 2 4 5 2 3 2" xfId="37555" xr:uid="{7CD44DCE-A52D-4859-9E50-5D88BF40F6D1}"/>
    <cellStyle name="Currency 5 2 4 5 2 4" xfId="12251" xr:uid="{00000000-0005-0000-0000-0000D3230000}"/>
    <cellStyle name="Currency 5 2 4 5 2 5" xfId="29121" xr:uid="{D28BD873-DB5B-42C0-B403-7FF835534BE7}"/>
    <cellStyle name="Currency 5 2 4 5 3" xfId="5889" xr:uid="{00000000-0005-0000-0000-0000D4230000}"/>
    <cellStyle name="Currency 5 2 4 5 3 2" xfId="22759" xr:uid="{00000000-0005-0000-0000-0000D5230000}"/>
    <cellStyle name="Currency 5 2 4 5 3 2 2" xfId="39627" xr:uid="{8137F1AB-CD42-4A04-9A7A-02B99AA2E5F6}"/>
    <cellStyle name="Currency 5 2 4 5 3 3" xfId="14324" xr:uid="{00000000-0005-0000-0000-0000D6230000}"/>
    <cellStyle name="Currency 5 2 4 5 3 4" xfId="31193" xr:uid="{73AF8BFA-D12B-4D96-9C48-27EDFC9BF97A}"/>
    <cellStyle name="Currency 5 2 4 5 4" xfId="18541" xr:uid="{00000000-0005-0000-0000-0000D7230000}"/>
    <cellStyle name="Currency 5 2 4 5 4 2" xfId="35410" xr:uid="{F3A420B5-AA5C-4295-AE95-73C61AA69295}"/>
    <cellStyle name="Currency 5 2 4 5 5" xfId="10106" xr:uid="{00000000-0005-0000-0000-0000D8230000}"/>
    <cellStyle name="Currency 5 2 4 5 6" xfId="26976" xr:uid="{9AC4B754-EAF3-4218-9DA2-A30F6F27499C}"/>
    <cellStyle name="Currency 5 2 4 6" xfId="1995" xr:uid="{00000000-0005-0000-0000-0000D9230000}"/>
    <cellStyle name="Currency 5 2 4 6 2" xfId="4224" xr:uid="{00000000-0005-0000-0000-0000DA230000}"/>
    <cellStyle name="Currency 5 2 4 6 2 2" xfId="8447" xr:uid="{00000000-0005-0000-0000-0000DB230000}"/>
    <cellStyle name="Currency 5 2 4 6 2 2 2" xfId="25317" xr:uid="{00000000-0005-0000-0000-0000DC230000}"/>
    <cellStyle name="Currency 5 2 4 6 2 2 2 2" xfId="42185" xr:uid="{FB984D77-A350-4765-A463-85A34D90F397}"/>
    <cellStyle name="Currency 5 2 4 6 2 2 3" xfId="16882" xr:uid="{00000000-0005-0000-0000-0000DD230000}"/>
    <cellStyle name="Currency 5 2 4 6 2 2 4" xfId="33751" xr:uid="{076E8962-1C94-4325-8AA6-F3D8A2892762}"/>
    <cellStyle name="Currency 5 2 4 6 2 3" xfId="21099" xr:uid="{00000000-0005-0000-0000-0000DE230000}"/>
    <cellStyle name="Currency 5 2 4 6 2 3 2" xfId="37968" xr:uid="{51F171D4-4BA3-48E1-AAD7-6FCCD1E586B2}"/>
    <cellStyle name="Currency 5 2 4 6 2 4" xfId="12664" xr:uid="{00000000-0005-0000-0000-0000DF230000}"/>
    <cellStyle name="Currency 5 2 4 6 2 5" xfId="29534" xr:uid="{EDBB2182-D33D-4556-AC51-D9D932BA2D9C}"/>
    <cellStyle name="Currency 5 2 4 6 3" xfId="6302" xr:uid="{00000000-0005-0000-0000-0000E0230000}"/>
    <cellStyle name="Currency 5 2 4 6 3 2" xfId="23172" xr:uid="{00000000-0005-0000-0000-0000E1230000}"/>
    <cellStyle name="Currency 5 2 4 6 3 2 2" xfId="40040" xr:uid="{DB2623E4-B36C-4CDF-9F5C-5E0F5FA6BB41}"/>
    <cellStyle name="Currency 5 2 4 6 3 3" xfId="14737" xr:uid="{00000000-0005-0000-0000-0000E2230000}"/>
    <cellStyle name="Currency 5 2 4 6 3 4" xfId="31606" xr:uid="{9041A3A2-E617-42DB-BD1C-D589041020F7}"/>
    <cellStyle name="Currency 5 2 4 6 4" xfId="18954" xr:uid="{00000000-0005-0000-0000-0000E3230000}"/>
    <cellStyle name="Currency 5 2 4 6 4 2" xfId="35823" xr:uid="{7D0B984B-1356-4CF2-8083-F6D5B72EE5EC}"/>
    <cellStyle name="Currency 5 2 4 6 5" xfId="10519" xr:uid="{00000000-0005-0000-0000-0000E4230000}"/>
    <cellStyle name="Currency 5 2 4 6 6" xfId="27389" xr:uid="{91DC46AE-AA2D-436D-AA4C-AA4604542795}"/>
    <cellStyle name="Currency 5 2 4 7" xfId="2430" xr:uid="{00000000-0005-0000-0000-0000E5230000}"/>
    <cellStyle name="Currency 5 2 4 7 2" xfId="6715" xr:uid="{00000000-0005-0000-0000-0000E6230000}"/>
    <cellStyle name="Currency 5 2 4 7 2 2" xfId="23585" xr:uid="{00000000-0005-0000-0000-0000E7230000}"/>
    <cellStyle name="Currency 5 2 4 7 2 2 2" xfId="40453" xr:uid="{CF71B373-E607-4515-8267-B88931034DF0}"/>
    <cellStyle name="Currency 5 2 4 7 2 3" xfId="15150" xr:uid="{00000000-0005-0000-0000-0000E8230000}"/>
    <cellStyle name="Currency 5 2 4 7 2 4" xfId="32019" xr:uid="{65787119-7DBB-466A-A4D5-D66A907A0466}"/>
    <cellStyle name="Currency 5 2 4 7 3" xfId="19367" xr:uid="{00000000-0005-0000-0000-0000E9230000}"/>
    <cellStyle name="Currency 5 2 4 7 3 2" xfId="36236" xr:uid="{3E1A0940-7D9D-49AF-9191-D786F965EF42}"/>
    <cellStyle name="Currency 5 2 4 7 4" xfId="10932" xr:uid="{00000000-0005-0000-0000-0000EA230000}"/>
    <cellStyle name="Currency 5 2 4 7 5" xfId="27802" xr:uid="{C7F941AA-491E-48DD-910E-D7837DF4372B}"/>
    <cellStyle name="Currency 5 2 4 8" xfId="2727" xr:uid="{00000000-0005-0000-0000-0000EB230000}"/>
    <cellStyle name="Currency 5 2 4 9" xfId="2808" xr:uid="{00000000-0005-0000-0000-0000EC230000}"/>
    <cellStyle name="Currency 5 2 4 9 2" xfId="7032" xr:uid="{00000000-0005-0000-0000-0000ED230000}"/>
    <cellStyle name="Currency 5 2 4 9 2 2" xfId="23902" xr:uid="{00000000-0005-0000-0000-0000EE230000}"/>
    <cellStyle name="Currency 5 2 4 9 2 2 2" xfId="40770" xr:uid="{5299F3AE-725E-4BED-AF42-2062064804A6}"/>
    <cellStyle name="Currency 5 2 4 9 2 3" xfId="15467" xr:uid="{00000000-0005-0000-0000-0000EF230000}"/>
    <cellStyle name="Currency 5 2 4 9 2 4" xfId="32336" xr:uid="{E6650A24-8A17-4FCA-B858-5427EDA1BCD6}"/>
    <cellStyle name="Currency 5 2 4 9 3" xfId="19684" xr:uid="{00000000-0005-0000-0000-0000F0230000}"/>
    <cellStyle name="Currency 5 2 4 9 3 2" xfId="36553" xr:uid="{59797774-770F-4EFC-AA25-47991083F472}"/>
    <cellStyle name="Currency 5 2 4 9 4" xfId="11249" xr:uid="{00000000-0005-0000-0000-0000F1230000}"/>
    <cellStyle name="Currency 5 2 4 9 5" xfId="28119" xr:uid="{CDED90EF-223C-4B46-AA92-44D4D014229B}"/>
    <cellStyle name="Currency 5 2 5" xfId="207" xr:uid="{00000000-0005-0000-0000-0000F2230000}"/>
    <cellStyle name="Currency 5 2 5 10" xfId="17303" xr:uid="{00000000-0005-0000-0000-0000F3230000}"/>
    <cellStyle name="Currency 5 2 5 10 2" xfId="34172" xr:uid="{70D3B523-E63F-4BEB-A2E9-A1498D3A0038}"/>
    <cellStyle name="Currency 5 2 5 11" xfId="8868" xr:uid="{00000000-0005-0000-0000-0000F4230000}"/>
    <cellStyle name="Currency 5 2 5 12" xfId="25738" xr:uid="{A1F2BD4E-D310-4764-918B-03B729D116D8}"/>
    <cellStyle name="Currency 5 2 5 2" xfId="734" xr:uid="{00000000-0005-0000-0000-0000F5230000}"/>
    <cellStyle name="Currency 5 2 5 2 2" xfId="2987" xr:uid="{00000000-0005-0000-0000-0000F6230000}"/>
    <cellStyle name="Currency 5 2 5 2 2 2" xfId="7210" xr:uid="{00000000-0005-0000-0000-0000F7230000}"/>
    <cellStyle name="Currency 5 2 5 2 2 2 2" xfId="24080" xr:uid="{00000000-0005-0000-0000-0000F8230000}"/>
    <cellStyle name="Currency 5 2 5 2 2 2 2 2" xfId="40948" xr:uid="{5CD42AAC-D8FC-424A-A121-9991D4786D52}"/>
    <cellStyle name="Currency 5 2 5 2 2 2 3" xfId="15645" xr:uid="{00000000-0005-0000-0000-0000F9230000}"/>
    <cellStyle name="Currency 5 2 5 2 2 2 4" xfId="32514" xr:uid="{0EE0C89E-2DE9-482F-9C7D-BD190D5E6355}"/>
    <cellStyle name="Currency 5 2 5 2 2 3" xfId="19862" xr:uid="{00000000-0005-0000-0000-0000FA230000}"/>
    <cellStyle name="Currency 5 2 5 2 2 3 2" xfId="36731" xr:uid="{C547BB4E-74FE-4C55-8639-FD9896231939}"/>
    <cellStyle name="Currency 5 2 5 2 2 4" xfId="11427" xr:uid="{00000000-0005-0000-0000-0000FB230000}"/>
    <cellStyle name="Currency 5 2 5 2 2 5" xfId="28297" xr:uid="{47D553DD-8873-4972-AF2F-00AA9BB1E5E6}"/>
    <cellStyle name="Currency 5 2 5 2 3" xfId="5065" xr:uid="{00000000-0005-0000-0000-0000FC230000}"/>
    <cellStyle name="Currency 5 2 5 2 3 2" xfId="21935" xr:uid="{00000000-0005-0000-0000-0000FD230000}"/>
    <cellStyle name="Currency 5 2 5 2 3 2 2" xfId="38803" xr:uid="{FA0F0577-C667-47C2-8680-284F56FEB5EF}"/>
    <cellStyle name="Currency 5 2 5 2 3 3" xfId="13500" xr:uid="{00000000-0005-0000-0000-0000FE230000}"/>
    <cellStyle name="Currency 5 2 5 2 3 4" xfId="30369" xr:uid="{345FD250-F829-4488-A7BA-D2EF808DD3B6}"/>
    <cellStyle name="Currency 5 2 5 2 4" xfId="17717" xr:uid="{00000000-0005-0000-0000-0000FF230000}"/>
    <cellStyle name="Currency 5 2 5 2 4 2" xfId="34586" xr:uid="{EAE99B2B-0EEB-427F-A101-3EA0F0122F38}"/>
    <cellStyle name="Currency 5 2 5 2 5" xfId="9282" xr:uid="{00000000-0005-0000-0000-000000240000}"/>
    <cellStyle name="Currency 5 2 5 2 6" xfId="26152" xr:uid="{1771515B-D38A-4746-AD19-0A69D3C415AF}"/>
    <cellStyle name="Currency 5 2 5 3" xfId="1169" xr:uid="{00000000-0005-0000-0000-000001240000}"/>
    <cellStyle name="Currency 5 2 5 3 2" xfId="3400" xr:uid="{00000000-0005-0000-0000-000002240000}"/>
    <cellStyle name="Currency 5 2 5 3 2 2" xfId="7623" xr:uid="{00000000-0005-0000-0000-000003240000}"/>
    <cellStyle name="Currency 5 2 5 3 2 2 2" xfId="24493" xr:uid="{00000000-0005-0000-0000-000004240000}"/>
    <cellStyle name="Currency 5 2 5 3 2 2 2 2" xfId="41361" xr:uid="{3758CB1A-613A-4369-98C8-4C2877C07027}"/>
    <cellStyle name="Currency 5 2 5 3 2 2 3" xfId="16058" xr:uid="{00000000-0005-0000-0000-000005240000}"/>
    <cellStyle name="Currency 5 2 5 3 2 2 4" xfId="32927" xr:uid="{4783352A-F25E-41D8-8FF6-2EDFCA82E569}"/>
    <cellStyle name="Currency 5 2 5 3 2 3" xfId="20275" xr:uid="{00000000-0005-0000-0000-000006240000}"/>
    <cellStyle name="Currency 5 2 5 3 2 3 2" xfId="37144" xr:uid="{35A57140-9896-446A-ACEC-ACC385A789B6}"/>
    <cellStyle name="Currency 5 2 5 3 2 4" xfId="11840" xr:uid="{00000000-0005-0000-0000-000007240000}"/>
    <cellStyle name="Currency 5 2 5 3 2 5" xfId="28710" xr:uid="{927A228F-8370-44FE-9751-9538DAF9AF68}"/>
    <cellStyle name="Currency 5 2 5 3 3" xfId="5478" xr:uid="{00000000-0005-0000-0000-000008240000}"/>
    <cellStyle name="Currency 5 2 5 3 3 2" xfId="22348" xr:uid="{00000000-0005-0000-0000-000009240000}"/>
    <cellStyle name="Currency 5 2 5 3 3 2 2" xfId="39216" xr:uid="{36EBE260-5D45-49E3-8087-4BD08A7740FF}"/>
    <cellStyle name="Currency 5 2 5 3 3 3" xfId="13913" xr:uid="{00000000-0005-0000-0000-00000A240000}"/>
    <cellStyle name="Currency 5 2 5 3 3 4" xfId="30782" xr:uid="{9430F949-65C8-4B09-8915-A5D977EB88E7}"/>
    <cellStyle name="Currency 5 2 5 3 4" xfId="18130" xr:uid="{00000000-0005-0000-0000-00000B240000}"/>
    <cellStyle name="Currency 5 2 5 3 4 2" xfId="34999" xr:uid="{6E61F2A4-4E44-4083-BFD6-07294C8EEEF1}"/>
    <cellStyle name="Currency 5 2 5 3 5" xfId="9695" xr:uid="{00000000-0005-0000-0000-00000C240000}"/>
    <cellStyle name="Currency 5 2 5 3 6" xfId="26565" xr:uid="{FDD51373-9761-44D7-8C3D-932055CAABFE}"/>
    <cellStyle name="Currency 5 2 5 4" xfId="1583" xr:uid="{00000000-0005-0000-0000-00000D240000}"/>
    <cellStyle name="Currency 5 2 5 4 2" xfId="3813" xr:uid="{00000000-0005-0000-0000-00000E240000}"/>
    <cellStyle name="Currency 5 2 5 4 2 2" xfId="8036" xr:uid="{00000000-0005-0000-0000-00000F240000}"/>
    <cellStyle name="Currency 5 2 5 4 2 2 2" xfId="24906" xr:uid="{00000000-0005-0000-0000-000010240000}"/>
    <cellStyle name="Currency 5 2 5 4 2 2 2 2" xfId="41774" xr:uid="{54411E5E-63E2-445D-938C-4329C77A0987}"/>
    <cellStyle name="Currency 5 2 5 4 2 2 3" xfId="16471" xr:uid="{00000000-0005-0000-0000-000011240000}"/>
    <cellStyle name="Currency 5 2 5 4 2 2 4" xfId="33340" xr:uid="{F73FC5CD-FA4B-4EBD-8E32-33BEDCDCC952}"/>
    <cellStyle name="Currency 5 2 5 4 2 3" xfId="20688" xr:uid="{00000000-0005-0000-0000-000012240000}"/>
    <cellStyle name="Currency 5 2 5 4 2 3 2" xfId="37557" xr:uid="{9668E9B5-2E45-4A80-A2C2-94A63E9C6583}"/>
    <cellStyle name="Currency 5 2 5 4 2 4" xfId="12253" xr:uid="{00000000-0005-0000-0000-000013240000}"/>
    <cellStyle name="Currency 5 2 5 4 2 5" xfId="29123" xr:uid="{DF22FD9A-3B05-450B-B8D7-682BA6EEE175}"/>
    <cellStyle name="Currency 5 2 5 4 3" xfId="5891" xr:uid="{00000000-0005-0000-0000-000014240000}"/>
    <cellStyle name="Currency 5 2 5 4 3 2" xfId="22761" xr:uid="{00000000-0005-0000-0000-000015240000}"/>
    <cellStyle name="Currency 5 2 5 4 3 2 2" xfId="39629" xr:uid="{700EA7AB-7FCE-421E-BDA0-FD3AC016D4FB}"/>
    <cellStyle name="Currency 5 2 5 4 3 3" xfId="14326" xr:uid="{00000000-0005-0000-0000-000016240000}"/>
    <cellStyle name="Currency 5 2 5 4 3 4" xfId="31195" xr:uid="{DB1294AC-B402-4C60-A8DA-5B90AA04057E}"/>
    <cellStyle name="Currency 5 2 5 4 4" xfId="18543" xr:uid="{00000000-0005-0000-0000-000017240000}"/>
    <cellStyle name="Currency 5 2 5 4 4 2" xfId="35412" xr:uid="{25C6710C-0239-4D94-8F6F-D70A946631E5}"/>
    <cellStyle name="Currency 5 2 5 4 5" xfId="10108" xr:uid="{00000000-0005-0000-0000-000018240000}"/>
    <cellStyle name="Currency 5 2 5 4 6" xfId="26978" xr:uid="{99B6E97D-B26E-4FD0-BE18-2CBB696F4890}"/>
    <cellStyle name="Currency 5 2 5 5" xfId="1997" xr:uid="{00000000-0005-0000-0000-000019240000}"/>
    <cellStyle name="Currency 5 2 5 5 2" xfId="4226" xr:uid="{00000000-0005-0000-0000-00001A240000}"/>
    <cellStyle name="Currency 5 2 5 5 2 2" xfId="8449" xr:uid="{00000000-0005-0000-0000-00001B240000}"/>
    <cellStyle name="Currency 5 2 5 5 2 2 2" xfId="25319" xr:uid="{00000000-0005-0000-0000-00001C240000}"/>
    <cellStyle name="Currency 5 2 5 5 2 2 2 2" xfId="42187" xr:uid="{8A3726EE-4738-460C-A5B8-E2B3F75EEF17}"/>
    <cellStyle name="Currency 5 2 5 5 2 2 3" xfId="16884" xr:uid="{00000000-0005-0000-0000-00001D240000}"/>
    <cellStyle name="Currency 5 2 5 5 2 2 4" xfId="33753" xr:uid="{6569E161-50A9-4441-B110-53D32381073E}"/>
    <cellStyle name="Currency 5 2 5 5 2 3" xfId="21101" xr:uid="{00000000-0005-0000-0000-00001E240000}"/>
    <cellStyle name="Currency 5 2 5 5 2 3 2" xfId="37970" xr:uid="{4B25F88A-B94A-48BB-8322-DB7DF542AC35}"/>
    <cellStyle name="Currency 5 2 5 5 2 4" xfId="12666" xr:uid="{00000000-0005-0000-0000-00001F240000}"/>
    <cellStyle name="Currency 5 2 5 5 2 5" xfId="29536" xr:uid="{AE2B8D23-3F64-4999-A7E9-DFEA8325296E}"/>
    <cellStyle name="Currency 5 2 5 5 3" xfId="6304" xr:uid="{00000000-0005-0000-0000-000020240000}"/>
    <cellStyle name="Currency 5 2 5 5 3 2" xfId="23174" xr:uid="{00000000-0005-0000-0000-000021240000}"/>
    <cellStyle name="Currency 5 2 5 5 3 2 2" xfId="40042" xr:uid="{13C0CD24-6230-4444-85D6-4782E6FF37BF}"/>
    <cellStyle name="Currency 5 2 5 5 3 3" xfId="14739" xr:uid="{00000000-0005-0000-0000-000022240000}"/>
    <cellStyle name="Currency 5 2 5 5 3 4" xfId="31608" xr:uid="{9C9A7ECE-7924-42EF-887C-674656DA00D3}"/>
    <cellStyle name="Currency 5 2 5 5 4" xfId="18956" xr:uid="{00000000-0005-0000-0000-000023240000}"/>
    <cellStyle name="Currency 5 2 5 5 4 2" xfId="35825" xr:uid="{1E9C4333-27C6-4EDE-A105-2F4E428789BC}"/>
    <cellStyle name="Currency 5 2 5 5 5" xfId="10521" xr:uid="{00000000-0005-0000-0000-000024240000}"/>
    <cellStyle name="Currency 5 2 5 5 6" xfId="27391" xr:uid="{2182BE17-9126-421E-8BEB-B0D67CDB1C5C}"/>
    <cellStyle name="Currency 5 2 5 6" xfId="2432" xr:uid="{00000000-0005-0000-0000-000025240000}"/>
    <cellStyle name="Currency 5 2 5 6 2" xfId="6717" xr:uid="{00000000-0005-0000-0000-000026240000}"/>
    <cellStyle name="Currency 5 2 5 6 2 2" xfId="23587" xr:uid="{00000000-0005-0000-0000-000027240000}"/>
    <cellStyle name="Currency 5 2 5 6 2 2 2" xfId="40455" xr:uid="{B1FA7E64-D6E8-4F2D-8148-4EA3D2776C1A}"/>
    <cellStyle name="Currency 5 2 5 6 2 3" xfId="15152" xr:uid="{00000000-0005-0000-0000-000028240000}"/>
    <cellStyle name="Currency 5 2 5 6 2 4" xfId="32021" xr:uid="{05BC8887-0A4A-45E4-9C97-523819AD5406}"/>
    <cellStyle name="Currency 5 2 5 6 3" xfId="19369" xr:uid="{00000000-0005-0000-0000-000029240000}"/>
    <cellStyle name="Currency 5 2 5 6 3 2" xfId="36238" xr:uid="{87C7022D-405C-4ACF-8C03-A042D4CB8B31}"/>
    <cellStyle name="Currency 5 2 5 6 4" xfId="10934" xr:uid="{00000000-0005-0000-0000-00002A240000}"/>
    <cellStyle name="Currency 5 2 5 6 5" xfId="27804" xr:uid="{D5FCFD80-3BC2-4404-B98D-0C2E42E56117}"/>
    <cellStyle name="Currency 5 2 5 7" xfId="2729" xr:uid="{00000000-0005-0000-0000-00002B240000}"/>
    <cellStyle name="Currency 5 2 5 8" xfId="2810" xr:uid="{00000000-0005-0000-0000-00002C240000}"/>
    <cellStyle name="Currency 5 2 5 8 2" xfId="7034" xr:uid="{00000000-0005-0000-0000-00002D240000}"/>
    <cellStyle name="Currency 5 2 5 8 2 2" xfId="23904" xr:uid="{00000000-0005-0000-0000-00002E240000}"/>
    <cellStyle name="Currency 5 2 5 8 2 2 2" xfId="40772" xr:uid="{A5BF84A3-4FCE-4364-AE4A-C73024439CDB}"/>
    <cellStyle name="Currency 5 2 5 8 2 3" xfId="15469" xr:uid="{00000000-0005-0000-0000-00002F240000}"/>
    <cellStyle name="Currency 5 2 5 8 2 4" xfId="32338" xr:uid="{810AC0E8-4CC2-4618-959C-8B81210E08F6}"/>
    <cellStyle name="Currency 5 2 5 8 3" xfId="19686" xr:uid="{00000000-0005-0000-0000-000030240000}"/>
    <cellStyle name="Currency 5 2 5 8 3 2" xfId="36555" xr:uid="{72D12932-C986-4E13-BD16-09735B81FD51}"/>
    <cellStyle name="Currency 5 2 5 8 4" xfId="11251" xr:uid="{00000000-0005-0000-0000-000031240000}"/>
    <cellStyle name="Currency 5 2 5 8 5" xfId="28121" xr:uid="{608CA3A4-1A4B-4B89-A1E1-EC56B533DE25}"/>
    <cellStyle name="Currency 5 2 5 9" xfId="4651" xr:uid="{00000000-0005-0000-0000-000032240000}"/>
    <cellStyle name="Currency 5 2 5 9 2" xfId="21521" xr:uid="{00000000-0005-0000-0000-000033240000}"/>
    <cellStyle name="Currency 5 2 5 9 2 2" xfId="38389" xr:uid="{6A5CAF64-EE44-4A37-AF5C-3F8637A0E3D6}"/>
    <cellStyle name="Currency 5 2 5 9 3" xfId="13086" xr:uid="{00000000-0005-0000-0000-000034240000}"/>
    <cellStyle name="Currency 5 2 5 9 4" xfId="29955" xr:uid="{4FABE8A1-D892-4356-8B20-2CBEA3B98652}"/>
    <cellStyle name="Currency 5 2 6" xfId="208" xr:uid="{00000000-0005-0000-0000-000035240000}"/>
    <cellStyle name="Currency 5 2 6 10" xfId="17304" xr:uid="{00000000-0005-0000-0000-000036240000}"/>
    <cellStyle name="Currency 5 2 6 10 2" xfId="34173" xr:uid="{2688012B-F547-4FEF-832C-6950428FBEC9}"/>
    <cellStyle name="Currency 5 2 6 11" xfId="8869" xr:uid="{00000000-0005-0000-0000-000037240000}"/>
    <cellStyle name="Currency 5 2 6 12" xfId="25739" xr:uid="{84C39B38-BDA8-410B-B7AA-C023AF4F8FBA}"/>
    <cellStyle name="Currency 5 2 6 2" xfId="735" xr:uid="{00000000-0005-0000-0000-000038240000}"/>
    <cellStyle name="Currency 5 2 6 2 2" xfId="2988" xr:uid="{00000000-0005-0000-0000-000039240000}"/>
    <cellStyle name="Currency 5 2 6 2 2 2" xfId="7211" xr:uid="{00000000-0005-0000-0000-00003A240000}"/>
    <cellStyle name="Currency 5 2 6 2 2 2 2" xfId="24081" xr:uid="{00000000-0005-0000-0000-00003B240000}"/>
    <cellStyle name="Currency 5 2 6 2 2 2 2 2" xfId="40949" xr:uid="{4B69BE9B-6048-451F-A16E-6D7E6D47854E}"/>
    <cellStyle name="Currency 5 2 6 2 2 2 3" xfId="15646" xr:uid="{00000000-0005-0000-0000-00003C240000}"/>
    <cellStyle name="Currency 5 2 6 2 2 2 4" xfId="32515" xr:uid="{D43BD28A-86A7-42FE-849E-90A490E41FAB}"/>
    <cellStyle name="Currency 5 2 6 2 2 3" xfId="19863" xr:uid="{00000000-0005-0000-0000-00003D240000}"/>
    <cellStyle name="Currency 5 2 6 2 2 3 2" xfId="36732" xr:uid="{0D7D095B-E769-4BF1-831C-C2828A5D0035}"/>
    <cellStyle name="Currency 5 2 6 2 2 4" xfId="11428" xr:uid="{00000000-0005-0000-0000-00003E240000}"/>
    <cellStyle name="Currency 5 2 6 2 2 5" xfId="28298" xr:uid="{5E9CFC85-180B-46F2-9035-EDAF6BE9A383}"/>
    <cellStyle name="Currency 5 2 6 2 3" xfId="5066" xr:uid="{00000000-0005-0000-0000-00003F240000}"/>
    <cellStyle name="Currency 5 2 6 2 3 2" xfId="21936" xr:uid="{00000000-0005-0000-0000-000040240000}"/>
    <cellStyle name="Currency 5 2 6 2 3 2 2" xfId="38804" xr:uid="{09F89068-A684-41BB-8103-0AEDEE945F4F}"/>
    <cellStyle name="Currency 5 2 6 2 3 3" xfId="13501" xr:uid="{00000000-0005-0000-0000-000041240000}"/>
    <cellStyle name="Currency 5 2 6 2 3 4" xfId="30370" xr:uid="{EF200CD2-3167-4215-939B-DE1836852CB2}"/>
    <cellStyle name="Currency 5 2 6 2 4" xfId="17718" xr:uid="{00000000-0005-0000-0000-000042240000}"/>
    <cellStyle name="Currency 5 2 6 2 4 2" xfId="34587" xr:uid="{2074D018-485D-4A34-8A8C-1152DD6CB099}"/>
    <cellStyle name="Currency 5 2 6 2 5" xfId="9283" xr:uid="{00000000-0005-0000-0000-000043240000}"/>
    <cellStyle name="Currency 5 2 6 2 6" xfId="26153" xr:uid="{0C232D66-4E26-434C-9F36-4D93F2B41080}"/>
    <cellStyle name="Currency 5 2 6 3" xfId="1170" xr:uid="{00000000-0005-0000-0000-000044240000}"/>
    <cellStyle name="Currency 5 2 6 3 2" xfId="3401" xr:uid="{00000000-0005-0000-0000-000045240000}"/>
    <cellStyle name="Currency 5 2 6 3 2 2" xfId="7624" xr:uid="{00000000-0005-0000-0000-000046240000}"/>
    <cellStyle name="Currency 5 2 6 3 2 2 2" xfId="24494" xr:uid="{00000000-0005-0000-0000-000047240000}"/>
    <cellStyle name="Currency 5 2 6 3 2 2 2 2" xfId="41362" xr:uid="{2265E048-888D-4995-909E-78550C929BCE}"/>
    <cellStyle name="Currency 5 2 6 3 2 2 3" xfId="16059" xr:uid="{00000000-0005-0000-0000-000048240000}"/>
    <cellStyle name="Currency 5 2 6 3 2 2 4" xfId="32928" xr:uid="{7A53E4B3-FD2F-4EBC-8667-8A0F2929B0E7}"/>
    <cellStyle name="Currency 5 2 6 3 2 3" xfId="20276" xr:uid="{00000000-0005-0000-0000-000049240000}"/>
    <cellStyle name="Currency 5 2 6 3 2 3 2" xfId="37145" xr:uid="{6B27D309-6130-4471-8F75-350C68204778}"/>
    <cellStyle name="Currency 5 2 6 3 2 4" xfId="11841" xr:uid="{00000000-0005-0000-0000-00004A240000}"/>
    <cellStyle name="Currency 5 2 6 3 2 5" xfId="28711" xr:uid="{22763199-A83D-42C1-AEB8-DEBCADB591DA}"/>
    <cellStyle name="Currency 5 2 6 3 3" xfId="5479" xr:uid="{00000000-0005-0000-0000-00004B240000}"/>
    <cellStyle name="Currency 5 2 6 3 3 2" xfId="22349" xr:uid="{00000000-0005-0000-0000-00004C240000}"/>
    <cellStyle name="Currency 5 2 6 3 3 2 2" xfId="39217" xr:uid="{3DD4CA4C-8451-486C-9EB8-8F090AA8A479}"/>
    <cellStyle name="Currency 5 2 6 3 3 3" xfId="13914" xr:uid="{00000000-0005-0000-0000-00004D240000}"/>
    <cellStyle name="Currency 5 2 6 3 3 4" xfId="30783" xr:uid="{70EF830A-530C-4DA1-8F0E-CDB09A0289FD}"/>
    <cellStyle name="Currency 5 2 6 3 4" xfId="18131" xr:uid="{00000000-0005-0000-0000-00004E240000}"/>
    <cellStyle name="Currency 5 2 6 3 4 2" xfId="35000" xr:uid="{B6D3CB68-8828-450F-93C1-80AB2E83D7F4}"/>
    <cellStyle name="Currency 5 2 6 3 5" xfId="9696" xr:uid="{00000000-0005-0000-0000-00004F240000}"/>
    <cellStyle name="Currency 5 2 6 3 6" xfId="26566" xr:uid="{C113DD10-CD40-4949-AAF5-3685568A8145}"/>
    <cellStyle name="Currency 5 2 6 4" xfId="1584" xr:uid="{00000000-0005-0000-0000-000050240000}"/>
    <cellStyle name="Currency 5 2 6 4 2" xfId="3814" xr:uid="{00000000-0005-0000-0000-000051240000}"/>
    <cellStyle name="Currency 5 2 6 4 2 2" xfId="8037" xr:uid="{00000000-0005-0000-0000-000052240000}"/>
    <cellStyle name="Currency 5 2 6 4 2 2 2" xfId="24907" xr:uid="{00000000-0005-0000-0000-000053240000}"/>
    <cellStyle name="Currency 5 2 6 4 2 2 2 2" xfId="41775" xr:uid="{5EAA4821-42DD-4AFC-976F-49B3ECF0E2AC}"/>
    <cellStyle name="Currency 5 2 6 4 2 2 3" xfId="16472" xr:uid="{00000000-0005-0000-0000-000054240000}"/>
    <cellStyle name="Currency 5 2 6 4 2 2 4" xfId="33341" xr:uid="{5665E72C-A3D2-4782-B59E-A7B7E9E0681F}"/>
    <cellStyle name="Currency 5 2 6 4 2 3" xfId="20689" xr:uid="{00000000-0005-0000-0000-000055240000}"/>
    <cellStyle name="Currency 5 2 6 4 2 3 2" xfId="37558" xr:uid="{BC73C809-3760-436B-A535-2D2E10986404}"/>
    <cellStyle name="Currency 5 2 6 4 2 4" xfId="12254" xr:uid="{00000000-0005-0000-0000-000056240000}"/>
    <cellStyle name="Currency 5 2 6 4 2 5" xfId="29124" xr:uid="{54E6CE79-AC7C-4E93-88A1-4769ECADE326}"/>
    <cellStyle name="Currency 5 2 6 4 3" xfId="5892" xr:uid="{00000000-0005-0000-0000-000057240000}"/>
    <cellStyle name="Currency 5 2 6 4 3 2" xfId="22762" xr:uid="{00000000-0005-0000-0000-000058240000}"/>
    <cellStyle name="Currency 5 2 6 4 3 2 2" xfId="39630" xr:uid="{0B253EFE-CAC6-49C8-AFE2-5C2612E68550}"/>
    <cellStyle name="Currency 5 2 6 4 3 3" xfId="14327" xr:uid="{00000000-0005-0000-0000-000059240000}"/>
    <cellStyle name="Currency 5 2 6 4 3 4" xfId="31196" xr:uid="{94F945C1-9B79-44E1-84AA-51C45F5C23B6}"/>
    <cellStyle name="Currency 5 2 6 4 4" xfId="18544" xr:uid="{00000000-0005-0000-0000-00005A240000}"/>
    <cellStyle name="Currency 5 2 6 4 4 2" xfId="35413" xr:uid="{0671530C-27C9-4006-94FB-4E6C5060A938}"/>
    <cellStyle name="Currency 5 2 6 4 5" xfId="10109" xr:uid="{00000000-0005-0000-0000-00005B240000}"/>
    <cellStyle name="Currency 5 2 6 4 6" xfId="26979" xr:uid="{FA829D02-6218-42B7-B5EF-159C2420169A}"/>
    <cellStyle name="Currency 5 2 6 5" xfId="1998" xr:uid="{00000000-0005-0000-0000-00005C240000}"/>
    <cellStyle name="Currency 5 2 6 5 2" xfId="4227" xr:uid="{00000000-0005-0000-0000-00005D240000}"/>
    <cellStyle name="Currency 5 2 6 5 2 2" xfId="8450" xr:uid="{00000000-0005-0000-0000-00005E240000}"/>
    <cellStyle name="Currency 5 2 6 5 2 2 2" xfId="25320" xr:uid="{00000000-0005-0000-0000-00005F240000}"/>
    <cellStyle name="Currency 5 2 6 5 2 2 2 2" xfId="42188" xr:uid="{D9B3867F-110D-4544-9686-2720568BDFD5}"/>
    <cellStyle name="Currency 5 2 6 5 2 2 3" xfId="16885" xr:uid="{00000000-0005-0000-0000-000060240000}"/>
    <cellStyle name="Currency 5 2 6 5 2 2 4" xfId="33754" xr:uid="{661E73F1-DA02-4428-BAEE-C967EB7F2E34}"/>
    <cellStyle name="Currency 5 2 6 5 2 3" xfId="21102" xr:uid="{00000000-0005-0000-0000-000061240000}"/>
    <cellStyle name="Currency 5 2 6 5 2 3 2" xfId="37971" xr:uid="{35EAEFF3-E467-4A74-A23A-595DE8F9BB62}"/>
    <cellStyle name="Currency 5 2 6 5 2 4" xfId="12667" xr:uid="{00000000-0005-0000-0000-000062240000}"/>
    <cellStyle name="Currency 5 2 6 5 2 5" xfId="29537" xr:uid="{A3D25C3D-C02B-444C-85B2-0EBD58AEFDE7}"/>
    <cellStyle name="Currency 5 2 6 5 3" xfId="6305" xr:uid="{00000000-0005-0000-0000-000063240000}"/>
    <cellStyle name="Currency 5 2 6 5 3 2" xfId="23175" xr:uid="{00000000-0005-0000-0000-000064240000}"/>
    <cellStyle name="Currency 5 2 6 5 3 2 2" xfId="40043" xr:uid="{823A4778-DF60-4AF1-8B99-567BEDB93D21}"/>
    <cellStyle name="Currency 5 2 6 5 3 3" xfId="14740" xr:uid="{00000000-0005-0000-0000-000065240000}"/>
    <cellStyle name="Currency 5 2 6 5 3 4" xfId="31609" xr:uid="{C5F4FEE8-158D-4981-AD3B-C186867139A8}"/>
    <cellStyle name="Currency 5 2 6 5 4" xfId="18957" xr:uid="{00000000-0005-0000-0000-000066240000}"/>
    <cellStyle name="Currency 5 2 6 5 4 2" xfId="35826" xr:uid="{F882324B-D6AD-4BE4-8F42-DEDC89C346DA}"/>
    <cellStyle name="Currency 5 2 6 5 5" xfId="10522" xr:uid="{00000000-0005-0000-0000-000067240000}"/>
    <cellStyle name="Currency 5 2 6 5 6" xfId="27392" xr:uid="{38D4AB05-6C86-451D-92F7-E26E95D6C58E}"/>
    <cellStyle name="Currency 5 2 6 6" xfId="2433" xr:uid="{00000000-0005-0000-0000-000068240000}"/>
    <cellStyle name="Currency 5 2 6 6 2" xfId="6718" xr:uid="{00000000-0005-0000-0000-000069240000}"/>
    <cellStyle name="Currency 5 2 6 6 2 2" xfId="23588" xr:uid="{00000000-0005-0000-0000-00006A240000}"/>
    <cellStyle name="Currency 5 2 6 6 2 2 2" xfId="40456" xr:uid="{03D130DC-FD5C-4991-8D69-0DE2010FA330}"/>
    <cellStyle name="Currency 5 2 6 6 2 3" xfId="15153" xr:uid="{00000000-0005-0000-0000-00006B240000}"/>
    <cellStyle name="Currency 5 2 6 6 2 4" xfId="32022" xr:uid="{30BFA29E-BD94-4FAE-A4DA-61A81EB1D75D}"/>
    <cellStyle name="Currency 5 2 6 6 3" xfId="19370" xr:uid="{00000000-0005-0000-0000-00006C240000}"/>
    <cellStyle name="Currency 5 2 6 6 3 2" xfId="36239" xr:uid="{7CD60630-27E7-4970-9A6F-10135E887BB5}"/>
    <cellStyle name="Currency 5 2 6 6 4" xfId="10935" xr:uid="{00000000-0005-0000-0000-00006D240000}"/>
    <cellStyle name="Currency 5 2 6 6 5" xfId="27805" xr:uid="{927C4692-57EC-46DF-86C2-695B2AF6C526}"/>
    <cellStyle name="Currency 5 2 6 7" xfId="2730" xr:uid="{00000000-0005-0000-0000-00006E240000}"/>
    <cellStyle name="Currency 5 2 6 8" xfId="2811" xr:uid="{00000000-0005-0000-0000-00006F240000}"/>
    <cellStyle name="Currency 5 2 6 8 2" xfId="7035" xr:uid="{00000000-0005-0000-0000-000070240000}"/>
    <cellStyle name="Currency 5 2 6 8 2 2" xfId="23905" xr:uid="{00000000-0005-0000-0000-000071240000}"/>
    <cellStyle name="Currency 5 2 6 8 2 2 2" xfId="40773" xr:uid="{76B346CC-CC31-47A5-B917-EA6813759356}"/>
    <cellStyle name="Currency 5 2 6 8 2 3" xfId="15470" xr:uid="{00000000-0005-0000-0000-000072240000}"/>
    <cellStyle name="Currency 5 2 6 8 2 4" xfId="32339" xr:uid="{1B1155BD-C582-4FCD-9C91-7CE180BACC67}"/>
    <cellStyle name="Currency 5 2 6 8 3" xfId="19687" xr:uid="{00000000-0005-0000-0000-000073240000}"/>
    <cellStyle name="Currency 5 2 6 8 3 2" xfId="36556" xr:uid="{4BFFF38E-CA37-4518-B7B4-ED255D886D6A}"/>
    <cellStyle name="Currency 5 2 6 8 4" xfId="11252" xr:uid="{00000000-0005-0000-0000-000074240000}"/>
    <cellStyle name="Currency 5 2 6 8 5" xfId="28122" xr:uid="{6BC15AC3-FEC8-4C9C-914D-EA8D1B892DF6}"/>
    <cellStyle name="Currency 5 2 6 9" xfId="4652" xr:uid="{00000000-0005-0000-0000-000075240000}"/>
    <cellStyle name="Currency 5 2 6 9 2" xfId="21522" xr:uid="{00000000-0005-0000-0000-000076240000}"/>
    <cellStyle name="Currency 5 2 6 9 2 2" xfId="38390" xr:uid="{1BC1DED1-8769-41E4-981A-84367FFE29A3}"/>
    <cellStyle name="Currency 5 2 6 9 3" xfId="13087" xr:uid="{00000000-0005-0000-0000-000077240000}"/>
    <cellStyle name="Currency 5 2 6 9 4" xfId="29956" xr:uid="{1D402A1C-2BE7-4CDE-8ED0-BDC0332249DC}"/>
    <cellStyle name="Currency 5 2 7" xfId="722" xr:uid="{00000000-0005-0000-0000-000078240000}"/>
    <cellStyle name="Currency 5 3" xfId="209" xr:uid="{00000000-0005-0000-0000-000079240000}"/>
    <cellStyle name="Currency 5 3 2" xfId="210" xr:uid="{00000000-0005-0000-0000-00007A240000}"/>
    <cellStyle name="Currency 5 3 2 10" xfId="2812" xr:uid="{00000000-0005-0000-0000-00007B240000}"/>
    <cellStyle name="Currency 5 3 2 10 2" xfId="7036" xr:uid="{00000000-0005-0000-0000-00007C240000}"/>
    <cellStyle name="Currency 5 3 2 10 2 2" xfId="23906" xr:uid="{00000000-0005-0000-0000-00007D240000}"/>
    <cellStyle name="Currency 5 3 2 10 2 2 2" xfId="40774" xr:uid="{A0EA10B5-BB59-408A-979C-BDAF6B8340E8}"/>
    <cellStyle name="Currency 5 3 2 10 2 3" xfId="15471" xr:uid="{00000000-0005-0000-0000-00007E240000}"/>
    <cellStyle name="Currency 5 3 2 10 2 4" xfId="32340" xr:uid="{52FAA301-AE2E-4229-AF18-801BE07A717F}"/>
    <cellStyle name="Currency 5 3 2 10 3" xfId="19688" xr:uid="{00000000-0005-0000-0000-00007F240000}"/>
    <cellStyle name="Currency 5 3 2 10 3 2" xfId="36557" xr:uid="{F65E1403-0D21-45B8-A5AD-A6F538CA6EF1}"/>
    <cellStyle name="Currency 5 3 2 10 4" xfId="11253" xr:uid="{00000000-0005-0000-0000-000080240000}"/>
    <cellStyle name="Currency 5 3 2 10 5" xfId="28123" xr:uid="{8381EE5C-5D8C-4D06-9C82-52258A5B0AD7}"/>
    <cellStyle name="Currency 5 3 2 11" xfId="4653" xr:uid="{00000000-0005-0000-0000-000081240000}"/>
    <cellStyle name="Currency 5 3 2 11 2" xfId="21523" xr:uid="{00000000-0005-0000-0000-000082240000}"/>
    <cellStyle name="Currency 5 3 2 11 2 2" xfId="38391" xr:uid="{C7B72F80-2135-4DCD-AA75-2587B14222CE}"/>
    <cellStyle name="Currency 5 3 2 11 3" xfId="13088" xr:uid="{00000000-0005-0000-0000-000083240000}"/>
    <cellStyle name="Currency 5 3 2 11 4" xfId="29957" xr:uid="{F0F99E05-C434-45CD-8B09-3CD422EBBA83}"/>
    <cellStyle name="Currency 5 3 2 12" xfId="17305" xr:uid="{00000000-0005-0000-0000-000084240000}"/>
    <cellStyle name="Currency 5 3 2 12 2" xfId="34174" xr:uid="{87BD3683-21A6-41F7-81C2-5118F0443D20}"/>
    <cellStyle name="Currency 5 3 2 13" xfId="8870" xr:uid="{00000000-0005-0000-0000-000085240000}"/>
    <cellStyle name="Currency 5 3 2 14" xfId="25740" xr:uid="{E37746A2-0E73-4EA2-A425-33E5016A5478}"/>
    <cellStyle name="Currency 5 3 2 2" xfId="211" xr:uid="{00000000-0005-0000-0000-000086240000}"/>
    <cellStyle name="Currency 5 3 2 2 10" xfId="4654" xr:uid="{00000000-0005-0000-0000-000087240000}"/>
    <cellStyle name="Currency 5 3 2 2 10 2" xfId="21524" xr:uid="{00000000-0005-0000-0000-000088240000}"/>
    <cellStyle name="Currency 5 3 2 2 10 2 2" xfId="38392" xr:uid="{34870FD9-4E98-4E7E-BD1B-26D66CB7A47D}"/>
    <cellStyle name="Currency 5 3 2 2 10 3" xfId="13089" xr:uid="{00000000-0005-0000-0000-000089240000}"/>
    <cellStyle name="Currency 5 3 2 2 10 4" xfId="29958" xr:uid="{012D5AF2-D417-4A6D-B0DA-B2A2EFA89DF3}"/>
    <cellStyle name="Currency 5 3 2 2 11" xfId="17306" xr:uid="{00000000-0005-0000-0000-00008A240000}"/>
    <cellStyle name="Currency 5 3 2 2 11 2" xfId="34175" xr:uid="{8762B5C7-91CD-4895-921D-9BB4BFF66A13}"/>
    <cellStyle name="Currency 5 3 2 2 12" xfId="8871" xr:uid="{00000000-0005-0000-0000-00008B240000}"/>
    <cellStyle name="Currency 5 3 2 2 13" xfId="25741" xr:uid="{3C7B5AAB-5262-4601-8D38-89E6DB5D8409}"/>
    <cellStyle name="Currency 5 3 2 2 2" xfId="212" xr:uid="{00000000-0005-0000-0000-00008C240000}"/>
    <cellStyle name="Currency 5 3 2 2 2 10" xfId="17307" xr:uid="{00000000-0005-0000-0000-00008D240000}"/>
    <cellStyle name="Currency 5 3 2 2 2 10 2" xfId="34176" xr:uid="{6CF058E0-0FD1-4AA0-B0DC-4E455C8F118C}"/>
    <cellStyle name="Currency 5 3 2 2 2 11" xfId="8872" xr:uid="{00000000-0005-0000-0000-00008E240000}"/>
    <cellStyle name="Currency 5 3 2 2 2 12" xfId="25742" xr:uid="{1AEB75E2-894B-4427-85FB-435053E2B162}"/>
    <cellStyle name="Currency 5 3 2 2 2 2" xfId="738" xr:uid="{00000000-0005-0000-0000-00008F240000}"/>
    <cellStyle name="Currency 5 3 2 2 2 2 2" xfId="2991" xr:uid="{00000000-0005-0000-0000-000090240000}"/>
    <cellStyle name="Currency 5 3 2 2 2 2 2 2" xfId="7214" xr:uid="{00000000-0005-0000-0000-000091240000}"/>
    <cellStyle name="Currency 5 3 2 2 2 2 2 2 2" xfId="24084" xr:uid="{00000000-0005-0000-0000-000092240000}"/>
    <cellStyle name="Currency 5 3 2 2 2 2 2 2 2 2" xfId="40952" xr:uid="{D5DE7FDC-FE0F-40F7-8BAF-9CE7BAB0B981}"/>
    <cellStyle name="Currency 5 3 2 2 2 2 2 2 3" xfId="15649" xr:uid="{00000000-0005-0000-0000-000093240000}"/>
    <cellStyle name="Currency 5 3 2 2 2 2 2 2 4" xfId="32518" xr:uid="{2E55A5C6-1D60-4629-89B3-69D5E36D2F12}"/>
    <cellStyle name="Currency 5 3 2 2 2 2 2 3" xfId="19866" xr:uid="{00000000-0005-0000-0000-000094240000}"/>
    <cellStyle name="Currency 5 3 2 2 2 2 2 3 2" xfId="36735" xr:uid="{B89A8086-7FC0-4EEA-9722-8C5F0C9FA0F5}"/>
    <cellStyle name="Currency 5 3 2 2 2 2 2 4" xfId="11431" xr:uid="{00000000-0005-0000-0000-000095240000}"/>
    <cellStyle name="Currency 5 3 2 2 2 2 2 5" xfId="28301" xr:uid="{CE95E3B4-AD41-4E5D-B058-7264E0F5AF4B}"/>
    <cellStyle name="Currency 5 3 2 2 2 2 3" xfId="5069" xr:uid="{00000000-0005-0000-0000-000096240000}"/>
    <cellStyle name="Currency 5 3 2 2 2 2 3 2" xfId="21939" xr:uid="{00000000-0005-0000-0000-000097240000}"/>
    <cellStyle name="Currency 5 3 2 2 2 2 3 2 2" xfId="38807" xr:uid="{E2583F2B-7603-49AE-8AFF-EB391DCF5058}"/>
    <cellStyle name="Currency 5 3 2 2 2 2 3 3" xfId="13504" xr:uid="{00000000-0005-0000-0000-000098240000}"/>
    <cellStyle name="Currency 5 3 2 2 2 2 3 4" xfId="30373" xr:uid="{290D8B88-D20E-4F3B-85CA-6ABD8D15262B}"/>
    <cellStyle name="Currency 5 3 2 2 2 2 4" xfId="17721" xr:uid="{00000000-0005-0000-0000-000099240000}"/>
    <cellStyle name="Currency 5 3 2 2 2 2 4 2" xfId="34590" xr:uid="{D20E73C7-A4DD-44BC-A451-6A805774963A}"/>
    <cellStyle name="Currency 5 3 2 2 2 2 5" xfId="9286" xr:uid="{00000000-0005-0000-0000-00009A240000}"/>
    <cellStyle name="Currency 5 3 2 2 2 2 6" xfId="26156" xr:uid="{81556C1D-3937-46DD-8F93-C76F351ACFB9}"/>
    <cellStyle name="Currency 5 3 2 2 2 3" xfId="1173" xr:uid="{00000000-0005-0000-0000-00009B240000}"/>
    <cellStyle name="Currency 5 3 2 2 2 3 2" xfId="3404" xr:uid="{00000000-0005-0000-0000-00009C240000}"/>
    <cellStyle name="Currency 5 3 2 2 2 3 2 2" xfId="7627" xr:uid="{00000000-0005-0000-0000-00009D240000}"/>
    <cellStyle name="Currency 5 3 2 2 2 3 2 2 2" xfId="24497" xr:uid="{00000000-0005-0000-0000-00009E240000}"/>
    <cellStyle name="Currency 5 3 2 2 2 3 2 2 2 2" xfId="41365" xr:uid="{CC10D85C-9436-4C5A-A48D-04D28B9604E8}"/>
    <cellStyle name="Currency 5 3 2 2 2 3 2 2 3" xfId="16062" xr:uid="{00000000-0005-0000-0000-00009F240000}"/>
    <cellStyle name="Currency 5 3 2 2 2 3 2 2 4" xfId="32931" xr:uid="{554FFF5B-5662-44FB-8965-523FA1A812A3}"/>
    <cellStyle name="Currency 5 3 2 2 2 3 2 3" xfId="20279" xr:uid="{00000000-0005-0000-0000-0000A0240000}"/>
    <cellStyle name="Currency 5 3 2 2 2 3 2 3 2" xfId="37148" xr:uid="{CC54BC41-5F4E-4891-9630-335E1238794B}"/>
    <cellStyle name="Currency 5 3 2 2 2 3 2 4" xfId="11844" xr:uid="{00000000-0005-0000-0000-0000A1240000}"/>
    <cellStyle name="Currency 5 3 2 2 2 3 2 5" xfId="28714" xr:uid="{58CF8C00-1E3E-4FF9-BD7A-93C8ED10D1E7}"/>
    <cellStyle name="Currency 5 3 2 2 2 3 3" xfId="5482" xr:uid="{00000000-0005-0000-0000-0000A2240000}"/>
    <cellStyle name="Currency 5 3 2 2 2 3 3 2" xfId="22352" xr:uid="{00000000-0005-0000-0000-0000A3240000}"/>
    <cellStyle name="Currency 5 3 2 2 2 3 3 2 2" xfId="39220" xr:uid="{00B0FC38-BADD-4952-9837-5B38E63157B0}"/>
    <cellStyle name="Currency 5 3 2 2 2 3 3 3" xfId="13917" xr:uid="{00000000-0005-0000-0000-0000A4240000}"/>
    <cellStyle name="Currency 5 3 2 2 2 3 3 4" xfId="30786" xr:uid="{E6AFB5FD-5E53-461F-86EB-7051B446CA0D}"/>
    <cellStyle name="Currency 5 3 2 2 2 3 4" xfId="18134" xr:uid="{00000000-0005-0000-0000-0000A5240000}"/>
    <cellStyle name="Currency 5 3 2 2 2 3 4 2" xfId="35003" xr:uid="{2C737FCD-21B4-4A28-9410-B4507EE123BE}"/>
    <cellStyle name="Currency 5 3 2 2 2 3 5" xfId="9699" xr:uid="{00000000-0005-0000-0000-0000A6240000}"/>
    <cellStyle name="Currency 5 3 2 2 2 3 6" xfId="26569" xr:uid="{2B803091-B673-4B30-8529-C1322346943A}"/>
    <cellStyle name="Currency 5 3 2 2 2 4" xfId="1587" xr:uid="{00000000-0005-0000-0000-0000A7240000}"/>
    <cellStyle name="Currency 5 3 2 2 2 4 2" xfId="3817" xr:uid="{00000000-0005-0000-0000-0000A8240000}"/>
    <cellStyle name="Currency 5 3 2 2 2 4 2 2" xfId="8040" xr:uid="{00000000-0005-0000-0000-0000A9240000}"/>
    <cellStyle name="Currency 5 3 2 2 2 4 2 2 2" xfId="24910" xr:uid="{00000000-0005-0000-0000-0000AA240000}"/>
    <cellStyle name="Currency 5 3 2 2 2 4 2 2 2 2" xfId="41778" xr:uid="{C276CFD9-5F34-4B1B-B42A-DDD23D027BE2}"/>
    <cellStyle name="Currency 5 3 2 2 2 4 2 2 3" xfId="16475" xr:uid="{00000000-0005-0000-0000-0000AB240000}"/>
    <cellStyle name="Currency 5 3 2 2 2 4 2 2 4" xfId="33344" xr:uid="{56336D68-1AF5-436B-831C-0B9CB1E4B207}"/>
    <cellStyle name="Currency 5 3 2 2 2 4 2 3" xfId="20692" xr:uid="{00000000-0005-0000-0000-0000AC240000}"/>
    <cellStyle name="Currency 5 3 2 2 2 4 2 3 2" xfId="37561" xr:uid="{7847C1CD-1E2E-4549-9AE5-24931810D104}"/>
    <cellStyle name="Currency 5 3 2 2 2 4 2 4" xfId="12257" xr:uid="{00000000-0005-0000-0000-0000AD240000}"/>
    <cellStyle name="Currency 5 3 2 2 2 4 2 5" xfId="29127" xr:uid="{DBB23EF9-7FC7-4AF2-966C-C8DC0A4FECC2}"/>
    <cellStyle name="Currency 5 3 2 2 2 4 3" xfId="5895" xr:uid="{00000000-0005-0000-0000-0000AE240000}"/>
    <cellStyle name="Currency 5 3 2 2 2 4 3 2" xfId="22765" xr:uid="{00000000-0005-0000-0000-0000AF240000}"/>
    <cellStyle name="Currency 5 3 2 2 2 4 3 2 2" xfId="39633" xr:uid="{386DD620-720B-42B9-A0E8-63538E6AC992}"/>
    <cellStyle name="Currency 5 3 2 2 2 4 3 3" xfId="14330" xr:uid="{00000000-0005-0000-0000-0000B0240000}"/>
    <cellStyle name="Currency 5 3 2 2 2 4 3 4" xfId="31199" xr:uid="{A9165FFB-6BAB-4658-AB4C-07C2E802E4BE}"/>
    <cellStyle name="Currency 5 3 2 2 2 4 4" xfId="18547" xr:uid="{00000000-0005-0000-0000-0000B1240000}"/>
    <cellStyle name="Currency 5 3 2 2 2 4 4 2" xfId="35416" xr:uid="{A8D46D05-8C83-4D5E-A2F9-66F49F849BC4}"/>
    <cellStyle name="Currency 5 3 2 2 2 4 5" xfId="10112" xr:uid="{00000000-0005-0000-0000-0000B2240000}"/>
    <cellStyle name="Currency 5 3 2 2 2 4 6" xfId="26982" xr:uid="{A24EFA62-D1D8-4DB5-9951-C368962ECBCD}"/>
    <cellStyle name="Currency 5 3 2 2 2 5" xfId="2001" xr:uid="{00000000-0005-0000-0000-0000B3240000}"/>
    <cellStyle name="Currency 5 3 2 2 2 5 2" xfId="4230" xr:uid="{00000000-0005-0000-0000-0000B4240000}"/>
    <cellStyle name="Currency 5 3 2 2 2 5 2 2" xfId="8453" xr:uid="{00000000-0005-0000-0000-0000B5240000}"/>
    <cellStyle name="Currency 5 3 2 2 2 5 2 2 2" xfId="25323" xr:uid="{00000000-0005-0000-0000-0000B6240000}"/>
    <cellStyle name="Currency 5 3 2 2 2 5 2 2 2 2" xfId="42191" xr:uid="{F803909C-4D56-412C-A132-B9A808354420}"/>
    <cellStyle name="Currency 5 3 2 2 2 5 2 2 3" xfId="16888" xr:uid="{00000000-0005-0000-0000-0000B7240000}"/>
    <cellStyle name="Currency 5 3 2 2 2 5 2 2 4" xfId="33757" xr:uid="{B1964E60-3121-4CDE-B06C-37AC6C5CB5EA}"/>
    <cellStyle name="Currency 5 3 2 2 2 5 2 3" xfId="21105" xr:uid="{00000000-0005-0000-0000-0000B8240000}"/>
    <cellStyle name="Currency 5 3 2 2 2 5 2 3 2" xfId="37974" xr:uid="{CEF91310-0526-43D9-920D-CE2EF748ECF5}"/>
    <cellStyle name="Currency 5 3 2 2 2 5 2 4" xfId="12670" xr:uid="{00000000-0005-0000-0000-0000B9240000}"/>
    <cellStyle name="Currency 5 3 2 2 2 5 2 5" xfId="29540" xr:uid="{D144B93E-6531-4A5C-A8EA-99F132C30F5D}"/>
    <cellStyle name="Currency 5 3 2 2 2 5 3" xfId="6308" xr:uid="{00000000-0005-0000-0000-0000BA240000}"/>
    <cellStyle name="Currency 5 3 2 2 2 5 3 2" xfId="23178" xr:uid="{00000000-0005-0000-0000-0000BB240000}"/>
    <cellStyle name="Currency 5 3 2 2 2 5 3 2 2" xfId="40046" xr:uid="{2B9B6B7F-5AE5-4D1B-AD39-1E070DAE2F0F}"/>
    <cellStyle name="Currency 5 3 2 2 2 5 3 3" xfId="14743" xr:uid="{00000000-0005-0000-0000-0000BC240000}"/>
    <cellStyle name="Currency 5 3 2 2 2 5 3 4" xfId="31612" xr:uid="{2263560F-9DD3-45F2-8475-3E6487185E51}"/>
    <cellStyle name="Currency 5 3 2 2 2 5 4" xfId="18960" xr:uid="{00000000-0005-0000-0000-0000BD240000}"/>
    <cellStyle name="Currency 5 3 2 2 2 5 4 2" xfId="35829" xr:uid="{FD72DCE9-43E2-40E6-8E23-B45F539DF096}"/>
    <cellStyle name="Currency 5 3 2 2 2 5 5" xfId="10525" xr:uid="{00000000-0005-0000-0000-0000BE240000}"/>
    <cellStyle name="Currency 5 3 2 2 2 5 6" xfId="27395" xr:uid="{09DEBA12-E4E5-49AB-AD86-90A479E4624E}"/>
    <cellStyle name="Currency 5 3 2 2 2 6" xfId="2436" xr:uid="{00000000-0005-0000-0000-0000BF240000}"/>
    <cellStyle name="Currency 5 3 2 2 2 6 2" xfId="6721" xr:uid="{00000000-0005-0000-0000-0000C0240000}"/>
    <cellStyle name="Currency 5 3 2 2 2 6 2 2" xfId="23591" xr:uid="{00000000-0005-0000-0000-0000C1240000}"/>
    <cellStyle name="Currency 5 3 2 2 2 6 2 2 2" xfId="40459" xr:uid="{8C0C0D81-CBB2-4F1D-89F1-65BE6A5C18AF}"/>
    <cellStyle name="Currency 5 3 2 2 2 6 2 3" xfId="15156" xr:uid="{00000000-0005-0000-0000-0000C2240000}"/>
    <cellStyle name="Currency 5 3 2 2 2 6 2 4" xfId="32025" xr:uid="{E47D1323-4452-451A-99C7-958DF7524038}"/>
    <cellStyle name="Currency 5 3 2 2 2 6 3" xfId="19373" xr:uid="{00000000-0005-0000-0000-0000C3240000}"/>
    <cellStyle name="Currency 5 3 2 2 2 6 3 2" xfId="36242" xr:uid="{3197A30A-0832-4FC7-AAF1-790612343387}"/>
    <cellStyle name="Currency 5 3 2 2 2 6 4" xfId="10938" xr:uid="{00000000-0005-0000-0000-0000C4240000}"/>
    <cellStyle name="Currency 5 3 2 2 2 6 5" xfId="27808" xr:uid="{7501CFCA-458D-42D7-B5E2-DC4807C5640D}"/>
    <cellStyle name="Currency 5 3 2 2 2 7" xfId="2733" xr:uid="{00000000-0005-0000-0000-0000C5240000}"/>
    <cellStyle name="Currency 5 3 2 2 2 8" xfId="2814" xr:uid="{00000000-0005-0000-0000-0000C6240000}"/>
    <cellStyle name="Currency 5 3 2 2 2 8 2" xfId="7038" xr:uid="{00000000-0005-0000-0000-0000C7240000}"/>
    <cellStyle name="Currency 5 3 2 2 2 8 2 2" xfId="23908" xr:uid="{00000000-0005-0000-0000-0000C8240000}"/>
    <cellStyle name="Currency 5 3 2 2 2 8 2 2 2" xfId="40776" xr:uid="{ED7598C0-E8DE-4F30-BB92-ACE7C1B6F1CF}"/>
    <cellStyle name="Currency 5 3 2 2 2 8 2 3" xfId="15473" xr:uid="{00000000-0005-0000-0000-0000C9240000}"/>
    <cellStyle name="Currency 5 3 2 2 2 8 2 4" xfId="32342" xr:uid="{5D9F7EC3-EE5B-4B31-88BD-4B745B0ECC45}"/>
    <cellStyle name="Currency 5 3 2 2 2 8 3" xfId="19690" xr:uid="{00000000-0005-0000-0000-0000CA240000}"/>
    <cellStyle name="Currency 5 3 2 2 2 8 3 2" xfId="36559" xr:uid="{E64D8CD3-A09B-4A3E-93CF-D8790DF97CEB}"/>
    <cellStyle name="Currency 5 3 2 2 2 8 4" xfId="11255" xr:uid="{00000000-0005-0000-0000-0000CB240000}"/>
    <cellStyle name="Currency 5 3 2 2 2 8 5" xfId="28125" xr:uid="{1762127C-CA0E-4694-9104-6655FFA934A2}"/>
    <cellStyle name="Currency 5 3 2 2 2 9" xfId="4655" xr:uid="{00000000-0005-0000-0000-0000CC240000}"/>
    <cellStyle name="Currency 5 3 2 2 2 9 2" xfId="21525" xr:uid="{00000000-0005-0000-0000-0000CD240000}"/>
    <cellStyle name="Currency 5 3 2 2 2 9 2 2" xfId="38393" xr:uid="{65724D0B-7B64-4A92-9495-F7BF150C372A}"/>
    <cellStyle name="Currency 5 3 2 2 2 9 3" xfId="13090" xr:uid="{00000000-0005-0000-0000-0000CE240000}"/>
    <cellStyle name="Currency 5 3 2 2 2 9 4" xfId="29959" xr:uid="{3A0FFA68-9E1D-42C5-AD81-4E3E05E051B3}"/>
    <cellStyle name="Currency 5 3 2 2 3" xfId="737" xr:uid="{00000000-0005-0000-0000-0000CF240000}"/>
    <cellStyle name="Currency 5 3 2 2 3 2" xfId="2990" xr:uid="{00000000-0005-0000-0000-0000D0240000}"/>
    <cellStyle name="Currency 5 3 2 2 3 2 2" xfId="7213" xr:uid="{00000000-0005-0000-0000-0000D1240000}"/>
    <cellStyle name="Currency 5 3 2 2 3 2 2 2" xfId="24083" xr:uid="{00000000-0005-0000-0000-0000D2240000}"/>
    <cellStyle name="Currency 5 3 2 2 3 2 2 2 2" xfId="40951" xr:uid="{F410ED81-FD25-4D1F-A073-000162C4048C}"/>
    <cellStyle name="Currency 5 3 2 2 3 2 2 3" xfId="15648" xr:uid="{00000000-0005-0000-0000-0000D3240000}"/>
    <cellStyle name="Currency 5 3 2 2 3 2 2 4" xfId="32517" xr:uid="{08085642-63F7-4B69-9535-0A8830DED9AD}"/>
    <cellStyle name="Currency 5 3 2 2 3 2 3" xfId="19865" xr:uid="{00000000-0005-0000-0000-0000D4240000}"/>
    <cellStyle name="Currency 5 3 2 2 3 2 3 2" xfId="36734" xr:uid="{968E2952-F298-4A1F-9732-4743E9E6DE38}"/>
    <cellStyle name="Currency 5 3 2 2 3 2 4" xfId="11430" xr:uid="{00000000-0005-0000-0000-0000D5240000}"/>
    <cellStyle name="Currency 5 3 2 2 3 2 5" xfId="28300" xr:uid="{A09DDE01-DC30-4B25-921B-B202F7248F72}"/>
    <cellStyle name="Currency 5 3 2 2 3 3" xfId="5068" xr:uid="{00000000-0005-0000-0000-0000D6240000}"/>
    <cellStyle name="Currency 5 3 2 2 3 3 2" xfId="21938" xr:uid="{00000000-0005-0000-0000-0000D7240000}"/>
    <cellStyle name="Currency 5 3 2 2 3 3 2 2" xfId="38806" xr:uid="{7F0E3C5D-9B6B-47DE-86FB-CB792162D30A}"/>
    <cellStyle name="Currency 5 3 2 2 3 3 3" xfId="13503" xr:uid="{00000000-0005-0000-0000-0000D8240000}"/>
    <cellStyle name="Currency 5 3 2 2 3 3 4" xfId="30372" xr:uid="{060A1995-DF1A-451D-8648-FCA5D2FC761F}"/>
    <cellStyle name="Currency 5 3 2 2 3 4" xfId="17720" xr:uid="{00000000-0005-0000-0000-0000D9240000}"/>
    <cellStyle name="Currency 5 3 2 2 3 4 2" xfId="34589" xr:uid="{16947B71-FD99-42AC-8B83-562F33E56407}"/>
    <cellStyle name="Currency 5 3 2 2 3 5" xfId="9285" xr:uid="{00000000-0005-0000-0000-0000DA240000}"/>
    <cellStyle name="Currency 5 3 2 2 3 6" xfId="26155" xr:uid="{A9E4D010-671B-4F74-A84E-610BF07F5EF5}"/>
    <cellStyle name="Currency 5 3 2 2 4" xfId="1172" xr:uid="{00000000-0005-0000-0000-0000DB240000}"/>
    <cellStyle name="Currency 5 3 2 2 4 2" xfId="3403" xr:uid="{00000000-0005-0000-0000-0000DC240000}"/>
    <cellStyle name="Currency 5 3 2 2 4 2 2" xfId="7626" xr:uid="{00000000-0005-0000-0000-0000DD240000}"/>
    <cellStyle name="Currency 5 3 2 2 4 2 2 2" xfId="24496" xr:uid="{00000000-0005-0000-0000-0000DE240000}"/>
    <cellStyle name="Currency 5 3 2 2 4 2 2 2 2" xfId="41364" xr:uid="{94AD0C3C-FC51-449F-A3A0-A622660708A1}"/>
    <cellStyle name="Currency 5 3 2 2 4 2 2 3" xfId="16061" xr:uid="{00000000-0005-0000-0000-0000DF240000}"/>
    <cellStyle name="Currency 5 3 2 2 4 2 2 4" xfId="32930" xr:uid="{804D93F9-0E77-4CFB-AB12-EB701FFFD092}"/>
    <cellStyle name="Currency 5 3 2 2 4 2 3" xfId="20278" xr:uid="{00000000-0005-0000-0000-0000E0240000}"/>
    <cellStyle name="Currency 5 3 2 2 4 2 3 2" xfId="37147" xr:uid="{2670056A-F778-4067-96B4-A2FCBA0000FB}"/>
    <cellStyle name="Currency 5 3 2 2 4 2 4" xfId="11843" xr:uid="{00000000-0005-0000-0000-0000E1240000}"/>
    <cellStyle name="Currency 5 3 2 2 4 2 5" xfId="28713" xr:uid="{7E239D46-B29D-4E3A-B0BC-85C132957C49}"/>
    <cellStyle name="Currency 5 3 2 2 4 3" xfId="5481" xr:uid="{00000000-0005-0000-0000-0000E2240000}"/>
    <cellStyle name="Currency 5 3 2 2 4 3 2" xfId="22351" xr:uid="{00000000-0005-0000-0000-0000E3240000}"/>
    <cellStyle name="Currency 5 3 2 2 4 3 2 2" xfId="39219" xr:uid="{2D06E50E-431B-4075-8802-48AE433A1E48}"/>
    <cellStyle name="Currency 5 3 2 2 4 3 3" xfId="13916" xr:uid="{00000000-0005-0000-0000-0000E4240000}"/>
    <cellStyle name="Currency 5 3 2 2 4 3 4" xfId="30785" xr:uid="{993C7815-2603-4C3E-80D5-5651DE0DA010}"/>
    <cellStyle name="Currency 5 3 2 2 4 4" xfId="18133" xr:uid="{00000000-0005-0000-0000-0000E5240000}"/>
    <cellStyle name="Currency 5 3 2 2 4 4 2" xfId="35002" xr:uid="{7FE5CFA9-79E5-4E10-AE2B-2DAF39770FE3}"/>
    <cellStyle name="Currency 5 3 2 2 4 5" xfId="9698" xr:uid="{00000000-0005-0000-0000-0000E6240000}"/>
    <cellStyle name="Currency 5 3 2 2 4 6" xfId="26568" xr:uid="{6320DEC3-B1C8-4D57-87C7-E0C31881CB91}"/>
    <cellStyle name="Currency 5 3 2 2 5" xfId="1586" xr:uid="{00000000-0005-0000-0000-0000E7240000}"/>
    <cellStyle name="Currency 5 3 2 2 5 2" xfId="3816" xr:uid="{00000000-0005-0000-0000-0000E8240000}"/>
    <cellStyle name="Currency 5 3 2 2 5 2 2" xfId="8039" xr:uid="{00000000-0005-0000-0000-0000E9240000}"/>
    <cellStyle name="Currency 5 3 2 2 5 2 2 2" xfId="24909" xr:uid="{00000000-0005-0000-0000-0000EA240000}"/>
    <cellStyle name="Currency 5 3 2 2 5 2 2 2 2" xfId="41777" xr:uid="{D76B6A72-DD7A-4844-8677-BB44FDF6C069}"/>
    <cellStyle name="Currency 5 3 2 2 5 2 2 3" xfId="16474" xr:uid="{00000000-0005-0000-0000-0000EB240000}"/>
    <cellStyle name="Currency 5 3 2 2 5 2 2 4" xfId="33343" xr:uid="{15602966-A054-4EC3-994F-DB617C70FDAF}"/>
    <cellStyle name="Currency 5 3 2 2 5 2 3" xfId="20691" xr:uid="{00000000-0005-0000-0000-0000EC240000}"/>
    <cellStyle name="Currency 5 3 2 2 5 2 3 2" xfId="37560" xr:uid="{8CAF80A4-3910-4E21-B25C-E1AF39D3B1C2}"/>
    <cellStyle name="Currency 5 3 2 2 5 2 4" xfId="12256" xr:uid="{00000000-0005-0000-0000-0000ED240000}"/>
    <cellStyle name="Currency 5 3 2 2 5 2 5" xfId="29126" xr:uid="{38D78D64-C0AD-4604-BB3C-C23F4221F047}"/>
    <cellStyle name="Currency 5 3 2 2 5 3" xfId="5894" xr:uid="{00000000-0005-0000-0000-0000EE240000}"/>
    <cellStyle name="Currency 5 3 2 2 5 3 2" xfId="22764" xr:uid="{00000000-0005-0000-0000-0000EF240000}"/>
    <cellStyle name="Currency 5 3 2 2 5 3 2 2" xfId="39632" xr:uid="{A056A1B2-8AD6-4B95-ACF9-A158711CF631}"/>
    <cellStyle name="Currency 5 3 2 2 5 3 3" xfId="14329" xr:uid="{00000000-0005-0000-0000-0000F0240000}"/>
    <cellStyle name="Currency 5 3 2 2 5 3 4" xfId="31198" xr:uid="{5B7ADD39-E30B-4691-854B-C59E68194F7A}"/>
    <cellStyle name="Currency 5 3 2 2 5 4" xfId="18546" xr:uid="{00000000-0005-0000-0000-0000F1240000}"/>
    <cellStyle name="Currency 5 3 2 2 5 4 2" xfId="35415" xr:uid="{0D8B0772-F47E-4C9C-B050-584CF81309D8}"/>
    <cellStyle name="Currency 5 3 2 2 5 5" xfId="10111" xr:uid="{00000000-0005-0000-0000-0000F2240000}"/>
    <cellStyle name="Currency 5 3 2 2 5 6" xfId="26981" xr:uid="{24D42826-5EF6-4B37-9739-2991BE5B3F11}"/>
    <cellStyle name="Currency 5 3 2 2 6" xfId="2000" xr:uid="{00000000-0005-0000-0000-0000F3240000}"/>
    <cellStyle name="Currency 5 3 2 2 6 2" xfId="4229" xr:uid="{00000000-0005-0000-0000-0000F4240000}"/>
    <cellStyle name="Currency 5 3 2 2 6 2 2" xfId="8452" xr:uid="{00000000-0005-0000-0000-0000F5240000}"/>
    <cellStyle name="Currency 5 3 2 2 6 2 2 2" xfId="25322" xr:uid="{00000000-0005-0000-0000-0000F6240000}"/>
    <cellStyle name="Currency 5 3 2 2 6 2 2 2 2" xfId="42190" xr:uid="{CFE737E4-1DDA-4297-AFDF-3A5AAD86BC58}"/>
    <cellStyle name="Currency 5 3 2 2 6 2 2 3" xfId="16887" xr:uid="{00000000-0005-0000-0000-0000F7240000}"/>
    <cellStyle name="Currency 5 3 2 2 6 2 2 4" xfId="33756" xr:uid="{A128E5EA-6302-46C1-9BDF-B2420784637E}"/>
    <cellStyle name="Currency 5 3 2 2 6 2 3" xfId="21104" xr:uid="{00000000-0005-0000-0000-0000F8240000}"/>
    <cellStyle name="Currency 5 3 2 2 6 2 3 2" xfId="37973" xr:uid="{E825766E-1BAF-4B28-9C46-D3A693EC6320}"/>
    <cellStyle name="Currency 5 3 2 2 6 2 4" xfId="12669" xr:uid="{00000000-0005-0000-0000-0000F9240000}"/>
    <cellStyle name="Currency 5 3 2 2 6 2 5" xfId="29539" xr:uid="{FF9AB000-80B9-4714-8BE7-2539A9D28445}"/>
    <cellStyle name="Currency 5 3 2 2 6 3" xfId="6307" xr:uid="{00000000-0005-0000-0000-0000FA240000}"/>
    <cellStyle name="Currency 5 3 2 2 6 3 2" xfId="23177" xr:uid="{00000000-0005-0000-0000-0000FB240000}"/>
    <cellStyle name="Currency 5 3 2 2 6 3 2 2" xfId="40045" xr:uid="{3CB30668-DC7D-4F63-8F41-DF2438A6CBB2}"/>
    <cellStyle name="Currency 5 3 2 2 6 3 3" xfId="14742" xr:uid="{00000000-0005-0000-0000-0000FC240000}"/>
    <cellStyle name="Currency 5 3 2 2 6 3 4" xfId="31611" xr:uid="{F5640E08-30EA-4EDF-8C85-A013482BA75B}"/>
    <cellStyle name="Currency 5 3 2 2 6 4" xfId="18959" xr:uid="{00000000-0005-0000-0000-0000FD240000}"/>
    <cellStyle name="Currency 5 3 2 2 6 4 2" xfId="35828" xr:uid="{8952CFB7-872B-49CF-9C55-1714A0229C58}"/>
    <cellStyle name="Currency 5 3 2 2 6 5" xfId="10524" xr:uid="{00000000-0005-0000-0000-0000FE240000}"/>
    <cellStyle name="Currency 5 3 2 2 6 6" xfId="27394" xr:uid="{B2A1BA07-998F-412E-B5CC-370062B340A0}"/>
    <cellStyle name="Currency 5 3 2 2 7" xfId="2435" xr:uid="{00000000-0005-0000-0000-0000FF240000}"/>
    <cellStyle name="Currency 5 3 2 2 7 2" xfId="6720" xr:uid="{00000000-0005-0000-0000-000000250000}"/>
    <cellStyle name="Currency 5 3 2 2 7 2 2" xfId="23590" xr:uid="{00000000-0005-0000-0000-000001250000}"/>
    <cellStyle name="Currency 5 3 2 2 7 2 2 2" xfId="40458" xr:uid="{5FB1AD13-043E-4B68-AF40-20D667A54579}"/>
    <cellStyle name="Currency 5 3 2 2 7 2 3" xfId="15155" xr:uid="{00000000-0005-0000-0000-000002250000}"/>
    <cellStyle name="Currency 5 3 2 2 7 2 4" xfId="32024" xr:uid="{14393C8D-D37C-4EB1-8CAF-B7113BA1D9E8}"/>
    <cellStyle name="Currency 5 3 2 2 7 3" xfId="19372" xr:uid="{00000000-0005-0000-0000-000003250000}"/>
    <cellStyle name="Currency 5 3 2 2 7 3 2" xfId="36241" xr:uid="{FBA8EF05-1B7D-4F12-BA7F-73A8426C6A28}"/>
    <cellStyle name="Currency 5 3 2 2 7 4" xfId="10937" xr:uid="{00000000-0005-0000-0000-000004250000}"/>
    <cellStyle name="Currency 5 3 2 2 7 5" xfId="27807" xr:uid="{B24BD0F9-2ECE-4AE7-9565-7FA481A8B087}"/>
    <cellStyle name="Currency 5 3 2 2 8" xfId="2732" xr:uid="{00000000-0005-0000-0000-000005250000}"/>
    <cellStyle name="Currency 5 3 2 2 9" xfId="2813" xr:uid="{00000000-0005-0000-0000-000006250000}"/>
    <cellStyle name="Currency 5 3 2 2 9 2" xfId="7037" xr:uid="{00000000-0005-0000-0000-000007250000}"/>
    <cellStyle name="Currency 5 3 2 2 9 2 2" xfId="23907" xr:uid="{00000000-0005-0000-0000-000008250000}"/>
    <cellStyle name="Currency 5 3 2 2 9 2 2 2" xfId="40775" xr:uid="{1B77EC54-A2A6-418D-80FC-AECF69F13A93}"/>
    <cellStyle name="Currency 5 3 2 2 9 2 3" xfId="15472" xr:uid="{00000000-0005-0000-0000-000009250000}"/>
    <cellStyle name="Currency 5 3 2 2 9 2 4" xfId="32341" xr:uid="{FD18436A-475F-4C2D-9961-C163643C8B42}"/>
    <cellStyle name="Currency 5 3 2 2 9 3" xfId="19689" xr:uid="{00000000-0005-0000-0000-00000A250000}"/>
    <cellStyle name="Currency 5 3 2 2 9 3 2" xfId="36558" xr:uid="{158C2FE8-7869-4B58-A79A-DEE69DF05750}"/>
    <cellStyle name="Currency 5 3 2 2 9 4" xfId="11254" xr:uid="{00000000-0005-0000-0000-00000B250000}"/>
    <cellStyle name="Currency 5 3 2 2 9 5" xfId="28124" xr:uid="{B9A54D67-4687-4B2E-AE9A-6D62149BBC06}"/>
    <cellStyle name="Currency 5 3 2 3" xfId="213" xr:uid="{00000000-0005-0000-0000-00000C250000}"/>
    <cellStyle name="Currency 5 3 2 3 10" xfId="17308" xr:uid="{00000000-0005-0000-0000-00000D250000}"/>
    <cellStyle name="Currency 5 3 2 3 10 2" xfId="34177" xr:uid="{28DB2BBD-8C83-4C71-B2BE-1AA209AAAA01}"/>
    <cellStyle name="Currency 5 3 2 3 11" xfId="8873" xr:uid="{00000000-0005-0000-0000-00000E250000}"/>
    <cellStyle name="Currency 5 3 2 3 12" xfId="25743" xr:uid="{02C5A046-00FD-48ED-BACF-B172E5E93FC6}"/>
    <cellStyle name="Currency 5 3 2 3 2" xfId="739" xr:uid="{00000000-0005-0000-0000-00000F250000}"/>
    <cellStyle name="Currency 5 3 2 3 2 2" xfId="2992" xr:uid="{00000000-0005-0000-0000-000010250000}"/>
    <cellStyle name="Currency 5 3 2 3 2 2 2" xfId="7215" xr:uid="{00000000-0005-0000-0000-000011250000}"/>
    <cellStyle name="Currency 5 3 2 3 2 2 2 2" xfId="24085" xr:uid="{00000000-0005-0000-0000-000012250000}"/>
    <cellStyle name="Currency 5 3 2 3 2 2 2 2 2" xfId="40953" xr:uid="{E7C7C07A-6C70-4D1D-BD7B-5CBE98A674A6}"/>
    <cellStyle name="Currency 5 3 2 3 2 2 2 3" xfId="15650" xr:uid="{00000000-0005-0000-0000-000013250000}"/>
    <cellStyle name="Currency 5 3 2 3 2 2 2 4" xfId="32519" xr:uid="{B2F2FC5E-C345-423E-84C4-9096CCAD85E2}"/>
    <cellStyle name="Currency 5 3 2 3 2 2 3" xfId="19867" xr:uid="{00000000-0005-0000-0000-000014250000}"/>
    <cellStyle name="Currency 5 3 2 3 2 2 3 2" xfId="36736" xr:uid="{C63EEEF7-5379-4E40-8610-35470E0C3E62}"/>
    <cellStyle name="Currency 5 3 2 3 2 2 4" xfId="11432" xr:uid="{00000000-0005-0000-0000-000015250000}"/>
    <cellStyle name="Currency 5 3 2 3 2 2 5" xfId="28302" xr:uid="{057A7667-22C0-4C07-8554-022FCFF36E4D}"/>
    <cellStyle name="Currency 5 3 2 3 2 3" xfId="5070" xr:uid="{00000000-0005-0000-0000-000016250000}"/>
    <cellStyle name="Currency 5 3 2 3 2 3 2" xfId="21940" xr:uid="{00000000-0005-0000-0000-000017250000}"/>
    <cellStyle name="Currency 5 3 2 3 2 3 2 2" xfId="38808" xr:uid="{422B4493-FA82-4B42-96A0-2A341D87EB26}"/>
    <cellStyle name="Currency 5 3 2 3 2 3 3" xfId="13505" xr:uid="{00000000-0005-0000-0000-000018250000}"/>
    <cellStyle name="Currency 5 3 2 3 2 3 4" xfId="30374" xr:uid="{5DF586BC-AD30-42DF-884F-7BA861601E03}"/>
    <cellStyle name="Currency 5 3 2 3 2 4" xfId="17722" xr:uid="{00000000-0005-0000-0000-000019250000}"/>
    <cellStyle name="Currency 5 3 2 3 2 4 2" xfId="34591" xr:uid="{568CE426-4CCE-49FD-BBBE-7447600D1679}"/>
    <cellStyle name="Currency 5 3 2 3 2 5" xfId="9287" xr:uid="{00000000-0005-0000-0000-00001A250000}"/>
    <cellStyle name="Currency 5 3 2 3 2 6" xfId="26157" xr:uid="{B8087EA2-9A00-4576-A9E2-DB75155A40A5}"/>
    <cellStyle name="Currency 5 3 2 3 3" xfId="1174" xr:uid="{00000000-0005-0000-0000-00001B250000}"/>
    <cellStyle name="Currency 5 3 2 3 3 2" xfId="3405" xr:uid="{00000000-0005-0000-0000-00001C250000}"/>
    <cellStyle name="Currency 5 3 2 3 3 2 2" xfId="7628" xr:uid="{00000000-0005-0000-0000-00001D250000}"/>
    <cellStyle name="Currency 5 3 2 3 3 2 2 2" xfId="24498" xr:uid="{00000000-0005-0000-0000-00001E250000}"/>
    <cellStyle name="Currency 5 3 2 3 3 2 2 2 2" xfId="41366" xr:uid="{2C199EB7-BAAF-4EB8-8311-1FD79B6A24E4}"/>
    <cellStyle name="Currency 5 3 2 3 3 2 2 3" xfId="16063" xr:uid="{00000000-0005-0000-0000-00001F250000}"/>
    <cellStyle name="Currency 5 3 2 3 3 2 2 4" xfId="32932" xr:uid="{9A4C1817-024D-4996-817C-3CCDBE5131B3}"/>
    <cellStyle name="Currency 5 3 2 3 3 2 3" xfId="20280" xr:uid="{00000000-0005-0000-0000-000020250000}"/>
    <cellStyle name="Currency 5 3 2 3 3 2 3 2" xfId="37149" xr:uid="{EFAF80E7-15E7-4A20-8680-AC31B16C4AB5}"/>
    <cellStyle name="Currency 5 3 2 3 3 2 4" xfId="11845" xr:uid="{00000000-0005-0000-0000-000021250000}"/>
    <cellStyle name="Currency 5 3 2 3 3 2 5" xfId="28715" xr:uid="{38D91656-32DF-49C6-B097-A85A68834744}"/>
    <cellStyle name="Currency 5 3 2 3 3 3" xfId="5483" xr:uid="{00000000-0005-0000-0000-000022250000}"/>
    <cellStyle name="Currency 5 3 2 3 3 3 2" xfId="22353" xr:uid="{00000000-0005-0000-0000-000023250000}"/>
    <cellStyle name="Currency 5 3 2 3 3 3 2 2" xfId="39221" xr:uid="{9190D025-94EA-437A-89D1-930ADDF38D04}"/>
    <cellStyle name="Currency 5 3 2 3 3 3 3" xfId="13918" xr:uid="{00000000-0005-0000-0000-000024250000}"/>
    <cellStyle name="Currency 5 3 2 3 3 3 4" xfId="30787" xr:uid="{EAD781FB-C0B1-4E10-BD8D-90A8B27AAC90}"/>
    <cellStyle name="Currency 5 3 2 3 3 4" xfId="18135" xr:uid="{00000000-0005-0000-0000-000025250000}"/>
    <cellStyle name="Currency 5 3 2 3 3 4 2" xfId="35004" xr:uid="{FEE27555-49A2-4459-B79E-8C54B11928B2}"/>
    <cellStyle name="Currency 5 3 2 3 3 5" xfId="9700" xr:uid="{00000000-0005-0000-0000-000026250000}"/>
    <cellStyle name="Currency 5 3 2 3 3 6" xfId="26570" xr:uid="{1E138170-3F25-42AA-8FD8-0106CBCF9158}"/>
    <cellStyle name="Currency 5 3 2 3 4" xfId="1588" xr:uid="{00000000-0005-0000-0000-000027250000}"/>
    <cellStyle name="Currency 5 3 2 3 4 2" xfId="3818" xr:uid="{00000000-0005-0000-0000-000028250000}"/>
    <cellStyle name="Currency 5 3 2 3 4 2 2" xfId="8041" xr:uid="{00000000-0005-0000-0000-000029250000}"/>
    <cellStyle name="Currency 5 3 2 3 4 2 2 2" xfId="24911" xr:uid="{00000000-0005-0000-0000-00002A250000}"/>
    <cellStyle name="Currency 5 3 2 3 4 2 2 2 2" xfId="41779" xr:uid="{6AEE65FB-D346-4EAD-B781-8A5C023E1B30}"/>
    <cellStyle name="Currency 5 3 2 3 4 2 2 3" xfId="16476" xr:uid="{00000000-0005-0000-0000-00002B250000}"/>
    <cellStyle name="Currency 5 3 2 3 4 2 2 4" xfId="33345" xr:uid="{A3D3647F-8D7E-4021-A208-E800EA2ADC19}"/>
    <cellStyle name="Currency 5 3 2 3 4 2 3" xfId="20693" xr:uid="{00000000-0005-0000-0000-00002C250000}"/>
    <cellStyle name="Currency 5 3 2 3 4 2 3 2" xfId="37562" xr:uid="{E4C5BABD-87C6-4C54-A2C5-1A5EC15D681D}"/>
    <cellStyle name="Currency 5 3 2 3 4 2 4" xfId="12258" xr:uid="{00000000-0005-0000-0000-00002D250000}"/>
    <cellStyle name="Currency 5 3 2 3 4 2 5" xfId="29128" xr:uid="{0189AE04-19A2-49F3-9EC2-91CBA7B75D6D}"/>
    <cellStyle name="Currency 5 3 2 3 4 3" xfId="5896" xr:uid="{00000000-0005-0000-0000-00002E250000}"/>
    <cellStyle name="Currency 5 3 2 3 4 3 2" xfId="22766" xr:uid="{00000000-0005-0000-0000-00002F250000}"/>
    <cellStyle name="Currency 5 3 2 3 4 3 2 2" xfId="39634" xr:uid="{BE3D74F1-DCC5-4622-BB4E-B13D9BC2A919}"/>
    <cellStyle name="Currency 5 3 2 3 4 3 3" xfId="14331" xr:uid="{00000000-0005-0000-0000-000030250000}"/>
    <cellStyle name="Currency 5 3 2 3 4 3 4" xfId="31200" xr:uid="{0A716019-BC1A-4E24-9320-3C952B748B6A}"/>
    <cellStyle name="Currency 5 3 2 3 4 4" xfId="18548" xr:uid="{00000000-0005-0000-0000-000031250000}"/>
    <cellStyle name="Currency 5 3 2 3 4 4 2" xfId="35417" xr:uid="{C2536BD1-905C-4786-BA76-C366C8DF6F12}"/>
    <cellStyle name="Currency 5 3 2 3 4 5" xfId="10113" xr:uid="{00000000-0005-0000-0000-000032250000}"/>
    <cellStyle name="Currency 5 3 2 3 4 6" xfId="26983" xr:uid="{2AF716B3-4F9D-40E2-8EF9-727298F29E78}"/>
    <cellStyle name="Currency 5 3 2 3 5" xfId="2002" xr:uid="{00000000-0005-0000-0000-000033250000}"/>
    <cellStyle name="Currency 5 3 2 3 5 2" xfId="4231" xr:uid="{00000000-0005-0000-0000-000034250000}"/>
    <cellStyle name="Currency 5 3 2 3 5 2 2" xfId="8454" xr:uid="{00000000-0005-0000-0000-000035250000}"/>
    <cellStyle name="Currency 5 3 2 3 5 2 2 2" xfId="25324" xr:uid="{00000000-0005-0000-0000-000036250000}"/>
    <cellStyle name="Currency 5 3 2 3 5 2 2 2 2" xfId="42192" xr:uid="{93C46C3F-787D-48DE-A5E1-2C72E3D73B6A}"/>
    <cellStyle name="Currency 5 3 2 3 5 2 2 3" xfId="16889" xr:uid="{00000000-0005-0000-0000-000037250000}"/>
    <cellStyle name="Currency 5 3 2 3 5 2 2 4" xfId="33758" xr:uid="{7D2302C8-396B-41D3-A1E9-2A0210ABC18F}"/>
    <cellStyle name="Currency 5 3 2 3 5 2 3" xfId="21106" xr:uid="{00000000-0005-0000-0000-000038250000}"/>
    <cellStyle name="Currency 5 3 2 3 5 2 3 2" xfId="37975" xr:uid="{52A68E14-CC8A-43E8-AD51-B36259559F53}"/>
    <cellStyle name="Currency 5 3 2 3 5 2 4" xfId="12671" xr:uid="{00000000-0005-0000-0000-000039250000}"/>
    <cellStyle name="Currency 5 3 2 3 5 2 5" xfId="29541" xr:uid="{232B4889-2D99-46EB-9321-B702F6B6798C}"/>
    <cellStyle name="Currency 5 3 2 3 5 3" xfId="6309" xr:uid="{00000000-0005-0000-0000-00003A250000}"/>
    <cellStyle name="Currency 5 3 2 3 5 3 2" xfId="23179" xr:uid="{00000000-0005-0000-0000-00003B250000}"/>
    <cellStyle name="Currency 5 3 2 3 5 3 2 2" xfId="40047" xr:uid="{C3606154-4A87-4EC4-99E8-01E283A1FB35}"/>
    <cellStyle name="Currency 5 3 2 3 5 3 3" xfId="14744" xr:uid="{00000000-0005-0000-0000-00003C250000}"/>
    <cellStyle name="Currency 5 3 2 3 5 3 4" xfId="31613" xr:uid="{F2EE171D-67AF-4698-844C-12BBAC3C07A6}"/>
    <cellStyle name="Currency 5 3 2 3 5 4" xfId="18961" xr:uid="{00000000-0005-0000-0000-00003D250000}"/>
    <cellStyle name="Currency 5 3 2 3 5 4 2" xfId="35830" xr:uid="{203DFE84-3FAD-4D43-88BD-391315A01978}"/>
    <cellStyle name="Currency 5 3 2 3 5 5" xfId="10526" xr:uid="{00000000-0005-0000-0000-00003E250000}"/>
    <cellStyle name="Currency 5 3 2 3 5 6" xfId="27396" xr:uid="{10E7B129-FFAF-468F-AF8B-0E41588725CB}"/>
    <cellStyle name="Currency 5 3 2 3 6" xfId="2437" xr:uid="{00000000-0005-0000-0000-00003F250000}"/>
    <cellStyle name="Currency 5 3 2 3 6 2" xfId="6722" xr:uid="{00000000-0005-0000-0000-000040250000}"/>
    <cellStyle name="Currency 5 3 2 3 6 2 2" xfId="23592" xr:uid="{00000000-0005-0000-0000-000041250000}"/>
    <cellStyle name="Currency 5 3 2 3 6 2 2 2" xfId="40460" xr:uid="{D78818B0-5BC9-47CD-B66E-69B96B2E7D89}"/>
    <cellStyle name="Currency 5 3 2 3 6 2 3" xfId="15157" xr:uid="{00000000-0005-0000-0000-000042250000}"/>
    <cellStyle name="Currency 5 3 2 3 6 2 4" xfId="32026" xr:uid="{B39A3A13-FD7B-4BEA-8FA9-5FBD25FC29FB}"/>
    <cellStyle name="Currency 5 3 2 3 6 3" xfId="19374" xr:uid="{00000000-0005-0000-0000-000043250000}"/>
    <cellStyle name="Currency 5 3 2 3 6 3 2" xfId="36243" xr:uid="{3ACFF4BC-175B-4F19-8194-D4E244B97693}"/>
    <cellStyle name="Currency 5 3 2 3 6 4" xfId="10939" xr:uid="{00000000-0005-0000-0000-000044250000}"/>
    <cellStyle name="Currency 5 3 2 3 6 5" xfId="27809" xr:uid="{6ABF720B-FB97-46CA-8FA8-C1DC6DE48546}"/>
    <cellStyle name="Currency 5 3 2 3 7" xfId="2734" xr:uid="{00000000-0005-0000-0000-000045250000}"/>
    <cellStyle name="Currency 5 3 2 3 8" xfId="2815" xr:uid="{00000000-0005-0000-0000-000046250000}"/>
    <cellStyle name="Currency 5 3 2 3 8 2" xfId="7039" xr:uid="{00000000-0005-0000-0000-000047250000}"/>
    <cellStyle name="Currency 5 3 2 3 8 2 2" xfId="23909" xr:uid="{00000000-0005-0000-0000-000048250000}"/>
    <cellStyle name="Currency 5 3 2 3 8 2 2 2" xfId="40777" xr:uid="{ABC8393F-675E-400B-A459-F50B77C7401B}"/>
    <cellStyle name="Currency 5 3 2 3 8 2 3" xfId="15474" xr:uid="{00000000-0005-0000-0000-000049250000}"/>
    <cellStyle name="Currency 5 3 2 3 8 2 4" xfId="32343" xr:uid="{D3A69430-3207-4F02-8BB4-301ADB7CC0C5}"/>
    <cellStyle name="Currency 5 3 2 3 8 3" xfId="19691" xr:uid="{00000000-0005-0000-0000-00004A250000}"/>
    <cellStyle name="Currency 5 3 2 3 8 3 2" xfId="36560" xr:uid="{498615AB-62A6-4041-9396-A73D980E841B}"/>
    <cellStyle name="Currency 5 3 2 3 8 4" xfId="11256" xr:uid="{00000000-0005-0000-0000-00004B250000}"/>
    <cellStyle name="Currency 5 3 2 3 8 5" xfId="28126" xr:uid="{F32145C3-0E14-4F82-9979-2441000190BB}"/>
    <cellStyle name="Currency 5 3 2 3 9" xfId="4656" xr:uid="{00000000-0005-0000-0000-00004C250000}"/>
    <cellStyle name="Currency 5 3 2 3 9 2" xfId="21526" xr:uid="{00000000-0005-0000-0000-00004D250000}"/>
    <cellStyle name="Currency 5 3 2 3 9 2 2" xfId="38394" xr:uid="{1EEF57B2-12FD-4EBA-B508-486177F52102}"/>
    <cellStyle name="Currency 5 3 2 3 9 3" xfId="13091" xr:uid="{00000000-0005-0000-0000-00004E250000}"/>
    <cellStyle name="Currency 5 3 2 3 9 4" xfId="29960" xr:uid="{7B41CB06-6D89-472D-98AC-E8E328B338E3}"/>
    <cellStyle name="Currency 5 3 2 4" xfId="736" xr:uid="{00000000-0005-0000-0000-00004F250000}"/>
    <cellStyle name="Currency 5 3 2 4 2" xfId="2989" xr:uid="{00000000-0005-0000-0000-000050250000}"/>
    <cellStyle name="Currency 5 3 2 4 2 2" xfId="7212" xr:uid="{00000000-0005-0000-0000-000051250000}"/>
    <cellStyle name="Currency 5 3 2 4 2 2 2" xfId="24082" xr:uid="{00000000-0005-0000-0000-000052250000}"/>
    <cellStyle name="Currency 5 3 2 4 2 2 2 2" xfId="40950" xr:uid="{DB455ABA-D087-4B29-B0DB-B59A110758A5}"/>
    <cellStyle name="Currency 5 3 2 4 2 2 3" xfId="15647" xr:uid="{00000000-0005-0000-0000-000053250000}"/>
    <cellStyle name="Currency 5 3 2 4 2 2 4" xfId="32516" xr:uid="{54FA6143-765F-4450-9620-EC989DF6D118}"/>
    <cellStyle name="Currency 5 3 2 4 2 3" xfId="19864" xr:uid="{00000000-0005-0000-0000-000054250000}"/>
    <cellStyle name="Currency 5 3 2 4 2 3 2" xfId="36733" xr:uid="{A99EC4F8-A679-43EC-9DEE-69B38FC33420}"/>
    <cellStyle name="Currency 5 3 2 4 2 4" xfId="11429" xr:uid="{00000000-0005-0000-0000-000055250000}"/>
    <cellStyle name="Currency 5 3 2 4 2 5" xfId="28299" xr:uid="{3B2B151D-96FF-4AAA-92CB-CD865C611D14}"/>
    <cellStyle name="Currency 5 3 2 4 3" xfId="5067" xr:uid="{00000000-0005-0000-0000-000056250000}"/>
    <cellStyle name="Currency 5 3 2 4 3 2" xfId="21937" xr:uid="{00000000-0005-0000-0000-000057250000}"/>
    <cellStyle name="Currency 5 3 2 4 3 2 2" xfId="38805" xr:uid="{29B89003-7BB4-477A-A5C8-D306FF46673C}"/>
    <cellStyle name="Currency 5 3 2 4 3 3" xfId="13502" xr:uid="{00000000-0005-0000-0000-000058250000}"/>
    <cellStyle name="Currency 5 3 2 4 3 4" xfId="30371" xr:uid="{24918EFC-9ED0-4C73-97DD-D3067583BE78}"/>
    <cellStyle name="Currency 5 3 2 4 4" xfId="17719" xr:uid="{00000000-0005-0000-0000-000059250000}"/>
    <cellStyle name="Currency 5 3 2 4 4 2" xfId="34588" xr:uid="{ECF1B50A-95D9-4693-B698-3DE283C4FFDF}"/>
    <cellStyle name="Currency 5 3 2 4 5" xfId="9284" xr:uid="{00000000-0005-0000-0000-00005A250000}"/>
    <cellStyle name="Currency 5 3 2 4 6" xfId="26154" xr:uid="{FF4EE7B0-68F8-43FD-979D-6A0552A8A012}"/>
    <cellStyle name="Currency 5 3 2 5" xfId="1171" xr:uid="{00000000-0005-0000-0000-00005B250000}"/>
    <cellStyle name="Currency 5 3 2 5 2" xfId="3402" xr:uid="{00000000-0005-0000-0000-00005C250000}"/>
    <cellStyle name="Currency 5 3 2 5 2 2" xfId="7625" xr:uid="{00000000-0005-0000-0000-00005D250000}"/>
    <cellStyle name="Currency 5 3 2 5 2 2 2" xfId="24495" xr:uid="{00000000-0005-0000-0000-00005E250000}"/>
    <cellStyle name="Currency 5 3 2 5 2 2 2 2" xfId="41363" xr:uid="{1A3FD99D-1AE7-4C2E-B0F7-CF23417B8DF4}"/>
    <cellStyle name="Currency 5 3 2 5 2 2 3" xfId="16060" xr:uid="{00000000-0005-0000-0000-00005F250000}"/>
    <cellStyle name="Currency 5 3 2 5 2 2 4" xfId="32929" xr:uid="{2F088CD3-FA85-4579-8F52-E3A7BBC2C68B}"/>
    <cellStyle name="Currency 5 3 2 5 2 3" xfId="20277" xr:uid="{00000000-0005-0000-0000-000060250000}"/>
    <cellStyle name="Currency 5 3 2 5 2 3 2" xfId="37146" xr:uid="{9313EB38-AADD-4A58-ACF8-C616572D5520}"/>
    <cellStyle name="Currency 5 3 2 5 2 4" xfId="11842" xr:uid="{00000000-0005-0000-0000-000061250000}"/>
    <cellStyle name="Currency 5 3 2 5 2 5" xfId="28712" xr:uid="{68A9C6A5-668D-4FAA-A2BB-60D7194E41CD}"/>
    <cellStyle name="Currency 5 3 2 5 3" xfId="5480" xr:uid="{00000000-0005-0000-0000-000062250000}"/>
    <cellStyle name="Currency 5 3 2 5 3 2" xfId="22350" xr:uid="{00000000-0005-0000-0000-000063250000}"/>
    <cellStyle name="Currency 5 3 2 5 3 2 2" xfId="39218" xr:uid="{480E8A91-32C7-4F16-A863-7EC8A53E766F}"/>
    <cellStyle name="Currency 5 3 2 5 3 3" xfId="13915" xr:uid="{00000000-0005-0000-0000-000064250000}"/>
    <cellStyle name="Currency 5 3 2 5 3 4" xfId="30784" xr:uid="{B0571C19-F5EB-45D8-A46D-A9F10E851BC4}"/>
    <cellStyle name="Currency 5 3 2 5 4" xfId="18132" xr:uid="{00000000-0005-0000-0000-000065250000}"/>
    <cellStyle name="Currency 5 3 2 5 4 2" xfId="35001" xr:uid="{1FDF1319-81FC-4255-914F-1D7C75184CBC}"/>
    <cellStyle name="Currency 5 3 2 5 5" xfId="9697" xr:uid="{00000000-0005-0000-0000-000066250000}"/>
    <cellStyle name="Currency 5 3 2 5 6" xfId="26567" xr:uid="{1AE9CB1D-E823-412F-9620-315FF903D57A}"/>
    <cellStyle name="Currency 5 3 2 6" xfId="1585" xr:uid="{00000000-0005-0000-0000-000067250000}"/>
    <cellStyle name="Currency 5 3 2 6 2" xfId="3815" xr:uid="{00000000-0005-0000-0000-000068250000}"/>
    <cellStyle name="Currency 5 3 2 6 2 2" xfId="8038" xr:uid="{00000000-0005-0000-0000-000069250000}"/>
    <cellStyle name="Currency 5 3 2 6 2 2 2" xfId="24908" xr:uid="{00000000-0005-0000-0000-00006A250000}"/>
    <cellStyle name="Currency 5 3 2 6 2 2 2 2" xfId="41776" xr:uid="{B1B60A6E-8E63-4872-96C5-6A27E6C3D460}"/>
    <cellStyle name="Currency 5 3 2 6 2 2 3" xfId="16473" xr:uid="{00000000-0005-0000-0000-00006B250000}"/>
    <cellStyle name="Currency 5 3 2 6 2 2 4" xfId="33342" xr:uid="{A04D9247-5E6E-4FC4-9C33-BFEA18715ED0}"/>
    <cellStyle name="Currency 5 3 2 6 2 3" xfId="20690" xr:uid="{00000000-0005-0000-0000-00006C250000}"/>
    <cellStyle name="Currency 5 3 2 6 2 3 2" xfId="37559" xr:uid="{8B8D21DE-203C-4476-9ECF-2C3C268E6BD2}"/>
    <cellStyle name="Currency 5 3 2 6 2 4" xfId="12255" xr:uid="{00000000-0005-0000-0000-00006D250000}"/>
    <cellStyle name="Currency 5 3 2 6 2 5" xfId="29125" xr:uid="{83D22C02-2D7A-4230-A4E2-C30F9F316513}"/>
    <cellStyle name="Currency 5 3 2 6 3" xfId="5893" xr:uid="{00000000-0005-0000-0000-00006E250000}"/>
    <cellStyle name="Currency 5 3 2 6 3 2" xfId="22763" xr:uid="{00000000-0005-0000-0000-00006F250000}"/>
    <cellStyle name="Currency 5 3 2 6 3 2 2" xfId="39631" xr:uid="{9FE62164-6B52-4E5C-B608-3213C240A292}"/>
    <cellStyle name="Currency 5 3 2 6 3 3" xfId="14328" xr:uid="{00000000-0005-0000-0000-000070250000}"/>
    <cellStyle name="Currency 5 3 2 6 3 4" xfId="31197" xr:uid="{B3943B92-16D5-4B56-8987-9D9232C28F15}"/>
    <cellStyle name="Currency 5 3 2 6 4" xfId="18545" xr:uid="{00000000-0005-0000-0000-000071250000}"/>
    <cellStyle name="Currency 5 3 2 6 4 2" xfId="35414" xr:uid="{AB9710D8-FDB2-4E86-A3B2-82D5AF8BF6FD}"/>
    <cellStyle name="Currency 5 3 2 6 5" xfId="10110" xr:uid="{00000000-0005-0000-0000-000072250000}"/>
    <cellStyle name="Currency 5 3 2 6 6" xfId="26980" xr:uid="{D765421D-1CA8-44AC-B01A-1C4C3DEA66A5}"/>
    <cellStyle name="Currency 5 3 2 7" xfId="1999" xr:uid="{00000000-0005-0000-0000-000073250000}"/>
    <cellStyle name="Currency 5 3 2 7 2" xfId="4228" xr:uid="{00000000-0005-0000-0000-000074250000}"/>
    <cellStyle name="Currency 5 3 2 7 2 2" xfId="8451" xr:uid="{00000000-0005-0000-0000-000075250000}"/>
    <cellStyle name="Currency 5 3 2 7 2 2 2" xfId="25321" xr:uid="{00000000-0005-0000-0000-000076250000}"/>
    <cellStyle name="Currency 5 3 2 7 2 2 2 2" xfId="42189" xr:uid="{D2632C9E-3B27-4BDA-AE96-55946C66ADE3}"/>
    <cellStyle name="Currency 5 3 2 7 2 2 3" xfId="16886" xr:uid="{00000000-0005-0000-0000-000077250000}"/>
    <cellStyle name="Currency 5 3 2 7 2 2 4" xfId="33755" xr:uid="{36C8D6E5-7F81-443D-B7BA-52AF5F4BA14B}"/>
    <cellStyle name="Currency 5 3 2 7 2 3" xfId="21103" xr:uid="{00000000-0005-0000-0000-000078250000}"/>
    <cellStyle name="Currency 5 3 2 7 2 3 2" xfId="37972" xr:uid="{13560EB6-0218-46BD-AE06-0AC482F7909B}"/>
    <cellStyle name="Currency 5 3 2 7 2 4" xfId="12668" xr:uid="{00000000-0005-0000-0000-000079250000}"/>
    <cellStyle name="Currency 5 3 2 7 2 5" xfId="29538" xr:uid="{EFE8A52D-677B-4FDC-BB68-6429CA09B675}"/>
    <cellStyle name="Currency 5 3 2 7 3" xfId="6306" xr:uid="{00000000-0005-0000-0000-00007A250000}"/>
    <cellStyle name="Currency 5 3 2 7 3 2" xfId="23176" xr:uid="{00000000-0005-0000-0000-00007B250000}"/>
    <cellStyle name="Currency 5 3 2 7 3 2 2" xfId="40044" xr:uid="{90F587A8-4CCD-493F-AB97-9365D785255F}"/>
    <cellStyle name="Currency 5 3 2 7 3 3" xfId="14741" xr:uid="{00000000-0005-0000-0000-00007C250000}"/>
    <cellStyle name="Currency 5 3 2 7 3 4" xfId="31610" xr:uid="{F4BA2EEF-4E28-492D-8A0B-8C4220928114}"/>
    <cellStyle name="Currency 5 3 2 7 4" xfId="18958" xr:uid="{00000000-0005-0000-0000-00007D250000}"/>
    <cellStyle name="Currency 5 3 2 7 4 2" xfId="35827" xr:uid="{4F2A8FA1-EBB5-4916-9F5D-A64EDB022B90}"/>
    <cellStyle name="Currency 5 3 2 7 5" xfId="10523" xr:uid="{00000000-0005-0000-0000-00007E250000}"/>
    <cellStyle name="Currency 5 3 2 7 6" xfId="27393" xr:uid="{E046FEB4-F6F0-4E8F-8D14-663F80B7AFBE}"/>
    <cellStyle name="Currency 5 3 2 8" xfId="2434" xr:uid="{00000000-0005-0000-0000-00007F250000}"/>
    <cellStyle name="Currency 5 3 2 8 2" xfId="6719" xr:uid="{00000000-0005-0000-0000-000080250000}"/>
    <cellStyle name="Currency 5 3 2 8 2 2" xfId="23589" xr:uid="{00000000-0005-0000-0000-000081250000}"/>
    <cellStyle name="Currency 5 3 2 8 2 2 2" xfId="40457" xr:uid="{5FC0EA17-E69B-4C8C-94A2-A8E35D3762CE}"/>
    <cellStyle name="Currency 5 3 2 8 2 3" xfId="15154" xr:uid="{00000000-0005-0000-0000-000082250000}"/>
    <cellStyle name="Currency 5 3 2 8 2 4" xfId="32023" xr:uid="{3A0DD94F-FC2B-43D5-8974-7458E6408358}"/>
    <cellStyle name="Currency 5 3 2 8 3" xfId="19371" xr:uid="{00000000-0005-0000-0000-000083250000}"/>
    <cellStyle name="Currency 5 3 2 8 3 2" xfId="36240" xr:uid="{57F1A825-EF82-430E-8937-40C058896416}"/>
    <cellStyle name="Currency 5 3 2 8 4" xfId="10936" xr:uid="{00000000-0005-0000-0000-000084250000}"/>
    <cellStyle name="Currency 5 3 2 8 5" xfId="27806" xr:uid="{8276E586-8E8B-407A-AAFC-EC9C7E10F403}"/>
    <cellStyle name="Currency 5 3 2 9" xfId="2731" xr:uid="{00000000-0005-0000-0000-000085250000}"/>
    <cellStyle name="Currency 5 3 3" xfId="214" xr:uid="{00000000-0005-0000-0000-000086250000}"/>
    <cellStyle name="Currency 5 3 3 10" xfId="4657" xr:uid="{00000000-0005-0000-0000-000087250000}"/>
    <cellStyle name="Currency 5 3 3 10 2" xfId="21527" xr:uid="{00000000-0005-0000-0000-000088250000}"/>
    <cellStyle name="Currency 5 3 3 10 2 2" xfId="38395" xr:uid="{30C6C282-AAA4-49DF-B1BA-6BC9B723EEA1}"/>
    <cellStyle name="Currency 5 3 3 10 3" xfId="13092" xr:uid="{00000000-0005-0000-0000-000089250000}"/>
    <cellStyle name="Currency 5 3 3 10 4" xfId="29961" xr:uid="{36AFBABC-43FD-4796-8CCD-95900D91A884}"/>
    <cellStyle name="Currency 5 3 3 11" xfId="17309" xr:uid="{00000000-0005-0000-0000-00008A250000}"/>
    <cellStyle name="Currency 5 3 3 11 2" xfId="34178" xr:uid="{866C188E-8647-49DC-B27C-7C8AF13EE0DA}"/>
    <cellStyle name="Currency 5 3 3 12" xfId="8874" xr:uid="{00000000-0005-0000-0000-00008B250000}"/>
    <cellStyle name="Currency 5 3 3 13" xfId="25744" xr:uid="{1CB2844E-DA2B-4FCA-BDE6-2F41196AE261}"/>
    <cellStyle name="Currency 5 3 3 2" xfId="215" xr:uid="{00000000-0005-0000-0000-00008C250000}"/>
    <cellStyle name="Currency 5 3 3 2 10" xfId="17310" xr:uid="{00000000-0005-0000-0000-00008D250000}"/>
    <cellStyle name="Currency 5 3 3 2 10 2" xfId="34179" xr:uid="{F9C12485-562D-4D09-834D-52216F9DF000}"/>
    <cellStyle name="Currency 5 3 3 2 11" xfId="8875" xr:uid="{00000000-0005-0000-0000-00008E250000}"/>
    <cellStyle name="Currency 5 3 3 2 12" xfId="25745" xr:uid="{2878A001-3ED0-45B5-A679-819784ED737D}"/>
    <cellStyle name="Currency 5 3 3 2 2" xfId="741" xr:uid="{00000000-0005-0000-0000-00008F250000}"/>
    <cellStyle name="Currency 5 3 3 2 2 2" xfId="2994" xr:uid="{00000000-0005-0000-0000-000090250000}"/>
    <cellStyle name="Currency 5 3 3 2 2 2 2" xfId="7217" xr:uid="{00000000-0005-0000-0000-000091250000}"/>
    <cellStyle name="Currency 5 3 3 2 2 2 2 2" xfId="24087" xr:uid="{00000000-0005-0000-0000-000092250000}"/>
    <cellStyle name="Currency 5 3 3 2 2 2 2 2 2" xfId="40955" xr:uid="{6D7D2FE3-EB81-4FEB-9C95-6C07DABB51DC}"/>
    <cellStyle name="Currency 5 3 3 2 2 2 2 3" xfId="15652" xr:uid="{00000000-0005-0000-0000-000093250000}"/>
    <cellStyle name="Currency 5 3 3 2 2 2 2 4" xfId="32521" xr:uid="{7FF5020F-21E6-41BD-A7C5-36416A2D7E48}"/>
    <cellStyle name="Currency 5 3 3 2 2 2 3" xfId="19869" xr:uid="{00000000-0005-0000-0000-000094250000}"/>
    <cellStyle name="Currency 5 3 3 2 2 2 3 2" xfId="36738" xr:uid="{D047E58E-0E1D-4D2F-85B9-62FC3E3A5A4A}"/>
    <cellStyle name="Currency 5 3 3 2 2 2 4" xfId="11434" xr:uid="{00000000-0005-0000-0000-000095250000}"/>
    <cellStyle name="Currency 5 3 3 2 2 2 5" xfId="28304" xr:uid="{2DAA5CB5-72D3-4126-8EB5-F25BEE1FDABE}"/>
    <cellStyle name="Currency 5 3 3 2 2 3" xfId="5072" xr:uid="{00000000-0005-0000-0000-000096250000}"/>
    <cellStyle name="Currency 5 3 3 2 2 3 2" xfId="21942" xr:uid="{00000000-0005-0000-0000-000097250000}"/>
    <cellStyle name="Currency 5 3 3 2 2 3 2 2" xfId="38810" xr:uid="{F8D37DAF-7EFF-42EF-BD74-61DBDA6B6DE3}"/>
    <cellStyle name="Currency 5 3 3 2 2 3 3" xfId="13507" xr:uid="{00000000-0005-0000-0000-000098250000}"/>
    <cellStyle name="Currency 5 3 3 2 2 3 4" xfId="30376" xr:uid="{15961DC6-8680-4C9C-9285-60F58DE32B83}"/>
    <cellStyle name="Currency 5 3 3 2 2 4" xfId="17724" xr:uid="{00000000-0005-0000-0000-000099250000}"/>
    <cellStyle name="Currency 5 3 3 2 2 4 2" xfId="34593" xr:uid="{982C6E20-7755-4ACD-8E32-882034E21021}"/>
    <cellStyle name="Currency 5 3 3 2 2 5" xfId="9289" xr:uid="{00000000-0005-0000-0000-00009A250000}"/>
    <cellStyle name="Currency 5 3 3 2 2 6" xfId="26159" xr:uid="{6FFBC136-59DB-4F8A-86C9-923EAEBAB252}"/>
    <cellStyle name="Currency 5 3 3 2 3" xfId="1176" xr:uid="{00000000-0005-0000-0000-00009B250000}"/>
    <cellStyle name="Currency 5 3 3 2 3 2" xfId="3407" xr:uid="{00000000-0005-0000-0000-00009C250000}"/>
    <cellStyle name="Currency 5 3 3 2 3 2 2" xfId="7630" xr:uid="{00000000-0005-0000-0000-00009D250000}"/>
    <cellStyle name="Currency 5 3 3 2 3 2 2 2" xfId="24500" xr:uid="{00000000-0005-0000-0000-00009E250000}"/>
    <cellStyle name="Currency 5 3 3 2 3 2 2 2 2" xfId="41368" xr:uid="{63132265-2569-4950-8EE9-9E34592BECB6}"/>
    <cellStyle name="Currency 5 3 3 2 3 2 2 3" xfId="16065" xr:uid="{00000000-0005-0000-0000-00009F250000}"/>
    <cellStyle name="Currency 5 3 3 2 3 2 2 4" xfId="32934" xr:uid="{29CE5426-9692-4F82-928F-C93B9F29B4F5}"/>
    <cellStyle name="Currency 5 3 3 2 3 2 3" xfId="20282" xr:uid="{00000000-0005-0000-0000-0000A0250000}"/>
    <cellStyle name="Currency 5 3 3 2 3 2 3 2" xfId="37151" xr:uid="{A160D1CA-1A4E-4D9A-A2D6-BEFACF0F3F5A}"/>
    <cellStyle name="Currency 5 3 3 2 3 2 4" xfId="11847" xr:uid="{00000000-0005-0000-0000-0000A1250000}"/>
    <cellStyle name="Currency 5 3 3 2 3 2 5" xfId="28717" xr:uid="{4B46716A-1086-418E-AC34-868C07571165}"/>
    <cellStyle name="Currency 5 3 3 2 3 3" xfId="5485" xr:uid="{00000000-0005-0000-0000-0000A2250000}"/>
    <cellStyle name="Currency 5 3 3 2 3 3 2" xfId="22355" xr:uid="{00000000-0005-0000-0000-0000A3250000}"/>
    <cellStyle name="Currency 5 3 3 2 3 3 2 2" xfId="39223" xr:uid="{A9126A89-6B3E-47C6-83E6-2D966E89A891}"/>
    <cellStyle name="Currency 5 3 3 2 3 3 3" xfId="13920" xr:uid="{00000000-0005-0000-0000-0000A4250000}"/>
    <cellStyle name="Currency 5 3 3 2 3 3 4" xfId="30789" xr:uid="{A12414C9-F3DA-46C8-9FCF-C9559E5EA12C}"/>
    <cellStyle name="Currency 5 3 3 2 3 4" xfId="18137" xr:uid="{00000000-0005-0000-0000-0000A5250000}"/>
    <cellStyle name="Currency 5 3 3 2 3 4 2" xfId="35006" xr:uid="{885CCAEE-AEDF-4458-A28C-B97AB1BC16FA}"/>
    <cellStyle name="Currency 5 3 3 2 3 5" xfId="9702" xr:uid="{00000000-0005-0000-0000-0000A6250000}"/>
    <cellStyle name="Currency 5 3 3 2 3 6" xfId="26572" xr:uid="{6CAAE962-2707-4FF5-9FAD-3910F478A1B7}"/>
    <cellStyle name="Currency 5 3 3 2 4" xfId="1590" xr:uid="{00000000-0005-0000-0000-0000A7250000}"/>
    <cellStyle name="Currency 5 3 3 2 4 2" xfId="3820" xr:uid="{00000000-0005-0000-0000-0000A8250000}"/>
    <cellStyle name="Currency 5 3 3 2 4 2 2" xfId="8043" xr:uid="{00000000-0005-0000-0000-0000A9250000}"/>
    <cellStyle name="Currency 5 3 3 2 4 2 2 2" xfId="24913" xr:uid="{00000000-0005-0000-0000-0000AA250000}"/>
    <cellStyle name="Currency 5 3 3 2 4 2 2 2 2" xfId="41781" xr:uid="{698EE933-BC7A-4B23-8088-585B510BFDD3}"/>
    <cellStyle name="Currency 5 3 3 2 4 2 2 3" xfId="16478" xr:uid="{00000000-0005-0000-0000-0000AB250000}"/>
    <cellStyle name="Currency 5 3 3 2 4 2 2 4" xfId="33347" xr:uid="{CEB711C8-B033-4BAC-82E5-54E7D5A1F443}"/>
    <cellStyle name="Currency 5 3 3 2 4 2 3" xfId="20695" xr:uid="{00000000-0005-0000-0000-0000AC250000}"/>
    <cellStyle name="Currency 5 3 3 2 4 2 3 2" xfId="37564" xr:uid="{31E234DB-0F15-4BB5-A05E-80F304357B12}"/>
    <cellStyle name="Currency 5 3 3 2 4 2 4" xfId="12260" xr:uid="{00000000-0005-0000-0000-0000AD250000}"/>
    <cellStyle name="Currency 5 3 3 2 4 2 5" xfId="29130" xr:uid="{CC680C71-6958-4819-930E-E9D3EB636BA1}"/>
    <cellStyle name="Currency 5 3 3 2 4 3" xfId="5898" xr:uid="{00000000-0005-0000-0000-0000AE250000}"/>
    <cellStyle name="Currency 5 3 3 2 4 3 2" xfId="22768" xr:uid="{00000000-0005-0000-0000-0000AF250000}"/>
    <cellStyle name="Currency 5 3 3 2 4 3 2 2" xfId="39636" xr:uid="{18D2EEE6-8893-4383-941A-E63271FEDCF7}"/>
    <cellStyle name="Currency 5 3 3 2 4 3 3" xfId="14333" xr:uid="{00000000-0005-0000-0000-0000B0250000}"/>
    <cellStyle name="Currency 5 3 3 2 4 3 4" xfId="31202" xr:uid="{23BB2EBD-8D6B-4B81-A593-7C9B256DADD6}"/>
    <cellStyle name="Currency 5 3 3 2 4 4" xfId="18550" xr:uid="{00000000-0005-0000-0000-0000B1250000}"/>
    <cellStyle name="Currency 5 3 3 2 4 4 2" xfId="35419" xr:uid="{73F707CE-6261-4A48-84BB-7952BF92DB46}"/>
    <cellStyle name="Currency 5 3 3 2 4 5" xfId="10115" xr:uid="{00000000-0005-0000-0000-0000B2250000}"/>
    <cellStyle name="Currency 5 3 3 2 4 6" xfId="26985" xr:uid="{8527F62A-B9B4-474A-9098-3106F98B0C5D}"/>
    <cellStyle name="Currency 5 3 3 2 5" xfId="2004" xr:uid="{00000000-0005-0000-0000-0000B3250000}"/>
    <cellStyle name="Currency 5 3 3 2 5 2" xfId="4233" xr:uid="{00000000-0005-0000-0000-0000B4250000}"/>
    <cellStyle name="Currency 5 3 3 2 5 2 2" xfId="8456" xr:uid="{00000000-0005-0000-0000-0000B5250000}"/>
    <cellStyle name="Currency 5 3 3 2 5 2 2 2" xfId="25326" xr:uid="{00000000-0005-0000-0000-0000B6250000}"/>
    <cellStyle name="Currency 5 3 3 2 5 2 2 2 2" xfId="42194" xr:uid="{4AB2031B-FBAF-42C4-AC27-4196220D5DD1}"/>
    <cellStyle name="Currency 5 3 3 2 5 2 2 3" xfId="16891" xr:uid="{00000000-0005-0000-0000-0000B7250000}"/>
    <cellStyle name="Currency 5 3 3 2 5 2 2 4" xfId="33760" xr:uid="{F92304A9-B152-4F23-B1B7-E349DF5543B0}"/>
    <cellStyle name="Currency 5 3 3 2 5 2 3" xfId="21108" xr:uid="{00000000-0005-0000-0000-0000B8250000}"/>
    <cellStyle name="Currency 5 3 3 2 5 2 3 2" xfId="37977" xr:uid="{2E5E6562-2283-4FA0-92BA-4387A929550D}"/>
    <cellStyle name="Currency 5 3 3 2 5 2 4" xfId="12673" xr:uid="{00000000-0005-0000-0000-0000B9250000}"/>
    <cellStyle name="Currency 5 3 3 2 5 2 5" xfId="29543" xr:uid="{38F8740A-350B-468B-8C0B-8E5891E8F3EA}"/>
    <cellStyle name="Currency 5 3 3 2 5 3" xfId="6311" xr:uid="{00000000-0005-0000-0000-0000BA250000}"/>
    <cellStyle name="Currency 5 3 3 2 5 3 2" xfId="23181" xr:uid="{00000000-0005-0000-0000-0000BB250000}"/>
    <cellStyle name="Currency 5 3 3 2 5 3 2 2" xfId="40049" xr:uid="{B4EC1930-42A7-4D6E-A898-00CAE7937632}"/>
    <cellStyle name="Currency 5 3 3 2 5 3 3" xfId="14746" xr:uid="{00000000-0005-0000-0000-0000BC250000}"/>
    <cellStyle name="Currency 5 3 3 2 5 3 4" xfId="31615" xr:uid="{5ED0D082-8DC4-4736-9E29-69FA0A07743D}"/>
    <cellStyle name="Currency 5 3 3 2 5 4" xfId="18963" xr:uid="{00000000-0005-0000-0000-0000BD250000}"/>
    <cellStyle name="Currency 5 3 3 2 5 4 2" xfId="35832" xr:uid="{29934AF5-C06B-41CA-A527-A65B7391A1A8}"/>
    <cellStyle name="Currency 5 3 3 2 5 5" xfId="10528" xr:uid="{00000000-0005-0000-0000-0000BE250000}"/>
    <cellStyle name="Currency 5 3 3 2 5 6" xfId="27398" xr:uid="{83D8555A-D075-49BB-B3C2-D1AF5813A215}"/>
    <cellStyle name="Currency 5 3 3 2 6" xfId="2439" xr:uid="{00000000-0005-0000-0000-0000BF250000}"/>
    <cellStyle name="Currency 5 3 3 2 6 2" xfId="6724" xr:uid="{00000000-0005-0000-0000-0000C0250000}"/>
    <cellStyle name="Currency 5 3 3 2 6 2 2" xfId="23594" xr:uid="{00000000-0005-0000-0000-0000C1250000}"/>
    <cellStyle name="Currency 5 3 3 2 6 2 2 2" xfId="40462" xr:uid="{D1C6B04B-BBF0-4C76-A4E6-94554834C9E4}"/>
    <cellStyle name="Currency 5 3 3 2 6 2 3" xfId="15159" xr:uid="{00000000-0005-0000-0000-0000C2250000}"/>
    <cellStyle name="Currency 5 3 3 2 6 2 4" xfId="32028" xr:uid="{3742C332-2D9F-47AF-B917-4BFCB89CAB4C}"/>
    <cellStyle name="Currency 5 3 3 2 6 3" xfId="19376" xr:uid="{00000000-0005-0000-0000-0000C3250000}"/>
    <cellStyle name="Currency 5 3 3 2 6 3 2" xfId="36245" xr:uid="{8D518823-DE0D-47D8-B109-FC03A94E8398}"/>
    <cellStyle name="Currency 5 3 3 2 6 4" xfId="10941" xr:uid="{00000000-0005-0000-0000-0000C4250000}"/>
    <cellStyle name="Currency 5 3 3 2 6 5" xfId="27811" xr:uid="{CC28935A-AA6A-44AF-BC41-BA1A8816DE06}"/>
    <cellStyle name="Currency 5 3 3 2 7" xfId="2736" xr:uid="{00000000-0005-0000-0000-0000C5250000}"/>
    <cellStyle name="Currency 5 3 3 2 8" xfId="2817" xr:uid="{00000000-0005-0000-0000-0000C6250000}"/>
    <cellStyle name="Currency 5 3 3 2 8 2" xfId="7041" xr:uid="{00000000-0005-0000-0000-0000C7250000}"/>
    <cellStyle name="Currency 5 3 3 2 8 2 2" xfId="23911" xr:uid="{00000000-0005-0000-0000-0000C8250000}"/>
    <cellStyle name="Currency 5 3 3 2 8 2 2 2" xfId="40779" xr:uid="{420C3332-DDF8-4B7A-9D31-6D5C396AC366}"/>
    <cellStyle name="Currency 5 3 3 2 8 2 3" xfId="15476" xr:uid="{00000000-0005-0000-0000-0000C9250000}"/>
    <cellStyle name="Currency 5 3 3 2 8 2 4" xfId="32345" xr:uid="{B30D7DFA-2B6C-4352-AB95-9650237FDB6A}"/>
    <cellStyle name="Currency 5 3 3 2 8 3" xfId="19693" xr:uid="{00000000-0005-0000-0000-0000CA250000}"/>
    <cellStyle name="Currency 5 3 3 2 8 3 2" xfId="36562" xr:uid="{9EED2C74-9614-4A79-BA50-5914A3FDA43B}"/>
    <cellStyle name="Currency 5 3 3 2 8 4" xfId="11258" xr:uid="{00000000-0005-0000-0000-0000CB250000}"/>
    <cellStyle name="Currency 5 3 3 2 8 5" xfId="28128" xr:uid="{7FD4AB91-C6B3-42F6-9CEB-A09012D3FAE8}"/>
    <cellStyle name="Currency 5 3 3 2 9" xfId="4658" xr:uid="{00000000-0005-0000-0000-0000CC250000}"/>
    <cellStyle name="Currency 5 3 3 2 9 2" xfId="21528" xr:uid="{00000000-0005-0000-0000-0000CD250000}"/>
    <cellStyle name="Currency 5 3 3 2 9 2 2" xfId="38396" xr:uid="{9F9CFC0D-09BC-4899-BE2A-6482D727F00F}"/>
    <cellStyle name="Currency 5 3 3 2 9 3" xfId="13093" xr:uid="{00000000-0005-0000-0000-0000CE250000}"/>
    <cellStyle name="Currency 5 3 3 2 9 4" xfId="29962" xr:uid="{BACB3F81-D883-442F-8947-715A0B8B2CF8}"/>
    <cellStyle name="Currency 5 3 3 3" xfId="740" xr:uid="{00000000-0005-0000-0000-0000CF250000}"/>
    <cellStyle name="Currency 5 3 3 3 2" xfId="2993" xr:uid="{00000000-0005-0000-0000-0000D0250000}"/>
    <cellStyle name="Currency 5 3 3 3 2 2" xfId="7216" xr:uid="{00000000-0005-0000-0000-0000D1250000}"/>
    <cellStyle name="Currency 5 3 3 3 2 2 2" xfId="24086" xr:uid="{00000000-0005-0000-0000-0000D2250000}"/>
    <cellStyle name="Currency 5 3 3 3 2 2 2 2" xfId="40954" xr:uid="{88B33CD8-7107-4A23-A164-29383CEBB5E3}"/>
    <cellStyle name="Currency 5 3 3 3 2 2 3" xfId="15651" xr:uid="{00000000-0005-0000-0000-0000D3250000}"/>
    <cellStyle name="Currency 5 3 3 3 2 2 4" xfId="32520" xr:uid="{D97B6DAC-1EB1-4AB1-A8E8-314D2F2A66F7}"/>
    <cellStyle name="Currency 5 3 3 3 2 3" xfId="19868" xr:uid="{00000000-0005-0000-0000-0000D4250000}"/>
    <cellStyle name="Currency 5 3 3 3 2 3 2" xfId="36737" xr:uid="{F8E27A08-A482-4784-BE31-27186FCC331F}"/>
    <cellStyle name="Currency 5 3 3 3 2 4" xfId="11433" xr:uid="{00000000-0005-0000-0000-0000D5250000}"/>
    <cellStyle name="Currency 5 3 3 3 2 5" xfId="28303" xr:uid="{54B0EFEE-5B03-4315-8287-E9EFFAE80CC9}"/>
    <cellStyle name="Currency 5 3 3 3 3" xfId="5071" xr:uid="{00000000-0005-0000-0000-0000D6250000}"/>
    <cellStyle name="Currency 5 3 3 3 3 2" xfId="21941" xr:uid="{00000000-0005-0000-0000-0000D7250000}"/>
    <cellStyle name="Currency 5 3 3 3 3 2 2" xfId="38809" xr:uid="{1BDC9353-B944-4538-B691-677DF1783D39}"/>
    <cellStyle name="Currency 5 3 3 3 3 3" xfId="13506" xr:uid="{00000000-0005-0000-0000-0000D8250000}"/>
    <cellStyle name="Currency 5 3 3 3 3 4" xfId="30375" xr:uid="{3F45A08E-A89F-463E-B6C6-EE9A68B91DD0}"/>
    <cellStyle name="Currency 5 3 3 3 4" xfId="17723" xr:uid="{00000000-0005-0000-0000-0000D9250000}"/>
    <cellStyle name="Currency 5 3 3 3 4 2" xfId="34592" xr:uid="{EB400E4E-D5B3-42AC-AD0E-40BA3E8F5A14}"/>
    <cellStyle name="Currency 5 3 3 3 5" xfId="9288" xr:uid="{00000000-0005-0000-0000-0000DA250000}"/>
    <cellStyle name="Currency 5 3 3 3 6" xfId="26158" xr:uid="{F0CD7C7E-C992-4285-A736-3CDC550AC847}"/>
    <cellStyle name="Currency 5 3 3 4" xfId="1175" xr:uid="{00000000-0005-0000-0000-0000DB250000}"/>
    <cellStyle name="Currency 5 3 3 4 2" xfId="3406" xr:uid="{00000000-0005-0000-0000-0000DC250000}"/>
    <cellStyle name="Currency 5 3 3 4 2 2" xfId="7629" xr:uid="{00000000-0005-0000-0000-0000DD250000}"/>
    <cellStyle name="Currency 5 3 3 4 2 2 2" xfId="24499" xr:uid="{00000000-0005-0000-0000-0000DE250000}"/>
    <cellStyle name="Currency 5 3 3 4 2 2 2 2" xfId="41367" xr:uid="{1AC98559-7AA5-4A55-8574-115B7376369C}"/>
    <cellStyle name="Currency 5 3 3 4 2 2 3" xfId="16064" xr:uid="{00000000-0005-0000-0000-0000DF250000}"/>
    <cellStyle name="Currency 5 3 3 4 2 2 4" xfId="32933" xr:uid="{42A38E02-01E6-4F97-82C4-73CB40CDC09F}"/>
    <cellStyle name="Currency 5 3 3 4 2 3" xfId="20281" xr:uid="{00000000-0005-0000-0000-0000E0250000}"/>
    <cellStyle name="Currency 5 3 3 4 2 3 2" xfId="37150" xr:uid="{84E1F504-B5AE-4340-8686-3E7E85EE0D43}"/>
    <cellStyle name="Currency 5 3 3 4 2 4" xfId="11846" xr:uid="{00000000-0005-0000-0000-0000E1250000}"/>
    <cellStyle name="Currency 5 3 3 4 2 5" xfId="28716" xr:uid="{05D6A926-2505-409D-8B6B-F1FDD7748D27}"/>
    <cellStyle name="Currency 5 3 3 4 3" xfId="5484" xr:uid="{00000000-0005-0000-0000-0000E2250000}"/>
    <cellStyle name="Currency 5 3 3 4 3 2" xfId="22354" xr:uid="{00000000-0005-0000-0000-0000E3250000}"/>
    <cellStyle name="Currency 5 3 3 4 3 2 2" xfId="39222" xr:uid="{6AC546A1-1876-40D4-AFC6-E6C43AE345CB}"/>
    <cellStyle name="Currency 5 3 3 4 3 3" xfId="13919" xr:uid="{00000000-0005-0000-0000-0000E4250000}"/>
    <cellStyle name="Currency 5 3 3 4 3 4" xfId="30788" xr:uid="{A40DF697-6EB9-4356-94C4-D85205B5E2BE}"/>
    <cellStyle name="Currency 5 3 3 4 4" xfId="18136" xr:uid="{00000000-0005-0000-0000-0000E5250000}"/>
    <cellStyle name="Currency 5 3 3 4 4 2" xfId="35005" xr:uid="{6FB3F5FC-597B-4111-A075-EB5168B2A28D}"/>
    <cellStyle name="Currency 5 3 3 4 5" xfId="9701" xr:uid="{00000000-0005-0000-0000-0000E6250000}"/>
    <cellStyle name="Currency 5 3 3 4 6" xfId="26571" xr:uid="{308F1DC9-B7EF-4F76-9F98-4D9CCC182327}"/>
    <cellStyle name="Currency 5 3 3 5" xfId="1589" xr:uid="{00000000-0005-0000-0000-0000E7250000}"/>
    <cellStyle name="Currency 5 3 3 5 2" xfId="3819" xr:uid="{00000000-0005-0000-0000-0000E8250000}"/>
    <cellStyle name="Currency 5 3 3 5 2 2" xfId="8042" xr:uid="{00000000-0005-0000-0000-0000E9250000}"/>
    <cellStyle name="Currency 5 3 3 5 2 2 2" xfId="24912" xr:uid="{00000000-0005-0000-0000-0000EA250000}"/>
    <cellStyle name="Currency 5 3 3 5 2 2 2 2" xfId="41780" xr:uid="{EF790C50-49C0-4059-AFE5-3DDA8CCCC4C5}"/>
    <cellStyle name="Currency 5 3 3 5 2 2 3" xfId="16477" xr:uid="{00000000-0005-0000-0000-0000EB250000}"/>
    <cellStyle name="Currency 5 3 3 5 2 2 4" xfId="33346" xr:uid="{5935B6DF-7B9C-4A1B-BF7D-560D069A17AA}"/>
    <cellStyle name="Currency 5 3 3 5 2 3" xfId="20694" xr:uid="{00000000-0005-0000-0000-0000EC250000}"/>
    <cellStyle name="Currency 5 3 3 5 2 3 2" xfId="37563" xr:uid="{B66405B1-5589-43B2-A4EC-DAD47BA6292D}"/>
    <cellStyle name="Currency 5 3 3 5 2 4" xfId="12259" xr:uid="{00000000-0005-0000-0000-0000ED250000}"/>
    <cellStyle name="Currency 5 3 3 5 2 5" xfId="29129" xr:uid="{021C35C8-62A1-4C47-A523-997281D86202}"/>
    <cellStyle name="Currency 5 3 3 5 3" xfId="5897" xr:uid="{00000000-0005-0000-0000-0000EE250000}"/>
    <cellStyle name="Currency 5 3 3 5 3 2" xfId="22767" xr:uid="{00000000-0005-0000-0000-0000EF250000}"/>
    <cellStyle name="Currency 5 3 3 5 3 2 2" xfId="39635" xr:uid="{113909AF-46B3-4806-95F2-888105958CD8}"/>
    <cellStyle name="Currency 5 3 3 5 3 3" xfId="14332" xr:uid="{00000000-0005-0000-0000-0000F0250000}"/>
    <cellStyle name="Currency 5 3 3 5 3 4" xfId="31201" xr:uid="{3AA8F026-E862-441A-B7D9-BD4DB8DC7B52}"/>
    <cellStyle name="Currency 5 3 3 5 4" xfId="18549" xr:uid="{00000000-0005-0000-0000-0000F1250000}"/>
    <cellStyle name="Currency 5 3 3 5 4 2" xfId="35418" xr:uid="{5A723031-BDA5-407A-8D70-AF0370743C4E}"/>
    <cellStyle name="Currency 5 3 3 5 5" xfId="10114" xr:uid="{00000000-0005-0000-0000-0000F2250000}"/>
    <cellStyle name="Currency 5 3 3 5 6" xfId="26984" xr:uid="{3283CD71-A73C-456F-862A-108B3EDB8BC4}"/>
    <cellStyle name="Currency 5 3 3 6" xfId="2003" xr:uid="{00000000-0005-0000-0000-0000F3250000}"/>
    <cellStyle name="Currency 5 3 3 6 2" xfId="4232" xr:uid="{00000000-0005-0000-0000-0000F4250000}"/>
    <cellStyle name="Currency 5 3 3 6 2 2" xfId="8455" xr:uid="{00000000-0005-0000-0000-0000F5250000}"/>
    <cellStyle name="Currency 5 3 3 6 2 2 2" xfId="25325" xr:uid="{00000000-0005-0000-0000-0000F6250000}"/>
    <cellStyle name="Currency 5 3 3 6 2 2 2 2" xfId="42193" xr:uid="{6E792DDF-58BF-4CC9-AA78-59066DF3F3CD}"/>
    <cellStyle name="Currency 5 3 3 6 2 2 3" xfId="16890" xr:uid="{00000000-0005-0000-0000-0000F7250000}"/>
    <cellStyle name="Currency 5 3 3 6 2 2 4" xfId="33759" xr:uid="{F502FE3B-DBE2-4452-9FB1-9C9FA6090062}"/>
    <cellStyle name="Currency 5 3 3 6 2 3" xfId="21107" xr:uid="{00000000-0005-0000-0000-0000F8250000}"/>
    <cellStyle name="Currency 5 3 3 6 2 3 2" xfId="37976" xr:uid="{2D4591BA-0DF3-475A-8C31-97157E9AAC8B}"/>
    <cellStyle name="Currency 5 3 3 6 2 4" xfId="12672" xr:uid="{00000000-0005-0000-0000-0000F9250000}"/>
    <cellStyle name="Currency 5 3 3 6 2 5" xfId="29542" xr:uid="{0CD24953-6BE0-4154-B6FD-7D735DCEF2FF}"/>
    <cellStyle name="Currency 5 3 3 6 3" xfId="6310" xr:uid="{00000000-0005-0000-0000-0000FA250000}"/>
    <cellStyle name="Currency 5 3 3 6 3 2" xfId="23180" xr:uid="{00000000-0005-0000-0000-0000FB250000}"/>
    <cellStyle name="Currency 5 3 3 6 3 2 2" xfId="40048" xr:uid="{1438BAE5-CABE-4006-A0BA-1B471C936423}"/>
    <cellStyle name="Currency 5 3 3 6 3 3" xfId="14745" xr:uid="{00000000-0005-0000-0000-0000FC250000}"/>
    <cellStyle name="Currency 5 3 3 6 3 4" xfId="31614" xr:uid="{82D7FB0B-DAEA-4797-9266-1A47DFE18762}"/>
    <cellStyle name="Currency 5 3 3 6 4" xfId="18962" xr:uid="{00000000-0005-0000-0000-0000FD250000}"/>
    <cellStyle name="Currency 5 3 3 6 4 2" xfId="35831" xr:uid="{0C8AA255-366F-44BD-8855-68DC594303C7}"/>
    <cellStyle name="Currency 5 3 3 6 5" xfId="10527" xr:uid="{00000000-0005-0000-0000-0000FE250000}"/>
    <cellStyle name="Currency 5 3 3 6 6" xfId="27397" xr:uid="{1DB068C8-2CAB-4472-BD1F-9062538F8BD8}"/>
    <cellStyle name="Currency 5 3 3 7" xfId="2438" xr:uid="{00000000-0005-0000-0000-0000FF250000}"/>
    <cellStyle name="Currency 5 3 3 7 2" xfId="6723" xr:uid="{00000000-0005-0000-0000-000000260000}"/>
    <cellStyle name="Currency 5 3 3 7 2 2" xfId="23593" xr:uid="{00000000-0005-0000-0000-000001260000}"/>
    <cellStyle name="Currency 5 3 3 7 2 2 2" xfId="40461" xr:uid="{E44E3ECA-CCB6-45C0-9E78-EAEB7A4D035D}"/>
    <cellStyle name="Currency 5 3 3 7 2 3" xfId="15158" xr:uid="{00000000-0005-0000-0000-000002260000}"/>
    <cellStyle name="Currency 5 3 3 7 2 4" xfId="32027" xr:uid="{539178D9-0B73-41B8-B18E-CBDCCDF819AB}"/>
    <cellStyle name="Currency 5 3 3 7 3" xfId="19375" xr:uid="{00000000-0005-0000-0000-000003260000}"/>
    <cellStyle name="Currency 5 3 3 7 3 2" xfId="36244" xr:uid="{F4EF7FF7-3FF2-40B3-B0DA-21058AC2A9AB}"/>
    <cellStyle name="Currency 5 3 3 7 4" xfId="10940" xr:uid="{00000000-0005-0000-0000-000004260000}"/>
    <cellStyle name="Currency 5 3 3 7 5" xfId="27810" xr:uid="{2DEA1D0C-F881-42BA-B3E8-8535D8AFDF16}"/>
    <cellStyle name="Currency 5 3 3 8" xfId="2735" xr:uid="{00000000-0005-0000-0000-000005260000}"/>
    <cellStyle name="Currency 5 3 3 9" xfId="2816" xr:uid="{00000000-0005-0000-0000-000006260000}"/>
    <cellStyle name="Currency 5 3 3 9 2" xfId="7040" xr:uid="{00000000-0005-0000-0000-000007260000}"/>
    <cellStyle name="Currency 5 3 3 9 2 2" xfId="23910" xr:uid="{00000000-0005-0000-0000-000008260000}"/>
    <cellStyle name="Currency 5 3 3 9 2 2 2" xfId="40778" xr:uid="{A74DCA76-8E72-4051-95B0-2B926FA4460F}"/>
    <cellStyle name="Currency 5 3 3 9 2 3" xfId="15475" xr:uid="{00000000-0005-0000-0000-000009260000}"/>
    <cellStyle name="Currency 5 3 3 9 2 4" xfId="32344" xr:uid="{B048430A-95BD-40B4-9951-E2D45AFDF047}"/>
    <cellStyle name="Currency 5 3 3 9 3" xfId="19692" xr:uid="{00000000-0005-0000-0000-00000A260000}"/>
    <cellStyle name="Currency 5 3 3 9 3 2" xfId="36561" xr:uid="{495B721A-DE11-4121-AA32-3D34688FC872}"/>
    <cellStyle name="Currency 5 3 3 9 4" xfId="11257" xr:uid="{00000000-0005-0000-0000-00000B260000}"/>
    <cellStyle name="Currency 5 3 3 9 5" xfId="28127" xr:uid="{B2C1DDDB-1EFE-4928-9EA5-7B6D1E50B269}"/>
    <cellStyle name="Currency 5 3 4" xfId="216" xr:uid="{00000000-0005-0000-0000-00000C260000}"/>
    <cellStyle name="Currency 5 3 4 10" xfId="17311" xr:uid="{00000000-0005-0000-0000-00000D260000}"/>
    <cellStyle name="Currency 5 3 4 10 2" xfId="34180" xr:uid="{D463B9D1-0B91-462B-9A26-B0B68793AEE3}"/>
    <cellStyle name="Currency 5 3 4 11" xfId="8876" xr:uid="{00000000-0005-0000-0000-00000E260000}"/>
    <cellStyle name="Currency 5 3 4 12" xfId="25746" xr:uid="{4C14D14C-60F1-4B51-B917-C04ECB245DD0}"/>
    <cellStyle name="Currency 5 3 4 2" xfId="742" xr:uid="{00000000-0005-0000-0000-00000F260000}"/>
    <cellStyle name="Currency 5 3 4 2 2" xfId="2995" xr:uid="{00000000-0005-0000-0000-000010260000}"/>
    <cellStyle name="Currency 5 3 4 2 2 2" xfId="7218" xr:uid="{00000000-0005-0000-0000-000011260000}"/>
    <cellStyle name="Currency 5 3 4 2 2 2 2" xfId="24088" xr:uid="{00000000-0005-0000-0000-000012260000}"/>
    <cellStyle name="Currency 5 3 4 2 2 2 2 2" xfId="40956" xr:uid="{5EC71F2B-DD6D-47FF-BEA5-815624E0A6B2}"/>
    <cellStyle name="Currency 5 3 4 2 2 2 3" xfId="15653" xr:uid="{00000000-0005-0000-0000-000013260000}"/>
    <cellStyle name="Currency 5 3 4 2 2 2 4" xfId="32522" xr:uid="{54CC9C07-F11A-4DEC-B917-20B48A1CF182}"/>
    <cellStyle name="Currency 5 3 4 2 2 3" xfId="19870" xr:uid="{00000000-0005-0000-0000-000014260000}"/>
    <cellStyle name="Currency 5 3 4 2 2 3 2" xfId="36739" xr:uid="{4939F914-DB34-4F82-98C6-1906E75FFE43}"/>
    <cellStyle name="Currency 5 3 4 2 2 4" xfId="11435" xr:uid="{00000000-0005-0000-0000-000015260000}"/>
    <cellStyle name="Currency 5 3 4 2 2 5" xfId="28305" xr:uid="{095BE31F-6496-40B0-B1BD-322CE7BA4F3E}"/>
    <cellStyle name="Currency 5 3 4 2 3" xfId="5073" xr:uid="{00000000-0005-0000-0000-000016260000}"/>
    <cellStyle name="Currency 5 3 4 2 3 2" xfId="21943" xr:uid="{00000000-0005-0000-0000-000017260000}"/>
    <cellStyle name="Currency 5 3 4 2 3 2 2" xfId="38811" xr:uid="{20DC0A15-C299-43F6-A74C-0B0F62BFC5BF}"/>
    <cellStyle name="Currency 5 3 4 2 3 3" xfId="13508" xr:uid="{00000000-0005-0000-0000-000018260000}"/>
    <cellStyle name="Currency 5 3 4 2 3 4" xfId="30377" xr:uid="{A8D17178-2778-4E93-B143-89D739A3A1BD}"/>
    <cellStyle name="Currency 5 3 4 2 4" xfId="17725" xr:uid="{00000000-0005-0000-0000-000019260000}"/>
    <cellStyle name="Currency 5 3 4 2 4 2" xfId="34594" xr:uid="{D7C36C3F-1287-4698-9756-623997BE4070}"/>
    <cellStyle name="Currency 5 3 4 2 5" xfId="9290" xr:uid="{00000000-0005-0000-0000-00001A260000}"/>
    <cellStyle name="Currency 5 3 4 2 6" xfId="26160" xr:uid="{A91DADD0-2BBF-4DF9-8A02-3F62CD154FD3}"/>
    <cellStyle name="Currency 5 3 4 3" xfId="1177" xr:uid="{00000000-0005-0000-0000-00001B260000}"/>
    <cellStyle name="Currency 5 3 4 3 2" xfId="3408" xr:uid="{00000000-0005-0000-0000-00001C260000}"/>
    <cellStyle name="Currency 5 3 4 3 2 2" xfId="7631" xr:uid="{00000000-0005-0000-0000-00001D260000}"/>
    <cellStyle name="Currency 5 3 4 3 2 2 2" xfId="24501" xr:uid="{00000000-0005-0000-0000-00001E260000}"/>
    <cellStyle name="Currency 5 3 4 3 2 2 2 2" xfId="41369" xr:uid="{FD34371F-A949-4CCC-A4D3-49209B3845EC}"/>
    <cellStyle name="Currency 5 3 4 3 2 2 3" xfId="16066" xr:uid="{00000000-0005-0000-0000-00001F260000}"/>
    <cellStyle name="Currency 5 3 4 3 2 2 4" xfId="32935" xr:uid="{C376A219-32D0-4DFA-B698-A6B85122429B}"/>
    <cellStyle name="Currency 5 3 4 3 2 3" xfId="20283" xr:uid="{00000000-0005-0000-0000-000020260000}"/>
    <cellStyle name="Currency 5 3 4 3 2 3 2" xfId="37152" xr:uid="{C715CF67-07AA-4898-B258-D3E59B35649F}"/>
    <cellStyle name="Currency 5 3 4 3 2 4" xfId="11848" xr:uid="{00000000-0005-0000-0000-000021260000}"/>
    <cellStyle name="Currency 5 3 4 3 2 5" xfId="28718" xr:uid="{101218F4-5ED9-4CDF-A4E4-7E15F2470129}"/>
    <cellStyle name="Currency 5 3 4 3 3" xfId="5486" xr:uid="{00000000-0005-0000-0000-000022260000}"/>
    <cellStyle name="Currency 5 3 4 3 3 2" xfId="22356" xr:uid="{00000000-0005-0000-0000-000023260000}"/>
    <cellStyle name="Currency 5 3 4 3 3 2 2" xfId="39224" xr:uid="{BBFC0CAB-6F9A-45D1-B549-9C61B9449680}"/>
    <cellStyle name="Currency 5 3 4 3 3 3" xfId="13921" xr:uid="{00000000-0005-0000-0000-000024260000}"/>
    <cellStyle name="Currency 5 3 4 3 3 4" xfId="30790" xr:uid="{D634CF83-1C03-4674-9A12-CAD6F50B8EA6}"/>
    <cellStyle name="Currency 5 3 4 3 4" xfId="18138" xr:uid="{00000000-0005-0000-0000-000025260000}"/>
    <cellStyle name="Currency 5 3 4 3 4 2" xfId="35007" xr:uid="{60D98553-7685-40F6-B88B-EE96C3407A33}"/>
    <cellStyle name="Currency 5 3 4 3 5" xfId="9703" xr:uid="{00000000-0005-0000-0000-000026260000}"/>
    <cellStyle name="Currency 5 3 4 3 6" xfId="26573" xr:uid="{97BCDB02-0ED4-4C6D-8043-C613081FA4A5}"/>
    <cellStyle name="Currency 5 3 4 4" xfId="1591" xr:uid="{00000000-0005-0000-0000-000027260000}"/>
    <cellStyle name="Currency 5 3 4 4 2" xfId="3821" xr:uid="{00000000-0005-0000-0000-000028260000}"/>
    <cellStyle name="Currency 5 3 4 4 2 2" xfId="8044" xr:uid="{00000000-0005-0000-0000-000029260000}"/>
    <cellStyle name="Currency 5 3 4 4 2 2 2" xfId="24914" xr:uid="{00000000-0005-0000-0000-00002A260000}"/>
    <cellStyle name="Currency 5 3 4 4 2 2 2 2" xfId="41782" xr:uid="{400A931B-49C6-4FBB-8611-92CBCA87C039}"/>
    <cellStyle name="Currency 5 3 4 4 2 2 3" xfId="16479" xr:uid="{00000000-0005-0000-0000-00002B260000}"/>
    <cellStyle name="Currency 5 3 4 4 2 2 4" xfId="33348" xr:uid="{B3E92C16-9FCD-472F-9384-A77C9DB82260}"/>
    <cellStyle name="Currency 5 3 4 4 2 3" xfId="20696" xr:uid="{00000000-0005-0000-0000-00002C260000}"/>
    <cellStyle name="Currency 5 3 4 4 2 3 2" xfId="37565" xr:uid="{06D8D3DB-8279-48E7-AE01-A54EA442FD72}"/>
    <cellStyle name="Currency 5 3 4 4 2 4" xfId="12261" xr:uid="{00000000-0005-0000-0000-00002D260000}"/>
    <cellStyle name="Currency 5 3 4 4 2 5" xfId="29131" xr:uid="{8E4580BE-898E-4E1D-82AE-4AD6B40BBCBD}"/>
    <cellStyle name="Currency 5 3 4 4 3" xfId="5899" xr:uid="{00000000-0005-0000-0000-00002E260000}"/>
    <cellStyle name="Currency 5 3 4 4 3 2" xfId="22769" xr:uid="{00000000-0005-0000-0000-00002F260000}"/>
    <cellStyle name="Currency 5 3 4 4 3 2 2" xfId="39637" xr:uid="{290162C9-6ACC-4C9D-B307-1CF72A38149C}"/>
    <cellStyle name="Currency 5 3 4 4 3 3" xfId="14334" xr:uid="{00000000-0005-0000-0000-000030260000}"/>
    <cellStyle name="Currency 5 3 4 4 3 4" xfId="31203" xr:uid="{F2DB110A-1A95-43B1-AE65-7B3C0DBE1638}"/>
    <cellStyle name="Currency 5 3 4 4 4" xfId="18551" xr:uid="{00000000-0005-0000-0000-000031260000}"/>
    <cellStyle name="Currency 5 3 4 4 4 2" xfId="35420" xr:uid="{DBDBA070-9D74-45D9-8D56-1FC0D65B7F03}"/>
    <cellStyle name="Currency 5 3 4 4 5" xfId="10116" xr:uid="{00000000-0005-0000-0000-000032260000}"/>
    <cellStyle name="Currency 5 3 4 4 6" xfId="26986" xr:uid="{D6879BE9-6E03-44F3-9BCC-5A1DB84E1404}"/>
    <cellStyle name="Currency 5 3 4 5" xfId="2005" xr:uid="{00000000-0005-0000-0000-000033260000}"/>
    <cellStyle name="Currency 5 3 4 5 2" xfId="4234" xr:uid="{00000000-0005-0000-0000-000034260000}"/>
    <cellStyle name="Currency 5 3 4 5 2 2" xfId="8457" xr:uid="{00000000-0005-0000-0000-000035260000}"/>
    <cellStyle name="Currency 5 3 4 5 2 2 2" xfId="25327" xr:uid="{00000000-0005-0000-0000-000036260000}"/>
    <cellStyle name="Currency 5 3 4 5 2 2 2 2" xfId="42195" xr:uid="{9D188A3C-E9BA-46B2-AA56-ABCB33A10406}"/>
    <cellStyle name="Currency 5 3 4 5 2 2 3" xfId="16892" xr:uid="{00000000-0005-0000-0000-000037260000}"/>
    <cellStyle name="Currency 5 3 4 5 2 2 4" xfId="33761" xr:uid="{9151A65B-C303-4413-99D3-C346C051DB81}"/>
    <cellStyle name="Currency 5 3 4 5 2 3" xfId="21109" xr:uid="{00000000-0005-0000-0000-000038260000}"/>
    <cellStyle name="Currency 5 3 4 5 2 3 2" xfId="37978" xr:uid="{6DC7773C-9B47-43CE-840F-AAADE26A5B2F}"/>
    <cellStyle name="Currency 5 3 4 5 2 4" xfId="12674" xr:uid="{00000000-0005-0000-0000-000039260000}"/>
    <cellStyle name="Currency 5 3 4 5 2 5" xfId="29544" xr:uid="{09425575-FAFD-41AF-8634-83FA5EF01229}"/>
    <cellStyle name="Currency 5 3 4 5 3" xfId="6312" xr:uid="{00000000-0005-0000-0000-00003A260000}"/>
    <cellStyle name="Currency 5 3 4 5 3 2" xfId="23182" xr:uid="{00000000-0005-0000-0000-00003B260000}"/>
    <cellStyle name="Currency 5 3 4 5 3 2 2" xfId="40050" xr:uid="{28CE822E-946B-4F2F-8AB2-B3C144ADF7D1}"/>
    <cellStyle name="Currency 5 3 4 5 3 3" xfId="14747" xr:uid="{00000000-0005-0000-0000-00003C260000}"/>
    <cellStyle name="Currency 5 3 4 5 3 4" xfId="31616" xr:uid="{F96F5DD4-AEC5-48B5-B3C3-580D4C7E5D0E}"/>
    <cellStyle name="Currency 5 3 4 5 4" xfId="18964" xr:uid="{00000000-0005-0000-0000-00003D260000}"/>
    <cellStyle name="Currency 5 3 4 5 4 2" xfId="35833" xr:uid="{94A290A0-7538-42FF-93B0-C26D40007C3E}"/>
    <cellStyle name="Currency 5 3 4 5 5" xfId="10529" xr:uid="{00000000-0005-0000-0000-00003E260000}"/>
    <cellStyle name="Currency 5 3 4 5 6" xfId="27399" xr:uid="{759B8C87-FEBF-4DE9-AB37-4E8E474DD32D}"/>
    <cellStyle name="Currency 5 3 4 6" xfId="2440" xr:uid="{00000000-0005-0000-0000-00003F260000}"/>
    <cellStyle name="Currency 5 3 4 6 2" xfId="6725" xr:uid="{00000000-0005-0000-0000-000040260000}"/>
    <cellStyle name="Currency 5 3 4 6 2 2" xfId="23595" xr:uid="{00000000-0005-0000-0000-000041260000}"/>
    <cellStyle name="Currency 5 3 4 6 2 2 2" xfId="40463" xr:uid="{DFF33AF8-110A-48D6-99EF-596C65A2B72D}"/>
    <cellStyle name="Currency 5 3 4 6 2 3" xfId="15160" xr:uid="{00000000-0005-0000-0000-000042260000}"/>
    <cellStyle name="Currency 5 3 4 6 2 4" xfId="32029" xr:uid="{35D508A2-CA6F-455B-84DD-CDDB306E10F7}"/>
    <cellStyle name="Currency 5 3 4 6 3" xfId="19377" xr:uid="{00000000-0005-0000-0000-000043260000}"/>
    <cellStyle name="Currency 5 3 4 6 3 2" xfId="36246" xr:uid="{C5F61664-26D7-4CC8-B21D-B06D1BBC901F}"/>
    <cellStyle name="Currency 5 3 4 6 4" xfId="10942" xr:uid="{00000000-0005-0000-0000-000044260000}"/>
    <cellStyle name="Currency 5 3 4 6 5" xfId="27812" xr:uid="{D6AC0CF0-C4A5-4969-8293-615EDE127678}"/>
    <cellStyle name="Currency 5 3 4 7" xfId="2737" xr:uid="{00000000-0005-0000-0000-000045260000}"/>
    <cellStyle name="Currency 5 3 4 8" xfId="2818" xr:uid="{00000000-0005-0000-0000-000046260000}"/>
    <cellStyle name="Currency 5 3 4 8 2" xfId="7042" xr:uid="{00000000-0005-0000-0000-000047260000}"/>
    <cellStyle name="Currency 5 3 4 8 2 2" xfId="23912" xr:uid="{00000000-0005-0000-0000-000048260000}"/>
    <cellStyle name="Currency 5 3 4 8 2 2 2" xfId="40780" xr:uid="{3D6E82CA-7789-4FC4-826E-361877E1E4FB}"/>
    <cellStyle name="Currency 5 3 4 8 2 3" xfId="15477" xr:uid="{00000000-0005-0000-0000-000049260000}"/>
    <cellStyle name="Currency 5 3 4 8 2 4" xfId="32346" xr:uid="{6A0F36D8-43EA-40B4-B305-D68D4A2F98DA}"/>
    <cellStyle name="Currency 5 3 4 8 3" xfId="19694" xr:uid="{00000000-0005-0000-0000-00004A260000}"/>
    <cellStyle name="Currency 5 3 4 8 3 2" xfId="36563" xr:uid="{C0A1489E-A99D-4F55-A6E5-FEB3BF5DCA9A}"/>
    <cellStyle name="Currency 5 3 4 8 4" xfId="11259" xr:uid="{00000000-0005-0000-0000-00004B260000}"/>
    <cellStyle name="Currency 5 3 4 8 5" xfId="28129" xr:uid="{8647565C-DB95-40BC-A0AA-271042E83411}"/>
    <cellStyle name="Currency 5 3 4 9" xfId="4659" xr:uid="{00000000-0005-0000-0000-00004C260000}"/>
    <cellStyle name="Currency 5 3 4 9 2" xfId="21529" xr:uid="{00000000-0005-0000-0000-00004D260000}"/>
    <cellStyle name="Currency 5 3 4 9 2 2" xfId="38397" xr:uid="{0FF81481-A76E-4682-8C0C-CA70D2085001}"/>
    <cellStyle name="Currency 5 3 4 9 3" xfId="13094" xr:uid="{00000000-0005-0000-0000-00004E260000}"/>
    <cellStyle name="Currency 5 3 4 9 4" xfId="29963" xr:uid="{D37E5C8D-4CD0-4AAA-B664-3C08A9F11D47}"/>
    <cellStyle name="Currency 5 3 5" xfId="217" xr:uid="{00000000-0005-0000-0000-00004F260000}"/>
    <cellStyle name="Currency 5 3 5 10" xfId="17312" xr:uid="{00000000-0005-0000-0000-000050260000}"/>
    <cellStyle name="Currency 5 3 5 10 2" xfId="34181" xr:uid="{F217F606-944D-4185-8976-D9EEFE603047}"/>
    <cellStyle name="Currency 5 3 5 11" xfId="8877" xr:uid="{00000000-0005-0000-0000-000051260000}"/>
    <cellStyle name="Currency 5 3 5 12" xfId="25747" xr:uid="{2BE2DA77-F480-4C8C-84BB-AE600EAE41FF}"/>
    <cellStyle name="Currency 5 3 5 2" xfId="743" xr:uid="{00000000-0005-0000-0000-000052260000}"/>
    <cellStyle name="Currency 5 3 5 2 2" xfId="2996" xr:uid="{00000000-0005-0000-0000-000053260000}"/>
    <cellStyle name="Currency 5 3 5 2 2 2" xfId="7219" xr:uid="{00000000-0005-0000-0000-000054260000}"/>
    <cellStyle name="Currency 5 3 5 2 2 2 2" xfId="24089" xr:uid="{00000000-0005-0000-0000-000055260000}"/>
    <cellStyle name="Currency 5 3 5 2 2 2 2 2" xfId="40957" xr:uid="{4D699892-55B0-4D67-86DD-A1E6BD172FC5}"/>
    <cellStyle name="Currency 5 3 5 2 2 2 3" xfId="15654" xr:uid="{00000000-0005-0000-0000-000056260000}"/>
    <cellStyle name="Currency 5 3 5 2 2 2 4" xfId="32523" xr:uid="{5E861D7B-A751-4BC2-9C43-2B7ED58F641C}"/>
    <cellStyle name="Currency 5 3 5 2 2 3" xfId="19871" xr:uid="{00000000-0005-0000-0000-000057260000}"/>
    <cellStyle name="Currency 5 3 5 2 2 3 2" xfId="36740" xr:uid="{CA2B99DB-5695-41E8-9297-E2332D98BA9E}"/>
    <cellStyle name="Currency 5 3 5 2 2 4" xfId="11436" xr:uid="{00000000-0005-0000-0000-000058260000}"/>
    <cellStyle name="Currency 5 3 5 2 2 5" xfId="28306" xr:uid="{BB564A8F-6615-49AE-B3D5-BF9A0BCE734D}"/>
    <cellStyle name="Currency 5 3 5 2 3" xfId="5074" xr:uid="{00000000-0005-0000-0000-000059260000}"/>
    <cellStyle name="Currency 5 3 5 2 3 2" xfId="21944" xr:uid="{00000000-0005-0000-0000-00005A260000}"/>
    <cellStyle name="Currency 5 3 5 2 3 2 2" xfId="38812" xr:uid="{2E5E6CBE-312F-47A8-BE51-B8BCC5D799B5}"/>
    <cellStyle name="Currency 5 3 5 2 3 3" xfId="13509" xr:uid="{00000000-0005-0000-0000-00005B260000}"/>
    <cellStyle name="Currency 5 3 5 2 3 4" xfId="30378" xr:uid="{AE926CFC-A110-4DC3-96F2-BB14ABDCC62C}"/>
    <cellStyle name="Currency 5 3 5 2 4" xfId="17726" xr:uid="{00000000-0005-0000-0000-00005C260000}"/>
    <cellStyle name="Currency 5 3 5 2 4 2" xfId="34595" xr:uid="{47AD4B3C-4F40-4338-B027-2846BBBEF2F7}"/>
    <cellStyle name="Currency 5 3 5 2 5" xfId="9291" xr:uid="{00000000-0005-0000-0000-00005D260000}"/>
    <cellStyle name="Currency 5 3 5 2 6" xfId="26161" xr:uid="{B9E0462C-92B4-4911-A65D-6156CBE6D92C}"/>
    <cellStyle name="Currency 5 3 5 3" xfId="1178" xr:uid="{00000000-0005-0000-0000-00005E260000}"/>
    <cellStyle name="Currency 5 3 5 3 2" xfId="3409" xr:uid="{00000000-0005-0000-0000-00005F260000}"/>
    <cellStyle name="Currency 5 3 5 3 2 2" xfId="7632" xr:uid="{00000000-0005-0000-0000-000060260000}"/>
    <cellStyle name="Currency 5 3 5 3 2 2 2" xfId="24502" xr:uid="{00000000-0005-0000-0000-000061260000}"/>
    <cellStyle name="Currency 5 3 5 3 2 2 2 2" xfId="41370" xr:uid="{F872808C-69E1-4E39-BA14-AA268737C746}"/>
    <cellStyle name="Currency 5 3 5 3 2 2 3" xfId="16067" xr:uid="{00000000-0005-0000-0000-000062260000}"/>
    <cellStyle name="Currency 5 3 5 3 2 2 4" xfId="32936" xr:uid="{1EA9B447-C0ED-495A-BF4E-969274CA0DBB}"/>
    <cellStyle name="Currency 5 3 5 3 2 3" xfId="20284" xr:uid="{00000000-0005-0000-0000-000063260000}"/>
    <cellStyle name="Currency 5 3 5 3 2 3 2" xfId="37153" xr:uid="{678E01F7-5CA0-42AA-B0DC-FC10B9171EFE}"/>
    <cellStyle name="Currency 5 3 5 3 2 4" xfId="11849" xr:uid="{00000000-0005-0000-0000-000064260000}"/>
    <cellStyle name="Currency 5 3 5 3 2 5" xfId="28719" xr:uid="{DCD9D18B-B6B9-4FE2-8109-EC4500D7A15A}"/>
    <cellStyle name="Currency 5 3 5 3 3" xfId="5487" xr:uid="{00000000-0005-0000-0000-000065260000}"/>
    <cellStyle name="Currency 5 3 5 3 3 2" xfId="22357" xr:uid="{00000000-0005-0000-0000-000066260000}"/>
    <cellStyle name="Currency 5 3 5 3 3 2 2" xfId="39225" xr:uid="{AA1BB827-1C2F-46B6-9408-E7FE54067B8E}"/>
    <cellStyle name="Currency 5 3 5 3 3 3" xfId="13922" xr:uid="{00000000-0005-0000-0000-000067260000}"/>
    <cellStyle name="Currency 5 3 5 3 3 4" xfId="30791" xr:uid="{25D89207-EBA3-447D-90D7-1C06EBE81F82}"/>
    <cellStyle name="Currency 5 3 5 3 4" xfId="18139" xr:uid="{00000000-0005-0000-0000-000068260000}"/>
    <cellStyle name="Currency 5 3 5 3 4 2" xfId="35008" xr:uid="{C3289120-F24E-4312-B874-540490336012}"/>
    <cellStyle name="Currency 5 3 5 3 5" xfId="9704" xr:uid="{00000000-0005-0000-0000-000069260000}"/>
    <cellStyle name="Currency 5 3 5 3 6" xfId="26574" xr:uid="{F94460E4-CEC0-4F5C-88F5-B6E608BD2669}"/>
    <cellStyle name="Currency 5 3 5 4" xfId="1592" xr:uid="{00000000-0005-0000-0000-00006A260000}"/>
    <cellStyle name="Currency 5 3 5 4 2" xfId="3822" xr:uid="{00000000-0005-0000-0000-00006B260000}"/>
    <cellStyle name="Currency 5 3 5 4 2 2" xfId="8045" xr:uid="{00000000-0005-0000-0000-00006C260000}"/>
    <cellStyle name="Currency 5 3 5 4 2 2 2" xfId="24915" xr:uid="{00000000-0005-0000-0000-00006D260000}"/>
    <cellStyle name="Currency 5 3 5 4 2 2 2 2" xfId="41783" xr:uid="{D340549A-12C8-4D9B-8ADC-67266127F88F}"/>
    <cellStyle name="Currency 5 3 5 4 2 2 3" xfId="16480" xr:uid="{00000000-0005-0000-0000-00006E260000}"/>
    <cellStyle name="Currency 5 3 5 4 2 2 4" xfId="33349" xr:uid="{1013C585-60C3-42EB-9559-5130E2DD6E85}"/>
    <cellStyle name="Currency 5 3 5 4 2 3" xfId="20697" xr:uid="{00000000-0005-0000-0000-00006F260000}"/>
    <cellStyle name="Currency 5 3 5 4 2 3 2" xfId="37566" xr:uid="{8FC736B7-3E1B-4A7E-AC29-625844BF2E58}"/>
    <cellStyle name="Currency 5 3 5 4 2 4" xfId="12262" xr:uid="{00000000-0005-0000-0000-000070260000}"/>
    <cellStyle name="Currency 5 3 5 4 2 5" xfId="29132" xr:uid="{59820B77-29AE-4708-96AE-693507E2E91A}"/>
    <cellStyle name="Currency 5 3 5 4 3" xfId="5900" xr:uid="{00000000-0005-0000-0000-000071260000}"/>
    <cellStyle name="Currency 5 3 5 4 3 2" xfId="22770" xr:uid="{00000000-0005-0000-0000-000072260000}"/>
    <cellStyle name="Currency 5 3 5 4 3 2 2" xfId="39638" xr:uid="{1AE9E9A2-ABF3-41F9-A507-0347B11ACFDA}"/>
    <cellStyle name="Currency 5 3 5 4 3 3" xfId="14335" xr:uid="{00000000-0005-0000-0000-000073260000}"/>
    <cellStyle name="Currency 5 3 5 4 3 4" xfId="31204" xr:uid="{1FA1E83A-16CF-4155-BC36-AD97C6DD08B9}"/>
    <cellStyle name="Currency 5 3 5 4 4" xfId="18552" xr:uid="{00000000-0005-0000-0000-000074260000}"/>
    <cellStyle name="Currency 5 3 5 4 4 2" xfId="35421" xr:uid="{752A5040-28DF-48BB-B1EA-9D7FFF000014}"/>
    <cellStyle name="Currency 5 3 5 4 5" xfId="10117" xr:uid="{00000000-0005-0000-0000-000075260000}"/>
    <cellStyle name="Currency 5 3 5 4 6" xfId="26987" xr:uid="{E9EE45CA-29A4-43B0-9F44-AFBFA4B79E9F}"/>
    <cellStyle name="Currency 5 3 5 5" xfId="2006" xr:uid="{00000000-0005-0000-0000-000076260000}"/>
    <cellStyle name="Currency 5 3 5 5 2" xfId="4235" xr:uid="{00000000-0005-0000-0000-000077260000}"/>
    <cellStyle name="Currency 5 3 5 5 2 2" xfId="8458" xr:uid="{00000000-0005-0000-0000-000078260000}"/>
    <cellStyle name="Currency 5 3 5 5 2 2 2" xfId="25328" xr:uid="{00000000-0005-0000-0000-000079260000}"/>
    <cellStyle name="Currency 5 3 5 5 2 2 2 2" xfId="42196" xr:uid="{FC343C72-E717-46C9-9D6A-DBBC026C1D32}"/>
    <cellStyle name="Currency 5 3 5 5 2 2 3" xfId="16893" xr:uid="{00000000-0005-0000-0000-00007A260000}"/>
    <cellStyle name="Currency 5 3 5 5 2 2 4" xfId="33762" xr:uid="{8AB5CF0B-16C5-4358-BC25-7A56ED0E25BF}"/>
    <cellStyle name="Currency 5 3 5 5 2 3" xfId="21110" xr:uid="{00000000-0005-0000-0000-00007B260000}"/>
    <cellStyle name="Currency 5 3 5 5 2 3 2" xfId="37979" xr:uid="{AF7A642E-EEE6-49EF-9ADF-3C5F8A1C2D97}"/>
    <cellStyle name="Currency 5 3 5 5 2 4" xfId="12675" xr:uid="{00000000-0005-0000-0000-00007C260000}"/>
    <cellStyle name="Currency 5 3 5 5 2 5" xfId="29545" xr:uid="{1AE03193-3B67-4B6C-B7C6-26439CC47F72}"/>
    <cellStyle name="Currency 5 3 5 5 3" xfId="6313" xr:uid="{00000000-0005-0000-0000-00007D260000}"/>
    <cellStyle name="Currency 5 3 5 5 3 2" xfId="23183" xr:uid="{00000000-0005-0000-0000-00007E260000}"/>
    <cellStyle name="Currency 5 3 5 5 3 2 2" xfId="40051" xr:uid="{BC34C1CA-735C-4A28-871D-30E758B36AA8}"/>
    <cellStyle name="Currency 5 3 5 5 3 3" xfId="14748" xr:uid="{00000000-0005-0000-0000-00007F260000}"/>
    <cellStyle name="Currency 5 3 5 5 3 4" xfId="31617" xr:uid="{6FC97A57-26F6-454E-B00E-03E259225E89}"/>
    <cellStyle name="Currency 5 3 5 5 4" xfId="18965" xr:uid="{00000000-0005-0000-0000-000080260000}"/>
    <cellStyle name="Currency 5 3 5 5 4 2" xfId="35834" xr:uid="{8CDE6801-A67D-4BE6-A127-120431CD1202}"/>
    <cellStyle name="Currency 5 3 5 5 5" xfId="10530" xr:uid="{00000000-0005-0000-0000-000081260000}"/>
    <cellStyle name="Currency 5 3 5 5 6" xfId="27400" xr:uid="{30721516-97D6-4839-B0E2-7BF0DC467399}"/>
    <cellStyle name="Currency 5 3 5 6" xfId="2441" xr:uid="{00000000-0005-0000-0000-000082260000}"/>
    <cellStyle name="Currency 5 3 5 6 2" xfId="6726" xr:uid="{00000000-0005-0000-0000-000083260000}"/>
    <cellStyle name="Currency 5 3 5 6 2 2" xfId="23596" xr:uid="{00000000-0005-0000-0000-000084260000}"/>
    <cellStyle name="Currency 5 3 5 6 2 2 2" xfId="40464" xr:uid="{860A3C6E-C539-4064-9A96-1962E1F7D9C7}"/>
    <cellStyle name="Currency 5 3 5 6 2 3" xfId="15161" xr:uid="{00000000-0005-0000-0000-000085260000}"/>
    <cellStyle name="Currency 5 3 5 6 2 4" xfId="32030" xr:uid="{C4A7E2E4-941F-40C3-AC3A-DE8E3FB49C57}"/>
    <cellStyle name="Currency 5 3 5 6 3" xfId="19378" xr:uid="{00000000-0005-0000-0000-000086260000}"/>
    <cellStyle name="Currency 5 3 5 6 3 2" xfId="36247" xr:uid="{DD75D268-14AF-4C12-8B8A-0D4657E98C5E}"/>
    <cellStyle name="Currency 5 3 5 6 4" xfId="10943" xr:uid="{00000000-0005-0000-0000-000087260000}"/>
    <cellStyle name="Currency 5 3 5 6 5" xfId="27813" xr:uid="{3DD721E7-9DFA-4CA6-B262-DFF6E5DA48C5}"/>
    <cellStyle name="Currency 5 3 5 7" xfId="2738" xr:uid="{00000000-0005-0000-0000-000088260000}"/>
    <cellStyle name="Currency 5 3 5 8" xfId="2819" xr:uid="{00000000-0005-0000-0000-000089260000}"/>
    <cellStyle name="Currency 5 3 5 8 2" xfId="7043" xr:uid="{00000000-0005-0000-0000-00008A260000}"/>
    <cellStyle name="Currency 5 3 5 8 2 2" xfId="23913" xr:uid="{00000000-0005-0000-0000-00008B260000}"/>
    <cellStyle name="Currency 5 3 5 8 2 2 2" xfId="40781" xr:uid="{DEF3710B-8FE3-4FF5-B8AA-8C969C2D0C1D}"/>
    <cellStyle name="Currency 5 3 5 8 2 3" xfId="15478" xr:uid="{00000000-0005-0000-0000-00008C260000}"/>
    <cellStyle name="Currency 5 3 5 8 2 4" xfId="32347" xr:uid="{764E9FAD-9315-4977-AD25-BCD35A916C12}"/>
    <cellStyle name="Currency 5 3 5 8 3" xfId="19695" xr:uid="{00000000-0005-0000-0000-00008D260000}"/>
    <cellStyle name="Currency 5 3 5 8 3 2" xfId="36564" xr:uid="{517B2F6A-4F72-46E6-91FD-CEDFB5F4508B}"/>
    <cellStyle name="Currency 5 3 5 8 4" xfId="11260" xr:uid="{00000000-0005-0000-0000-00008E260000}"/>
    <cellStyle name="Currency 5 3 5 8 5" xfId="28130" xr:uid="{9C76BFBA-04F6-48F3-B44F-FC3E0E041BA5}"/>
    <cellStyle name="Currency 5 3 5 9" xfId="4660" xr:uid="{00000000-0005-0000-0000-00008F260000}"/>
    <cellStyle name="Currency 5 3 5 9 2" xfId="21530" xr:uid="{00000000-0005-0000-0000-000090260000}"/>
    <cellStyle name="Currency 5 3 5 9 2 2" xfId="38398" xr:uid="{73D854CA-25A4-49E8-AD04-9FEEAE490351}"/>
    <cellStyle name="Currency 5 3 5 9 3" xfId="13095" xr:uid="{00000000-0005-0000-0000-000091260000}"/>
    <cellStyle name="Currency 5 3 5 9 4" xfId="29964" xr:uid="{BCE2D1EF-6716-4206-AB8A-5BD9CE1D62DB}"/>
    <cellStyle name="Currency 5 4" xfId="218" xr:uid="{00000000-0005-0000-0000-000092260000}"/>
    <cellStyle name="Currency 5 4 2" xfId="744" xr:uid="{00000000-0005-0000-0000-000093260000}"/>
    <cellStyle name="Currency 5 5" xfId="219" xr:uid="{00000000-0005-0000-0000-000094260000}"/>
    <cellStyle name="Currency 5 5 10" xfId="4661" xr:uid="{00000000-0005-0000-0000-000095260000}"/>
    <cellStyle name="Currency 5 5 10 2" xfId="21531" xr:uid="{00000000-0005-0000-0000-000096260000}"/>
    <cellStyle name="Currency 5 5 10 2 2" xfId="38399" xr:uid="{11F3ABB3-E3F4-4C25-975E-12807963BC09}"/>
    <cellStyle name="Currency 5 5 10 3" xfId="13096" xr:uid="{00000000-0005-0000-0000-000097260000}"/>
    <cellStyle name="Currency 5 5 10 4" xfId="29965" xr:uid="{7F3512E6-9E43-4FCA-93B1-DC24F4A99A67}"/>
    <cellStyle name="Currency 5 5 11" xfId="17313" xr:uid="{00000000-0005-0000-0000-000098260000}"/>
    <cellStyle name="Currency 5 5 11 2" xfId="34182" xr:uid="{A09FC774-E752-4649-9B26-97C7DE2209B2}"/>
    <cellStyle name="Currency 5 5 12" xfId="8878" xr:uid="{00000000-0005-0000-0000-000099260000}"/>
    <cellStyle name="Currency 5 5 13" xfId="25748" xr:uid="{E3239BDF-5E62-4DE6-A604-D893F642F49A}"/>
    <cellStyle name="Currency 5 5 2" xfId="220" xr:uid="{00000000-0005-0000-0000-00009A260000}"/>
    <cellStyle name="Currency 5 5 2 10" xfId="17314" xr:uid="{00000000-0005-0000-0000-00009B260000}"/>
    <cellStyle name="Currency 5 5 2 10 2" xfId="34183" xr:uid="{D362013E-A80B-4231-8E19-E556573CBDD9}"/>
    <cellStyle name="Currency 5 5 2 11" xfId="8879" xr:uid="{00000000-0005-0000-0000-00009C260000}"/>
    <cellStyle name="Currency 5 5 2 12" xfId="25749" xr:uid="{C5B8E1B7-D42B-4DA3-AE54-C30155D1ECCC}"/>
    <cellStyle name="Currency 5 5 2 2" xfId="746" xr:uid="{00000000-0005-0000-0000-00009D260000}"/>
    <cellStyle name="Currency 5 5 2 2 2" xfId="2998" xr:uid="{00000000-0005-0000-0000-00009E260000}"/>
    <cellStyle name="Currency 5 5 2 2 2 2" xfId="7221" xr:uid="{00000000-0005-0000-0000-00009F260000}"/>
    <cellStyle name="Currency 5 5 2 2 2 2 2" xfId="24091" xr:uid="{00000000-0005-0000-0000-0000A0260000}"/>
    <cellStyle name="Currency 5 5 2 2 2 2 2 2" xfId="40959" xr:uid="{1C312176-085E-4B52-983B-A68EEE4DDD72}"/>
    <cellStyle name="Currency 5 5 2 2 2 2 3" xfId="15656" xr:uid="{00000000-0005-0000-0000-0000A1260000}"/>
    <cellStyle name="Currency 5 5 2 2 2 2 4" xfId="32525" xr:uid="{56424DFC-0805-4C60-908F-784C47D8915B}"/>
    <cellStyle name="Currency 5 5 2 2 2 3" xfId="19873" xr:uid="{00000000-0005-0000-0000-0000A2260000}"/>
    <cellStyle name="Currency 5 5 2 2 2 3 2" xfId="36742" xr:uid="{E689D8F4-12C7-4437-B84A-753CBD890997}"/>
    <cellStyle name="Currency 5 5 2 2 2 4" xfId="11438" xr:uid="{00000000-0005-0000-0000-0000A3260000}"/>
    <cellStyle name="Currency 5 5 2 2 2 5" xfId="28308" xr:uid="{B37CE956-CF38-4396-AB3F-45E3BC38E5BD}"/>
    <cellStyle name="Currency 5 5 2 2 3" xfId="5076" xr:uid="{00000000-0005-0000-0000-0000A4260000}"/>
    <cellStyle name="Currency 5 5 2 2 3 2" xfId="21946" xr:uid="{00000000-0005-0000-0000-0000A5260000}"/>
    <cellStyle name="Currency 5 5 2 2 3 2 2" xfId="38814" xr:uid="{4C4A43B8-00A2-43E7-B10D-1A559B6FE284}"/>
    <cellStyle name="Currency 5 5 2 2 3 3" xfId="13511" xr:uid="{00000000-0005-0000-0000-0000A6260000}"/>
    <cellStyle name="Currency 5 5 2 2 3 4" xfId="30380" xr:uid="{F46672E5-2804-46C8-A428-761EDE0A1257}"/>
    <cellStyle name="Currency 5 5 2 2 4" xfId="17728" xr:uid="{00000000-0005-0000-0000-0000A7260000}"/>
    <cellStyle name="Currency 5 5 2 2 4 2" xfId="34597" xr:uid="{D4C66BB6-65BD-4969-87BE-760E6FA1DDF2}"/>
    <cellStyle name="Currency 5 5 2 2 5" xfId="9293" xr:uid="{00000000-0005-0000-0000-0000A8260000}"/>
    <cellStyle name="Currency 5 5 2 2 6" xfId="26163" xr:uid="{243982B1-C1B8-4328-A6D6-9534C17EF26D}"/>
    <cellStyle name="Currency 5 5 2 3" xfId="1180" xr:uid="{00000000-0005-0000-0000-0000A9260000}"/>
    <cellStyle name="Currency 5 5 2 3 2" xfId="3411" xr:uid="{00000000-0005-0000-0000-0000AA260000}"/>
    <cellStyle name="Currency 5 5 2 3 2 2" xfId="7634" xr:uid="{00000000-0005-0000-0000-0000AB260000}"/>
    <cellStyle name="Currency 5 5 2 3 2 2 2" xfId="24504" xr:uid="{00000000-0005-0000-0000-0000AC260000}"/>
    <cellStyle name="Currency 5 5 2 3 2 2 2 2" xfId="41372" xr:uid="{9A57348B-809A-461C-827C-B2E781A39A42}"/>
    <cellStyle name="Currency 5 5 2 3 2 2 3" xfId="16069" xr:uid="{00000000-0005-0000-0000-0000AD260000}"/>
    <cellStyle name="Currency 5 5 2 3 2 2 4" xfId="32938" xr:uid="{E46DF8A6-7AD8-4B95-AA3E-DE805D4F3225}"/>
    <cellStyle name="Currency 5 5 2 3 2 3" xfId="20286" xr:uid="{00000000-0005-0000-0000-0000AE260000}"/>
    <cellStyle name="Currency 5 5 2 3 2 3 2" xfId="37155" xr:uid="{FA2822AB-1BF1-45FE-8A75-B512FC88CACE}"/>
    <cellStyle name="Currency 5 5 2 3 2 4" xfId="11851" xr:uid="{00000000-0005-0000-0000-0000AF260000}"/>
    <cellStyle name="Currency 5 5 2 3 2 5" xfId="28721" xr:uid="{A42C4886-FE14-4B3C-9A0A-9BE332DECDB8}"/>
    <cellStyle name="Currency 5 5 2 3 3" xfId="5489" xr:uid="{00000000-0005-0000-0000-0000B0260000}"/>
    <cellStyle name="Currency 5 5 2 3 3 2" xfId="22359" xr:uid="{00000000-0005-0000-0000-0000B1260000}"/>
    <cellStyle name="Currency 5 5 2 3 3 2 2" xfId="39227" xr:uid="{64E5002C-517D-4E29-BA96-241DAB0B22AC}"/>
    <cellStyle name="Currency 5 5 2 3 3 3" xfId="13924" xr:uid="{00000000-0005-0000-0000-0000B2260000}"/>
    <cellStyle name="Currency 5 5 2 3 3 4" xfId="30793" xr:uid="{BDE60E04-6B4E-4AF6-86D3-38742C010F5E}"/>
    <cellStyle name="Currency 5 5 2 3 4" xfId="18141" xr:uid="{00000000-0005-0000-0000-0000B3260000}"/>
    <cellStyle name="Currency 5 5 2 3 4 2" xfId="35010" xr:uid="{EE6E5D3B-8074-4CE8-B892-B207B03FD477}"/>
    <cellStyle name="Currency 5 5 2 3 5" xfId="9706" xr:uid="{00000000-0005-0000-0000-0000B4260000}"/>
    <cellStyle name="Currency 5 5 2 3 6" xfId="26576" xr:uid="{E8A75F50-27C7-46CC-B8B2-5B9570957BC1}"/>
    <cellStyle name="Currency 5 5 2 4" xfId="1594" xr:uid="{00000000-0005-0000-0000-0000B5260000}"/>
    <cellStyle name="Currency 5 5 2 4 2" xfId="3824" xr:uid="{00000000-0005-0000-0000-0000B6260000}"/>
    <cellStyle name="Currency 5 5 2 4 2 2" xfId="8047" xr:uid="{00000000-0005-0000-0000-0000B7260000}"/>
    <cellStyle name="Currency 5 5 2 4 2 2 2" xfId="24917" xr:uid="{00000000-0005-0000-0000-0000B8260000}"/>
    <cellStyle name="Currency 5 5 2 4 2 2 2 2" xfId="41785" xr:uid="{33B43382-B51D-4B82-9607-F0BFEB00D439}"/>
    <cellStyle name="Currency 5 5 2 4 2 2 3" xfId="16482" xr:uid="{00000000-0005-0000-0000-0000B9260000}"/>
    <cellStyle name="Currency 5 5 2 4 2 2 4" xfId="33351" xr:uid="{E2674856-2D49-437D-8015-6B5F072F0512}"/>
    <cellStyle name="Currency 5 5 2 4 2 3" xfId="20699" xr:uid="{00000000-0005-0000-0000-0000BA260000}"/>
    <cellStyle name="Currency 5 5 2 4 2 3 2" xfId="37568" xr:uid="{434E56F6-2893-4632-98D4-053E2ECAB380}"/>
    <cellStyle name="Currency 5 5 2 4 2 4" xfId="12264" xr:uid="{00000000-0005-0000-0000-0000BB260000}"/>
    <cellStyle name="Currency 5 5 2 4 2 5" xfId="29134" xr:uid="{453EA93F-B24C-48A0-8C83-6D92366F12A1}"/>
    <cellStyle name="Currency 5 5 2 4 3" xfId="5902" xr:uid="{00000000-0005-0000-0000-0000BC260000}"/>
    <cellStyle name="Currency 5 5 2 4 3 2" xfId="22772" xr:uid="{00000000-0005-0000-0000-0000BD260000}"/>
    <cellStyle name="Currency 5 5 2 4 3 2 2" xfId="39640" xr:uid="{5B1C5DC9-36B0-449C-BE7C-E182C657C4C4}"/>
    <cellStyle name="Currency 5 5 2 4 3 3" xfId="14337" xr:uid="{00000000-0005-0000-0000-0000BE260000}"/>
    <cellStyle name="Currency 5 5 2 4 3 4" xfId="31206" xr:uid="{2506B0AC-0988-4EDD-98AE-FB34500F33A0}"/>
    <cellStyle name="Currency 5 5 2 4 4" xfId="18554" xr:uid="{00000000-0005-0000-0000-0000BF260000}"/>
    <cellStyle name="Currency 5 5 2 4 4 2" xfId="35423" xr:uid="{827DE95F-C6CD-4CDB-83AE-2980FDB0C018}"/>
    <cellStyle name="Currency 5 5 2 4 5" xfId="10119" xr:uid="{00000000-0005-0000-0000-0000C0260000}"/>
    <cellStyle name="Currency 5 5 2 4 6" xfId="26989" xr:uid="{29423339-0CC2-4EFF-8C22-AA06C2B21BA4}"/>
    <cellStyle name="Currency 5 5 2 5" xfId="2008" xr:uid="{00000000-0005-0000-0000-0000C1260000}"/>
    <cellStyle name="Currency 5 5 2 5 2" xfId="4237" xr:uid="{00000000-0005-0000-0000-0000C2260000}"/>
    <cellStyle name="Currency 5 5 2 5 2 2" xfId="8460" xr:uid="{00000000-0005-0000-0000-0000C3260000}"/>
    <cellStyle name="Currency 5 5 2 5 2 2 2" xfId="25330" xr:uid="{00000000-0005-0000-0000-0000C4260000}"/>
    <cellStyle name="Currency 5 5 2 5 2 2 2 2" xfId="42198" xr:uid="{F5F4172B-BC0D-4822-A818-6B5FADFC41BC}"/>
    <cellStyle name="Currency 5 5 2 5 2 2 3" xfId="16895" xr:uid="{00000000-0005-0000-0000-0000C5260000}"/>
    <cellStyle name="Currency 5 5 2 5 2 2 4" xfId="33764" xr:uid="{2A2CF109-5231-4CB0-A130-0C14A85F1A9C}"/>
    <cellStyle name="Currency 5 5 2 5 2 3" xfId="21112" xr:uid="{00000000-0005-0000-0000-0000C6260000}"/>
    <cellStyle name="Currency 5 5 2 5 2 3 2" xfId="37981" xr:uid="{A1E19E74-A06A-47F9-9C7C-25786DD5D342}"/>
    <cellStyle name="Currency 5 5 2 5 2 4" xfId="12677" xr:uid="{00000000-0005-0000-0000-0000C7260000}"/>
    <cellStyle name="Currency 5 5 2 5 2 5" xfId="29547" xr:uid="{E7D54C9A-4257-46E0-BA35-91CC02ADA1C9}"/>
    <cellStyle name="Currency 5 5 2 5 3" xfId="6315" xr:uid="{00000000-0005-0000-0000-0000C8260000}"/>
    <cellStyle name="Currency 5 5 2 5 3 2" xfId="23185" xr:uid="{00000000-0005-0000-0000-0000C9260000}"/>
    <cellStyle name="Currency 5 5 2 5 3 2 2" xfId="40053" xr:uid="{60D9DAB5-7AD6-44FF-B577-BA5911AF8234}"/>
    <cellStyle name="Currency 5 5 2 5 3 3" xfId="14750" xr:uid="{00000000-0005-0000-0000-0000CA260000}"/>
    <cellStyle name="Currency 5 5 2 5 3 4" xfId="31619" xr:uid="{60AA016D-2494-496D-ADB0-0A556278747B}"/>
    <cellStyle name="Currency 5 5 2 5 4" xfId="18967" xr:uid="{00000000-0005-0000-0000-0000CB260000}"/>
    <cellStyle name="Currency 5 5 2 5 4 2" xfId="35836" xr:uid="{5E2AB38C-14EA-4106-9202-698F3240C587}"/>
    <cellStyle name="Currency 5 5 2 5 5" xfId="10532" xr:uid="{00000000-0005-0000-0000-0000CC260000}"/>
    <cellStyle name="Currency 5 5 2 5 6" xfId="27402" xr:uid="{EC813993-C8AB-4C06-8F91-0260F1D306D3}"/>
    <cellStyle name="Currency 5 5 2 6" xfId="2443" xr:uid="{00000000-0005-0000-0000-0000CD260000}"/>
    <cellStyle name="Currency 5 5 2 6 2" xfId="6728" xr:uid="{00000000-0005-0000-0000-0000CE260000}"/>
    <cellStyle name="Currency 5 5 2 6 2 2" xfId="23598" xr:uid="{00000000-0005-0000-0000-0000CF260000}"/>
    <cellStyle name="Currency 5 5 2 6 2 2 2" xfId="40466" xr:uid="{5FB5F0DE-CFCA-44F6-ADB7-3CB0D31510E3}"/>
    <cellStyle name="Currency 5 5 2 6 2 3" xfId="15163" xr:uid="{00000000-0005-0000-0000-0000D0260000}"/>
    <cellStyle name="Currency 5 5 2 6 2 4" xfId="32032" xr:uid="{0FCDAAB5-BA65-4185-B3D5-AFAD66C9ACCF}"/>
    <cellStyle name="Currency 5 5 2 6 3" xfId="19380" xr:uid="{00000000-0005-0000-0000-0000D1260000}"/>
    <cellStyle name="Currency 5 5 2 6 3 2" xfId="36249" xr:uid="{18CA5339-1A8B-4999-BC9A-3BF44C7B92F9}"/>
    <cellStyle name="Currency 5 5 2 6 4" xfId="10945" xr:uid="{00000000-0005-0000-0000-0000D2260000}"/>
    <cellStyle name="Currency 5 5 2 6 5" xfId="27815" xr:uid="{A0B5AED0-3ED9-4C1E-93D6-1CA51D029FD7}"/>
    <cellStyle name="Currency 5 5 2 7" xfId="2740" xr:uid="{00000000-0005-0000-0000-0000D3260000}"/>
    <cellStyle name="Currency 5 5 2 8" xfId="2821" xr:uid="{00000000-0005-0000-0000-0000D4260000}"/>
    <cellStyle name="Currency 5 5 2 8 2" xfId="7045" xr:uid="{00000000-0005-0000-0000-0000D5260000}"/>
    <cellStyle name="Currency 5 5 2 8 2 2" xfId="23915" xr:uid="{00000000-0005-0000-0000-0000D6260000}"/>
    <cellStyle name="Currency 5 5 2 8 2 2 2" xfId="40783" xr:uid="{ADCF7B78-5E00-4278-9646-9125429DBCFE}"/>
    <cellStyle name="Currency 5 5 2 8 2 3" xfId="15480" xr:uid="{00000000-0005-0000-0000-0000D7260000}"/>
    <cellStyle name="Currency 5 5 2 8 2 4" xfId="32349" xr:uid="{7E5F12B2-E5E8-476F-BEB4-7A5FE9B4679E}"/>
    <cellStyle name="Currency 5 5 2 8 3" xfId="19697" xr:uid="{00000000-0005-0000-0000-0000D8260000}"/>
    <cellStyle name="Currency 5 5 2 8 3 2" xfId="36566" xr:uid="{84AFDA00-859A-4CFA-AE10-C0A0D455196E}"/>
    <cellStyle name="Currency 5 5 2 8 4" xfId="11262" xr:uid="{00000000-0005-0000-0000-0000D9260000}"/>
    <cellStyle name="Currency 5 5 2 8 5" xfId="28132" xr:uid="{3188F624-ADE8-4AE9-8850-C05155B5613F}"/>
    <cellStyle name="Currency 5 5 2 9" xfId="4662" xr:uid="{00000000-0005-0000-0000-0000DA260000}"/>
    <cellStyle name="Currency 5 5 2 9 2" xfId="21532" xr:uid="{00000000-0005-0000-0000-0000DB260000}"/>
    <cellStyle name="Currency 5 5 2 9 2 2" xfId="38400" xr:uid="{66B9FB87-201B-4FCD-A848-833E1F1F7F1E}"/>
    <cellStyle name="Currency 5 5 2 9 3" xfId="13097" xr:uid="{00000000-0005-0000-0000-0000DC260000}"/>
    <cellStyle name="Currency 5 5 2 9 4" xfId="29966" xr:uid="{FA849C68-B4F1-4545-8EB4-B0ACEC4C14A7}"/>
    <cellStyle name="Currency 5 5 3" xfId="745" xr:uid="{00000000-0005-0000-0000-0000DD260000}"/>
    <cellStyle name="Currency 5 5 3 2" xfId="2997" xr:uid="{00000000-0005-0000-0000-0000DE260000}"/>
    <cellStyle name="Currency 5 5 3 2 2" xfId="7220" xr:uid="{00000000-0005-0000-0000-0000DF260000}"/>
    <cellStyle name="Currency 5 5 3 2 2 2" xfId="24090" xr:uid="{00000000-0005-0000-0000-0000E0260000}"/>
    <cellStyle name="Currency 5 5 3 2 2 2 2" xfId="40958" xr:uid="{BF949C36-F8D7-4A09-A530-CF5697771A1C}"/>
    <cellStyle name="Currency 5 5 3 2 2 3" xfId="15655" xr:uid="{00000000-0005-0000-0000-0000E1260000}"/>
    <cellStyle name="Currency 5 5 3 2 2 4" xfId="32524" xr:uid="{0840EEA2-BB1C-4C44-8521-D02E65FA9DAE}"/>
    <cellStyle name="Currency 5 5 3 2 3" xfId="19872" xr:uid="{00000000-0005-0000-0000-0000E2260000}"/>
    <cellStyle name="Currency 5 5 3 2 3 2" xfId="36741" xr:uid="{6D0AED7F-1D65-499B-AD6D-25FE90B9F5BA}"/>
    <cellStyle name="Currency 5 5 3 2 4" xfId="11437" xr:uid="{00000000-0005-0000-0000-0000E3260000}"/>
    <cellStyle name="Currency 5 5 3 2 5" xfId="28307" xr:uid="{5B3423D5-CB6B-425C-A48B-F0F8C362948A}"/>
    <cellStyle name="Currency 5 5 3 3" xfId="5075" xr:uid="{00000000-0005-0000-0000-0000E4260000}"/>
    <cellStyle name="Currency 5 5 3 3 2" xfId="21945" xr:uid="{00000000-0005-0000-0000-0000E5260000}"/>
    <cellStyle name="Currency 5 5 3 3 2 2" xfId="38813" xr:uid="{5B8BC05B-CC16-4CAA-BBF3-D6DDDFD7F9D7}"/>
    <cellStyle name="Currency 5 5 3 3 3" xfId="13510" xr:uid="{00000000-0005-0000-0000-0000E6260000}"/>
    <cellStyle name="Currency 5 5 3 3 4" xfId="30379" xr:uid="{498D9F17-A767-435E-8376-E886F69970A7}"/>
    <cellStyle name="Currency 5 5 3 4" xfId="17727" xr:uid="{00000000-0005-0000-0000-0000E7260000}"/>
    <cellStyle name="Currency 5 5 3 4 2" xfId="34596" xr:uid="{9BB0E525-0D69-4580-BFEC-7BF3A2550A41}"/>
    <cellStyle name="Currency 5 5 3 5" xfId="9292" xr:uid="{00000000-0005-0000-0000-0000E8260000}"/>
    <cellStyle name="Currency 5 5 3 6" xfId="26162" xr:uid="{AB701901-9148-48BD-82E3-B3B095682A63}"/>
    <cellStyle name="Currency 5 5 4" xfId="1179" xr:uid="{00000000-0005-0000-0000-0000E9260000}"/>
    <cellStyle name="Currency 5 5 4 2" xfId="3410" xr:uid="{00000000-0005-0000-0000-0000EA260000}"/>
    <cellStyle name="Currency 5 5 4 2 2" xfId="7633" xr:uid="{00000000-0005-0000-0000-0000EB260000}"/>
    <cellStyle name="Currency 5 5 4 2 2 2" xfId="24503" xr:uid="{00000000-0005-0000-0000-0000EC260000}"/>
    <cellStyle name="Currency 5 5 4 2 2 2 2" xfId="41371" xr:uid="{36455A40-3BB5-4521-98B6-7D28F70D5253}"/>
    <cellStyle name="Currency 5 5 4 2 2 3" xfId="16068" xr:uid="{00000000-0005-0000-0000-0000ED260000}"/>
    <cellStyle name="Currency 5 5 4 2 2 4" xfId="32937" xr:uid="{ED8D7947-A84B-45E0-BB37-CD58F0F93985}"/>
    <cellStyle name="Currency 5 5 4 2 3" xfId="20285" xr:uid="{00000000-0005-0000-0000-0000EE260000}"/>
    <cellStyle name="Currency 5 5 4 2 3 2" xfId="37154" xr:uid="{B01F92EF-F641-4048-91F6-2AD97652A9DA}"/>
    <cellStyle name="Currency 5 5 4 2 4" xfId="11850" xr:uid="{00000000-0005-0000-0000-0000EF260000}"/>
    <cellStyle name="Currency 5 5 4 2 5" xfId="28720" xr:uid="{8072F407-477D-47C6-AA27-529F34D942C0}"/>
    <cellStyle name="Currency 5 5 4 3" xfId="5488" xr:uid="{00000000-0005-0000-0000-0000F0260000}"/>
    <cellStyle name="Currency 5 5 4 3 2" xfId="22358" xr:uid="{00000000-0005-0000-0000-0000F1260000}"/>
    <cellStyle name="Currency 5 5 4 3 2 2" xfId="39226" xr:uid="{0FF4E94D-2F52-4856-B4B5-66D34261C28F}"/>
    <cellStyle name="Currency 5 5 4 3 3" xfId="13923" xr:uid="{00000000-0005-0000-0000-0000F2260000}"/>
    <cellStyle name="Currency 5 5 4 3 4" xfId="30792" xr:uid="{31A92CFE-758C-481E-9B2C-F318E13CEE4C}"/>
    <cellStyle name="Currency 5 5 4 4" xfId="18140" xr:uid="{00000000-0005-0000-0000-0000F3260000}"/>
    <cellStyle name="Currency 5 5 4 4 2" xfId="35009" xr:uid="{E1FB6130-51CF-4B0E-8098-FA5B727173CA}"/>
    <cellStyle name="Currency 5 5 4 5" xfId="9705" xr:uid="{00000000-0005-0000-0000-0000F4260000}"/>
    <cellStyle name="Currency 5 5 4 6" xfId="26575" xr:uid="{171F66AA-254B-4165-B185-2CA1B6B1A469}"/>
    <cellStyle name="Currency 5 5 5" xfId="1593" xr:uid="{00000000-0005-0000-0000-0000F5260000}"/>
    <cellStyle name="Currency 5 5 5 2" xfId="3823" xr:uid="{00000000-0005-0000-0000-0000F6260000}"/>
    <cellStyle name="Currency 5 5 5 2 2" xfId="8046" xr:uid="{00000000-0005-0000-0000-0000F7260000}"/>
    <cellStyle name="Currency 5 5 5 2 2 2" xfId="24916" xr:uid="{00000000-0005-0000-0000-0000F8260000}"/>
    <cellStyle name="Currency 5 5 5 2 2 2 2" xfId="41784" xr:uid="{C9654F5F-BA70-4FEC-BCC9-A16ABC6071FB}"/>
    <cellStyle name="Currency 5 5 5 2 2 3" xfId="16481" xr:uid="{00000000-0005-0000-0000-0000F9260000}"/>
    <cellStyle name="Currency 5 5 5 2 2 4" xfId="33350" xr:uid="{4A07EDDE-F857-4B22-B023-D6E9C6567362}"/>
    <cellStyle name="Currency 5 5 5 2 3" xfId="20698" xr:uid="{00000000-0005-0000-0000-0000FA260000}"/>
    <cellStyle name="Currency 5 5 5 2 3 2" xfId="37567" xr:uid="{FAB4264D-C786-4F10-84DD-60058AF84BF8}"/>
    <cellStyle name="Currency 5 5 5 2 4" xfId="12263" xr:uid="{00000000-0005-0000-0000-0000FB260000}"/>
    <cellStyle name="Currency 5 5 5 2 5" xfId="29133" xr:uid="{C9B74F0D-3549-4A97-B9C0-C2C97B4C4962}"/>
    <cellStyle name="Currency 5 5 5 3" xfId="5901" xr:uid="{00000000-0005-0000-0000-0000FC260000}"/>
    <cellStyle name="Currency 5 5 5 3 2" xfId="22771" xr:uid="{00000000-0005-0000-0000-0000FD260000}"/>
    <cellStyle name="Currency 5 5 5 3 2 2" xfId="39639" xr:uid="{5ECDAF63-C8BD-4AD6-ACDF-CE50DC194591}"/>
    <cellStyle name="Currency 5 5 5 3 3" xfId="14336" xr:uid="{00000000-0005-0000-0000-0000FE260000}"/>
    <cellStyle name="Currency 5 5 5 3 4" xfId="31205" xr:uid="{D7DB0955-24C8-4337-B455-FD77782BDBAA}"/>
    <cellStyle name="Currency 5 5 5 4" xfId="18553" xr:uid="{00000000-0005-0000-0000-0000FF260000}"/>
    <cellStyle name="Currency 5 5 5 4 2" xfId="35422" xr:uid="{808410C0-D773-48FE-A597-F578530AC95C}"/>
    <cellStyle name="Currency 5 5 5 5" xfId="10118" xr:uid="{00000000-0005-0000-0000-000000270000}"/>
    <cellStyle name="Currency 5 5 5 6" xfId="26988" xr:uid="{E91BDC7F-B7FA-48E7-B230-64B5D147E3E8}"/>
    <cellStyle name="Currency 5 5 6" xfId="2007" xr:uid="{00000000-0005-0000-0000-000001270000}"/>
    <cellStyle name="Currency 5 5 6 2" xfId="4236" xr:uid="{00000000-0005-0000-0000-000002270000}"/>
    <cellStyle name="Currency 5 5 6 2 2" xfId="8459" xr:uid="{00000000-0005-0000-0000-000003270000}"/>
    <cellStyle name="Currency 5 5 6 2 2 2" xfId="25329" xr:uid="{00000000-0005-0000-0000-000004270000}"/>
    <cellStyle name="Currency 5 5 6 2 2 2 2" xfId="42197" xr:uid="{AF15FD35-F78A-4928-8117-5E43AAFB2310}"/>
    <cellStyle name="Currency 5 5 6 2 2 3" xfId="16894" xr:uid="{00000000-0005-0000-0000-000005270000}"/>
    <cellStyle name="Currency 5 5 6 2 2 4" xfId="33763" xr:uid="{9BF7E7C2-9F21-4DC6-AB45-19CB4154ECD9}"/>
    <cellStyle name="Currency 5 5 6 2 3" xfId="21111" xr:uid="{00000000-0005-0000-0000-000006270000}"/>
    <cellStyle name="Currency 5 5 6 2 3 2" xfId="37980" xr:uid="{0A1ADAB1-5ADA-41F2-90DF-3F4E2EC414E2}"/>
    <cellStyle name="Currency 5 5 6 2 4" xfId="12676" xr:uid="{00000000-0005-0000-0000-000007270000}"/>
    <cellStyle name="Currency 5 5 6 2 5" xfId="29546" xr:uid="{6D911DC8-AFA3-4194-8139-F15435CF011D}"/>
    <cellStyle name="Currency 5 5 6 3" xfId="6314" xr:uid="{00000000-0005-0000-0000-000008270000}"/>
    <cellStyle name="Currency 5 5 6 3 2" xfId="23184" xr:uid="{00000000-0005-0000-0000-000009270000}"/>
    <cellStyle name="Currency 5 5 6 3 2 2" xfId="40052" xr:uid="{E57C4960-E7D8-455D-B659-A2075C34301F}"/>
    <cellStyle name="Currency 5 5 6 3 3" xfId="14749" xr:uid="{00000000-0005-0000-0000-00000A270000}"/>
    <cellStyle name="Currency 5 5 6 3 4" xfId="31618" xr:uid="{C9D1E166-9A48-4579-9CB1-7892751EDCA3}"/>
    <cellStyle name="Currency 5 5 6 4" xfId="18966" xr:uid="{00000000-0005-0000-0000-00000B270000}"/>
    <cellStyle name="Currency 5 5 6 4 2" xfId="35835" xr:uid="{54962369-7E13-454F-BC9C-1F1B11E1380B}"/>
    <cellStyle name="Currency 5 5 6 5" xfId="10531" xr:uid="{00000000-0005-0000-0000-00000C270000}"/>
    <cellStyle name="Currency 5 5 6 6" xfId="27401" xr:uid="{F3201463-B52C-41E4-BFC2-C800FC36230C}"/>
    <cellStyle name="Currency 5 5 7" xfId="2442" xr:uid="{00000000-0005-0000-0000-00000D270000}"/>
    <cellStyle name="Currency 5 5 7 2" xfId="6727" xr:uid="{00000000-0005-0000-0000-00000E270000}"/>
    <cellStyle name="Currency 5 5 7 2 2" xfId="23597" xr:uid="{00000000-0005-0000-0000-00000F270000}"/>
    <cellStyle name="Currency 5 5 7 2 2 2" xfId="40465" xr:uid="{548EA499-C813-4BEF-8271-AC202C354BA5}"/>
    <cellStyle name="Currency 5 5 7 2 3" xfId="15162" xr:uid="{00000000-0005-0000-0000-000010270000}"/>
    <cellStyle name="Currency 5 5 7 2 4" xfId="32031" xr:uid="{9A4FBFCF-F4FD-4223-8BE1-70EA15A4D417}"/>
    <cellStyle name="Currency 5 5 7 3" xfId="19379" xr:uid="{00000000-0005-0000-0000-000011270000}"/>
    <cellStyle name="Currency 5 5 7 3 2" xfId="36248" xr:uid="{E95833BD-0694-4373-907B-54F891CAEEB4}"/>
    <cellStyle name="Currency 5 5 7 4" xfId="10944" xr:uid="{00000000-0005-0000-0000-000012270000}"/>
    <cellStyle name="Currency 5 5 7 5" xfId="27814" xr:uid="{F4C7D374-D781-472E-A5A3-94C0E2B337EC}"/>
    <cellStyle name="Currency 5 5 8" xfId="2739" xr:uid="{00000000-0005-0000-0000-000013270000}"/>
    <cellStyle name="Currency 5 5 9" xfId="2820" xr:uid="{00000000-0005-0000-0000-000014270000}"/>
    <cellStyle name="Currency 5 5 9 2" xfId="7044" xr:uid="{00000000-0005-0000-0000-000015270000}"/>
    <cellStyle name="Currency 5 5 9 2 2" xfId="23914" xr:uid="{00000000-0005-0000-0000-000016270000}"/>
    <cellStyle name="Currency 5 5 9 2 2 2" xfId="40782" xr:uid="{824487F2-FF9A-4B7A-BB52-B9C13DA42F51}"/>
    <cellStyle name="Currency 5 5 9 2 3" xfId="15479" xr:uid="{00000000-0005-0000-0000-000017270000}"/>
    <cellStyle name="Currency 5 5 9 2 4" xfId="32348" xr:uid="{7B6C64E0-C06D-42F4-886F-F9AAF6E00EBA}"/>
    <cellStyle name="Currency 5 5 9 3" xfId="19696" xr:uid="{00000000-0005-0000-0000-000018270000}"/>
    <cellStyle name="Currency 5 5 9 3 2" xfId="36565" xr:uid="{1BBC388E-6217-4B42-B729-82F482A96E54}"/>
    <cellStyle name="Currency 5 5 9 4" xfId="11261" xr:uid="{00000000-0005-0000-0000-000019270000}"/>
    <cellStyle name="Currency 5 5 9 5" xfId="28131" xr:uid="{8892A922-E597-44B4-8124-3EF24590C935}"/>
    <cellStyle name="Currency 5 6" xfId="221" xr:uid="{00000000-0005-0000-0000-00001A270000}"/>
    <cellStyle name="Currency 5 6 10" xfId="17315" xr:uid="{00000000-0005-0000-0000-00001B270000}"/>
    <cellStyle name="Currency 5 6 10 2" xfId="34184" xr:uid="{8673CB0A-D344-4D1B-8AFF-2EF34E95FE18}"/>
    <cellStyle name="Currency 5 6 11" xfId="8880" xr:uid="{00000000-0005-0000-0000-00001C270000}"/>
    <cellStyle name="Currency 5 6 12" xfId="25750" xr:uid="{5F95DE43-776A-42B9-9836-DCBE2A5E264D}"/>
    <cellStyle name="Currency 5 6 2" xfId="747" xr:uid="{00000000-0005-0000-0000-00001D270000}"/>
    <cellStyle name="Currency 5 6 2 2" xfId="2999" xr:uid="{00000000-0005-0000-0000-00001E270000}"/>
    <cellStyle name="Currency 5 6 2 2 2" xfId="7222" xr:uid="{00000000-0005-0000-0000-00001F270000}"/>
    <cellStyle name="Currency 5 6 2 2 2 2" xfId="24092" xr:uid="{00000000-0005-0000-0000-000020270000}"/>
    <cellStyle name="Currency 5 6 2 2 2 2 2" xfId="40960" xr:uid="{44B0BC9E-347B-47DB-9462-E10384675490}"/>
    <cellStyle name="Currency 5 6 2 2 2 3" xfId="15657" xr:uid="{00000000-0005-0000-0000-000021270000}"/>
    <cellStyle name="Currency 5 6 2 2 2 4" xfId="32526" xr:uid="{18A198B7-25AB-40DD-818D-3CC8DF4E8C9F}"/>
    <cellStyle name="Currency 5 6 2 2 3" xfId="19874" xr:uid="{00000000-0005-0000-0000-000022270000}"/>
    <cellStyle name="Currency 5 6 2 2 3 2" xfId="36743" xr:uid="{24F5E2B7-8908-48B8-AEE0-849A1A9EABC6}"/>
    <cellStyle name="Currency 5 6 2 2 4" xfId="11439" xr:uid="{00000000-0005-0000-0000-000023270000}"/>
    <cellStyle name="Currency 5 6 2 2 5" xfId="28309" xr:uid="{8117B4EB-0092-4D03-B325-B839A0665667}"/>
    <cellStyle name="Currency 5 6 2 3" xfId="5077" xr:uid="{00000000-0005-0000-0000-000024270000}"/>
    <cellStyle name="Currency 5 6 2 3 2" xfId="21947" xr:uid="{00000000-0005-0000-0000-000025270000}"/>
    <cellStyle name="Currency 5 6 2 3 2 2" xfId="38815" xr:uid="{BBABD7E8-3F49-4439-BE7F-2A2B72DB7517}"/>
    <cellStyle name="Currency 5 6 2 3 3" xfId="13512" xr:uid="{00000000-0005-0000-0000-000026270000}"/>
    <cellStyle name="Currency 5 6 2 3 4" xfId="30381" xr:uid="{77B698EF-2288-45AA-A2F8-E30964E0566B}"/>
    <cellStyle name="Currency 5 6 2 4" xfId="17729" xr:uid="{00000000-0005-0000-0000-000027270000}"/>
    <cellStyle name="Currency 5 6 2 4 2" xfId="34598" xr:uid="{B02494FF-B9D3-4A5C-BBD9-220B208669E2}"/>
    <cellStyle name="Currency 5 6 2 5" xfId="9294" xr:uid="{00000000-0005-0000-0000-000028270000}"/>
    <cellStyle name="Currency 5 6 2 6" xfId="26164" xr:uid="{2D7B196C-78D6-48E2-BF8A-5DA50B898ECA}"/>
    <cellStyle name="Currency 5 6 3" xfId="1181" xr:uid="{00000000-0005-0000-0000-000029270000}"/>
    <cellStyle name="Currency 5 6 3 2" xfId="3412" xr:uid="{00000000-0005-0000-0000-00002A270000}"/>
    <cellStyle name="Currency 5 6 3 2 2" xfId="7635" xr:uid="{00000000-0005-0000-0000-00002B270000}"/>
    <cellStyle name="Currency 5 6 3 2 2 2" xfId="24505" xr:uid="{00000000-0005-0000-0000-00002C270000}"/>
    <cellStyle name="Currency 5 6 3 2 2 2 2" xfId="41373" xr:uid="{B70384B7-53EA-43AA-AA7C-AA60E8E4A265}"/>
    <cellStyle name="Currency 5 6 3 2 2 3" xfId="16070" xr:uid="{00000000-0005-0000-0000-00002D270000}"/>
    <cellStyle name="Currency 5 6 3 2 2 4" xfId="32939" xr:uid="{E27E2899-1EC3-4372-AEA1-C7E64E264CB9}"/>
    <cellStyle name="Currency 5 6 3 2 3" xfId="20287" xr:uid="{00000000-0005-0000-0000-00002E270000}"/>
    <cellStyle name="Currency 5 6 3 2 3 2" xfId="37156" xr:uid="{5C94238A-4C45-4626-9F09-D69114DC1C2B}"/>
    <cellStyle name="Currency 5 6 3 2 4" xfId="11852" xr:uid="{00000000-0005-0000-0000-00002F270000}"/>
    <cellStyle name="Currency 5 6 3 2 5" xfId="28722" xr:uid="{1D17F916-000B-4A1A-8610-1E65AA828D0E}"/>
    <cellStyle name="Currency 5 6 3 3" xfId="5490" xr:uid="{00000000-0005-0000-0000-000030270000}"/>
    <cellStyle name="Currency 5 6 3 3 2" xfId="22360" xr:uid="{00000000-0005-0000-0000-000031270000}"/>
    <cellStyle name="Currency 5 6 3 3 2 2" xfId="39228" xr:uid="{BC7CB3AE-F532-4B8A-A4F0-ED182309B92A}"/>
    <cellStyle name="Currency 5 6 3 3 3" xfId="13925" xr:uid="{00000000-0005-0000-0000-000032270000}"/>
    <cellStyle name="Currency 5 6 3 3 4" xfId="30794" xr:uid="{D67A21C2-AE31-4C75-BB31-A1BA0777A497}"/>
    <cellStyle name="Currency 5 6 3 4" xfId="18142" xr:uid="{00000000-0005-0000-0000-000033270000}"/>
    <cellStyle name="Currency 5 6 3 4 2" xfId="35011" xr:uid="{0E2AF833-4F79-4096-BC29-19F7940078F4}"/>
    <cellStyle name="Currency 5 6 3 5" xfId="9707" xr:uid="{00000000-0005-0000-0000-000034270000}"/>
    <cellStyle name="Currency 5 6 3 6" xfId="26577" xr:uid="{03A5A099-AF94-4F72-B8FD-E58557EF03D2}"/>
    <cellStyle name="Currency 5 6 4" xfId="1595" xr:uid="{00000000-0005-0000-0000-000035270000}"/>
    <cellStyle name="Currency 5 6 4 2" xfId="3825" xr:uid="{00000000-0005-0000-0000-000036270000}"/>
    <cellStyle name="Currency 5 6 4 2 2" xfId="8048" xr:uid="{00000000-0005-0000-0000-000037270000}"/>
    <cellStyle name="Currency 5 6 4 2 2 2" xfId="24918" xr:uid="{00000000-0005-0000-0000-000038270000}"/>
    <cellStyle name="Currency 5 6 4 2 2 2 2" xfId="41786" xr:uid="{0C83E304-945A-4FE3-849F-EE6E46375D8E}"/>
    <cellStyle name="Currency 5 6 4 2 2 3" xfId="16483" xr:uid="{00000000-0005-0000-0000-000039270000}"/>
    <cellStyle name="Currency 5 6 4 2 2 4" xfId="33352" xr:uid="{AD983396-074E-4E1C-A941-B84D415C3C7A}"/>
    <cellStyle name="Currency 5 6 4 2 3" xfId="20700" xr:uid="{00000000-0005-0000-0000-00003A270000}"/>
    <cellStyle name="Currency 5 6 4 2 3 2" xfId="37569" xr:uid="{2D218C0F-4BDA-41B7-B8BB-95FE531CA348}"/>
    <cellStyle name="Currency 5 6 4 2 4" xfId="12265" xr:uid="{00000000-0005-0000-0000-00003B270000}"/>
    <cellStyle name="Currency 5 6 4 2 5" xfId="29135" xr:uid="{266BEA98-9CC8-4890-8B39-60E7284C4EA6}"/>
    <cellStyle name="Currency 5 6 4 3" xfId="5903" xr:uid="{00000000-0005-0000-0000-00003C270000}"/>
    <cellStyle name="Currency 5 6 4 3 2" xfId="22773" xr:uid="{00000000-0005-0000-0000-00003D270000}"/>
    <cellStyle name="Currency 5 6 4 3 2 2" xfId="39641" xr:uid="{FE71A417-E60F-45FD-8972-D29ECA4380AC}"/>
    <cellStyle name="Currency 5 6 4 3 3" xfId="14338" xr:uid="{00000000-0005-0000-0000-00003E270000}"/>
    <cellStyle name="Currency 5 6 4 3 4" xfId="31207" xr:uid="{AC83B7E4-C4DE-4BA9-943C-46459E89A030}"/>
    <cellStyle name="Currency 5 6 4 4" xfId="18555" xr:uid="{00000000-0005-0000-0000-00003F270000}"/>
    <cellStyle name="Currency 5 6 4 4 2" xfId="35424" xr:uid="{03B87524-0BBA-4E2C-930F-535BF36E3F26}"/>
    <cellStyle name="Currency 5 6 4 5" xfId="10120" xr:uid="{00000000-0005-0000-0000-000040270000}"/>
    <cellStyle name="Currency 5 6 4 6" xfId="26990" xr:uid="{2A4868C9-1A4D-4205-B3EC-758CCE6790F0}"/>
    <cellStyle name="Currency 5 6 5" xfId="2009" xr:uid="{00000000-0005-0000-0000-000041270000}"/>
    <cellStyle name="Currency 5 6 5 2" xfId="4238" xr:uid="{00000000-0005-0000-0000-000042270000}"/>
    <cellStyle name="Currency 5 6 5 2 2" xfId="8461" xr:uid="{00000000-0005-0000-0000-000043270000}"/>
    <cellStyle name="Currency 5 6 5 2 2 2" xfId="25331" xr:uid="{00000000-0005-0000-0000-000044270000}"/>
    <cellStyle name="Currency 5 6 5 2 2 2 2" xfId="42199" xr:uid="{481B0210-7C2E-4809-B8F3-7B1CC6127467}"/>
    <cellStyle name="Currency 5 6 5 2 2 3" xfId="16896" xr:uid="{00000000-0005-0000-0000-000045270000}"/>
    <cellStyle name="Currency 5 6 5 2 2 4" xfId="33765" xr:uid="{F9D476DF-25A3-434C-9D87-C89DAB77ED19}"/>
    <cellStyle name="Currency 5 6 5 2 3" xfId="21113" xr:uid="{00000000-0005-0000-0000-000046270000}"/>
    <cellStyle name="Currency 5 6 5 2 3 2" xfId="37982" xr:uid="{657FA2FE-EF4B-4D53-B145-81D00A31CD82}"/>
    <cellStyle name="Currency 5 6 5 2 4" xfId="12678" xr:uid="{00000000-0005-0000-0000-000047270000}"/>
    <cellStyle name="Currency 5 6 5 2 5" xfId="29548" xr:uid="{5E75EC31-B5D6-44AE-8471-2B14570D0390}"/>
    <cellStyle name="Currency 5 6 5 3" xfId="6316" xr:uid="{00000000-0005-0000-0000-000048270000}"/>
    <cellStyle name="Currency 5 6 5 3 2" xfId="23186" xr:uid="{00000000-0005-0000-0000-000049270000}"/>
    <cellStyle name="Currency 5 6 5 3 2 2" xfId="40054" xr:uid="{BBCEF750-9214-4E97-89DC-D35EBDB2DC56}"/>
    <cellStyle name="Currency 5 6 5 3 3" xfId="14751" xr:uid="{00000000-0005-0000-0000-00004A270000}"/>
    <cellStyle name="Currency 5 6 5 3 4" xfId="31620" xr:uid="{6077F5DC-9DD7-49DB-AD9C-FF1BFE1A8B99}"/>
    <cellStyle name="Currency 5 6 5 4" xfId="18968" xr:uid="{00000000-0005-0000-0000-00004B270000}"/>
    <cellStyle name="Currency 5 6 5 4 2" xfId="35837" xr:uid="{E6AC9904-4315-4193-A8CE-467CE043B391}"/>
    <cellStyle name="Currency 5 6 5 5" xfId="10533" xr:uid="{00000000-0005-0000-0000-00004C270000}"/>
    <cellStyle name="Currency 5 6 5 6" xfId="27403" xr:uid="{EC4E555E-E8E0-42AE-B33D-BD6C09B91913}"/>
    <cellStyle name="Currency 5 6 6" xfId="2444" xr:uid="{00000000-0005-0000-0000-00004D270000}"/>
    <cellStyle name="Currency 5 6 6 2" xfId="6729" xr:uid="{00000000-0005-0000-0000-00004E270000}"/>
    <cellStyle name="Currency 5 6 6 2 2" xfId="23599" xr:uid="{00000000-0005-0000-0000-00004F270000}"/>
    <cellStyle name="Currency 5 6 6 2 2 2" xfId="40467" xr:uid="{1C69F1BE-B450-4856-87A2-7803AED1F45C}"/>
    <cellStyle name="Currency 5 6 6 2 3" xfId="15164" xr:uid="{00000000-0005-0000-0000-000050270000}"/>
    <cellStyle name="Currency 5 6 6 2 4" xfId="32033" xr:uid="{BE9B66FE-F248-476F-9727-5893563F1112}"/>
    <cellStyle name="Currency 5 6 6 3" xfId="19381" xr:uid="{00000000-0005-0000-0000-000051270000}"/>
    <cellStyle name="Currency 5 6 6 3 2" xfId="36250" xr:uid="{49CC31D2-8134-415D-B3B2-41154F2E94B5}"/>
    <cellStyle name="Currency 5 6 6 4" xfId="10946" xr:uid="{00000000-0005-0000-0000-000052270000}"/>
    <cellStyle name="Currency 5 6 6 5" xfId="27816" xr:uid="{ECE30F90-80E0-492A-B696-C1F3D837B4B1}"/>
    <cellStyle name="Currency 5 6 7" xfId="2741" xr:uid="{00000000-0005-0000-0000-000053270000}"/>
    <cellStyle name="Currency 5 6 8" xfId="2822" xr:uid="{00000000-0005-0000-0000-000054270000}"/>
    <cellStyle name="Currency 5 6 8 2" xfId="7046" xr:uid="{00000000-0005-0000-0000-000055270000}"/>
    <cellStyle name="Currency 5 6 8 2 2" xfId="23916" xr:uid="{00000000-0005-0000-0000-000056270000}"/>
    <cellStyle name="Currency 5 6 8 2 2 2" xfId="40784" xr:uid="{381F77F7-718E-44E5-8260-321A12B433E1}"/>
    <cellStyle name="Currency 5 6 8 2 3" xfId="15481" xr:uid="{00000000-0005-0000-0000-000057270000}"/>
    <cellStyle name="Currency 5 6 8 2 4" xfId="32350" xr:uid="{01B00465-5E18-44E5-A84F-8E808901753B}"/>
    <cellStyle name="Currency 5 6 8 3" xfId="19698" xr:uid="{00000000-0005-0000-0000-000058270000}"/>
    <cellStyle name="Currency 5 6 8 3 2" xfId="36567" xr:uid="{04F54D22-95C4-43F6-A83B-C07F363B2FC6}"/>
    <cellStyle name="Currency 5 6 8 4" xfId="11263" xr:uid="{00000000-0005-0000-0000-000059270000}"/>
    <cellStyle name="Currency 5 6 8 5" xfId="28133" xr:uid="{8D92CA90-E771-483A-B5F8-9353103969E6}"/>
    <cellStyle name="Currency 5 6 9" xfId="4663" xr:uid="{00000000-0005-0000-0000-00005A270000}"/>
    <cellStyle name="Currency 5 6 9 2" xfId="21533" xr:uid="{00000000-0005-0000-0000-00005B270000}"/>
    <cellStyle name="Currency 5 6 9 2 2" xfId="38401" xr:uid="{EF007193-083B-4DB8-9E6B-56F45B1BAE2B}"/>
    <cellStyle name="Currency 5 6 9 3" xfId="13098" xr:uid="{00000000-0005-0000-0000-00005C270000}"/>
    <cellStyle name="Currency 5 6 9 4" xfId="29967" xr:uid="{E5BEBF31-9DD6-431C-835A-A6BDC143634B}"/>
    <cellStyle name="Currency 5 7" xfId="222" xr:uid="{00000000-0005-0000-0000-00005D270000}"/>
    <cellStyle name="Currency 5 7 10" xfId="17316" xr:uid="{00000000-0005-0000-0000-00005E270000}"/>
    <cellStyle name="Currency 5 7 10 2" xfId="34185" xr:uid="{D10D4648-45CA-48EA-8BFE-6EAF485C775D}"/>
    <cellStyle name="Currency 5 7 11" xfId="8881" xr:uid="{00000000-0005-0000-0000-00005F270000}"/>
    <cellStyle name="Currency 5 7 12" xfId="25751" xr:uid="{1DFA5965-F1D8-477C-97E3-7B85C4DD97F7}"/>
    <cellStyle name="Currency 5 7 2" xfId="748" xr:uid="{00000000-0005-0000-0000-000060270000}"/>
    <cellStyle name="Currency 5 7 2 2" xfId="3000" xr:uid="{00000000-0005-0000-0000-000061270000}"/>
    <cellStyle name="Currency 5 7 2 2 2" xfId="7223" xr:uid="{00000000-0005-0000-0000-000062270000}"/>
    <cellStyle name="Currency 5 7 2 2 2 2" xfId="24093" xr:uid="{00000000-0005-0000-0000-000063270000}"/>
    <cellStyle name="Currency 5 7 2 2 2 2 2" xfId="40961" xr:uid="{D9F7C6C0-6DB7-4A2D-99BC-92433240326E}"/>
    <cellStyle name="Currency 5 7 2 2 2 3" xfId="15658" xr:uid="{00000000-0005-0000-0000-000064270000}"/>
    <cellStyle name="Currency 5 7 2 2 2 4" xfId="32527" xr:uid="{F089080D-028A-4B21-AAC9-7136775AD9B1}"/>
    <cellStyle name="Currency 5 7 2 2 3" xfId="19875" xr:uid="{00000000-0005-0000-0000-000065270000}"/>
    <cellStyle name="Currency 5 7 2 2 3 2" xfId="36744" xr:uid="{ED9E3316-B694-421A-8461-8C14B93757DB}"/>
    <cellStyle name="Currency 5 7 2 2 4" xfId="11440" xr:uid="{00000000-0005-0000-0000-000066270000}"/>
    <cellStyle name="Currency 5 7 2 2 5" xfId="28310" xr:uid="{27ED2FAB-5F3D-4646-A0FA-91FD524DEA2F}"/>
    <cellStyle name="Currency 5 7 2 3" xfId="5078" xr:uid="{00000000-0005-0000-0000-000067270000}"/>
    <cellStyle name="Currency 5 7 2 3 2" xfId="21948" xr:uid="{00000000-0005-0000-0000-000068270000}"/>
    <cellStyle name="Currency 5 7 2 3 2 2" xfId="38816" xr:uid="{C0F48479-DA87-4A29-B369-6C65F20E83AB}"/>
    <cellStyle name="Currency 5 7 2 3 3" xfId="13513" xr:uid="{00000000-0005-0000-0000-000069270000}"/>
    <cellStyle name="Currency 5 7 2 3 4" xfId="30382" xr:uid="{CA92D7C0-27CD-4929-991A-0D66A1923902}"/>
    <cellStyle name="Currency 5 7 2 4" xfId="17730" xr:uid="{00000000-0005-0000-0000-00006A270000}"/>
    <cellStyle name="Currency 5 7 2 4 2" xfId="34599" xr:uid="{17EDE3C3-6E04-45B9-BD48-B57CEA3D8261}"/>
    <cellStyle name="Currency 5 7 2 5" xfId="9295" xr:uid="{00000000-0005-0000-0000-00006B270000}"/>
    <cellStyle name="Currency 5 7 2 6" xfId="26165" xr:uid="{8005F40E-BCEA-4654-AA3E-B19A453B43E5}"/>
    <cellStyle name="Currency 5 7 3" xfId="1182" xr:uid="{00000000-0005-0000-0000-00006C270000}"/>
    <cellStyle name="Currency 5 7 3 2" xfId="3413" xr:uid="{00000000-0005-0000-0000-00006D270000}"/>
    <cellStyle name="Currency 5 7 3 2 2" xfId="7636" xr:uid="{00000000-0005-0000-0000-00006E270000}"/>
    <cellStyle name="Currency 5 7 3 2 2 2" xfId="24506" xr:uid="{00000000-0005-0000-0000-00006F270000}"/>
    <cellStyle name="Currency 5 7 3 2 2 2 2" xfId="41374" xr:uid="{50AEF79A-FC43-4D77-ACD0-68BECC2D88B5}"/>
    <cellStyle name="Currency 5 7 3 2 2 3" xfId="16071" xr:uid="{00000000-0005-0000-0000-000070270000}"/>
    <cellStyle name="Currency 5 7 3 2 2 4" xfId="32940" xr:uid="{A29D4D55-84B0-4739-BF5A-B6D4A312610F}"/>
    <cellStyle name="Currency 5 7 3 2 3" xfId="20288" xr:uid="{00000000-0005-0000-0000-000071270000}"/>
    <cellStyle name="Currency 5 7 3 2 3 2" xfId="37157" xr:uid="{F19D5C0D-6915-4E4B-8BDC-5CCD7236DECD}"/>
    <cellStyle name="Currency 5 7 3 2 4" xfId="11853" xr:uid="{00000000-0005-0000-0000-000072270000}"/>
    <cellStyle name="Currency 5 7 3 2 5" xfId="28723" xr:uid="{186CDCFD-8624-4759-85CC-0E3B8232E42C}"/>
    <cellStyle name="Currency 5 7 3 3" xfId="5491" xr:uid="{00000000-0005-0000-0000-000073270000}"/>
    <cellStyle name="Currency 5 7 3 3 2" xfId="22361" xr:uid="{00000000-0005-0000-0000-000074270000}"/>
    <cellStyle name="Currency 5 7 3 3 2 2" xfId="39229" xr:uid="{AF64A2FE-2ABD-4FA5-8D7B-6CC97DEF0D25}"/>
    <cellStyle name="Currency 5 7 3 3 3" xfId="13926" xr:uid="{00000000-0005-0000-0000-000075270000}"/>
    <cellStyle name="Currency 5 7 3 3 4" xfId="30795" xr:uid="{D724E695-55F2-417B-AC74-F155445EFFF3}"/>
    <cellStyle name="Currency 5 7 3 4" xfId="18143" xr:uid="{00000000-0005-0000-0000-000076270000}"/>
    <cellStyle name="Currency 5 7 3 4 2" xfId="35012" xr:uid="{D8AC6F45-D78A-4FDE-988F-DFBCE02B56F5}"/>
    <cellStyle name="Currency 5 7 3 5" xfId="9708" xr:uid="{00000000-0005-0000-0000-000077270000}"/>
    <cellStyle name="Currency 5 7 3 6" xfId="26578" xr:uid="{03FB1BFC-4AEA-49ED-A17D-E85DCB4AB8D7}"/>
    <cellStyle name="Currency 5 7 4" xfId="1596" xr:uid="{00000000-0005-0000-0000-000078270000}"/>
    <cellStyle name="Currency 5 7 4 2" xfId="3826" xr:uid="{00000000-0005-0000-0000-000079270000}"/>
    <cellStyle name="Currency 5 7 4 2 2" xfId="8049" xr:uid="{00000000-0005-0000-0000-00007A270000}"/>
    <cellStyle name="Currency 5 7 4 2 2 2" xfId="24919" xr:uid="{00000000-0005-0000-0000-00007B270000}"/>
    <cellStyle name="Currency 5 7 4 2 2 2 2" xfId="41787" xr:uid="{CBBF60EE-741C-41EF-BA02-A7DB879DB7DD}"/>
    <cellStyle name="Currency 5 7 4 2 2 3" xfId="16484" xr:uid="{00000000-0005-0000-0000-00007C270000}"/>
    <cellStyle name="Currency 5 7 4 2 2 4" xfId="33353" xr:uid="{7A49045C-4C7C-4E34-875A-63A60E223D6B}"/>
    <cellStyle name="Currency 5 7 4 2 3" xfId="20701" xr:uid="{00000000-0005-0000-0000-00007D270000}"/>
    <cellStyle name="Currency 5 7 4 2 3 2" xfId="37570" xr:uid="{05C6D335-C70E-451F-B5E5-D6A66FC6759A}"/>
    <cellStyle name="Currency 5 7 4 2 4" xfId="12266" xr:uid="{00000000-0005-0000-0000-00007E270000}"/>
    <cellStyle name="Currency 5 7 4 2 5" xfId="29136" xr:uid="{E47428C4-3A52-42A3-9920-2393BCC0D37F}"/>
    <cellStyle name="Currency 5 7 4 3" xfId="5904" xr:uid="{00000000-0005-0000-0000-00007F270000}"/>
    <cellStyle name="Currency 5 7 4 3 2" xfId="22774" xr:uid="{00000000-0005-0000-0000-000080270000}"/>
    <cellStyle name="Currency 5 7 4 3 2 2" xfId="39642" xr:uid="{0E99DF02-5289-4125-B982-CACCEED2934F}"/>
    <cellStyle name="Currency 5 7 4 3 3" xfId="14339" xr:uid="{00000000-0005-0000-0000-000081270000}"/>
    <cellStyle name="Currency 5 7 4 3 4" xfId="31208" xr:uid="{835526BD-6F10-4B33-A079-C70AEFB579F9}"/>
    <cellStyle name="Currency 5 7 4 4" xfId="18556" xr:uid="{00000000-0005-0000-0000-000082270000}"/>
    <cellStyle name="Currency 5 7 4 4 2" xfId="35425" xr:uid="{13EE5CB1-BD1A-42A5-8AFA-FAA5581DDD3F}"/>
    <cellStyle name="Currency 5 7 4 5" xfId="10121" xr:uid="{00000000-0005-0000-0000-000083270000}"/>
    <cellStyle name="Currency 5 7 4 6" xfId="26991" xr:uid="{D0379EA7-144C-455A-A806-C372A3177BEE}"/>
    <cellStyle name="Currency 5 7 5" xfId="2010" xr:uid="{00000000-0005-0000-0000-000084270000}"/>
    <cellStyle name="Currency 5 7 5 2" xfId="4239" xr:uid="{00000000-0005-0000-0000-000085270000}"/>
    <cellStyle name="Currency 5 7 5 2 2" xfId="8462" xr:uid="{00000000-0005-0000-0000-000086270000}"/>
    <cellStyle name="Currency 5 7 5 2 2 2" xfId="25332" xr:uid="{00000000-0005-0000-0000-000087270000}"/>
    <cellStyle name="Currency 5 7 5 2 2 2 2" xfId="42200" xr:uid="{C923A70F-061B-4B3D-996B-8A132B8E0933}"/>
    <cellStyle name="Currency 5 7 5 2 2 3" xfId="16897" xr:uid="{00000000-0005-0000-0000-000088270000}"/>
    <cellStyle name="Currency 5 7 5 2 2 4" xfId="33766" xr:uid="{E37DBF11-A965-45C3-A2B3-8D42FAFE8300}"/>
    <cellStyle name="Currency 5 7 5 2 3" xfId="21114" xr:uid="{00000000-0005-0000-0000-000089270000}"/>
    <cellStyle name="Currency 5 7 5 2 3 2" xfId="37983" xr:uid="{30864455-36B8-4BDD-ADDC-5587C38AF26C}"/>
    <cellStyle name="Currency 5 7 5 2 4" xfId="12679" xr:uid="{00000000-0005-0000-0000-00008A270000}"/>
    <cellStyle name="Currency 5 7 5 2 5" xfId="29549" xr:uid="{8037B80A-929F-43F7-9664-10E4592DB22D}"/>
    <cellStyle name="Currency 5 7 5 3" xfId="6317" xr:uid="{00000000-0005-0000-0000-00008B270000}"/>
    <cellStyle name="Currency 5 7 5 3 2" xfId="23187" xr:uid="{00000000-0005-0000-0000-00008C270000}"/>
    <cellStyle name="Currency 5 7 5 3 2 2" xfId="40055" xr:uid="{8CD43973-EC8F-48C7-A2E3-5A123B64BE34}"/>
    <cellStyle name="Currency 5 7 5 3 3" xfId="14752" xr:uid="{00000000-0005-0000-0000-00008D270000}"/>
    <cellStyle name="Currency 5 7 5 3 4" xfId="31621" xr:uid="{458058C4-7DAB-4F46-83F7-FD322B8394AB}"/>
    <cellStyle name="Currency 5 7 5 4" xfId="18969" xr:uid="{00000000-0005-0000-0000-00008E270000}"/>
    <cellStyle name="Currency 5 7 5 4 2" xfId="35838" xr:uid="{4CC9B673-DEEA-4F8E-8175-04312173AEEB}"/>
    <cellStyle name="Currency 5 7 5 5" xfId="10534" xr:uid="{00000000-0005-0000-0000-00008F270000}"/>
    <cellStyle name="Currency 5 7 5 6" xfId="27404" xr:uid="{3B1C5324-A9B1-4C15-A7C4-9089B76718FF}"/>
    <cellStyle name="Currency 5 7 6" xfId="2445" xr:uid="{00000000-0005-0000-0000-000090270000}"/>
    <cellStyle name="Currency 5 7 6 2" xfId="6730" xr:uid="{00000000-0005-0000-0000-000091270000}"/>
    <cellStyle name="Currency 5 7 6 2 2" xfId="23600" xr:uid="{00000000-0005-0000-0000-000092270000}"/>
    <cellStyle name="Currency 5 7 6 2 2 2" xfId="40468" xr:uid="{832283B6-059A-4368-B368-2B936A3A6501}"/>
    <cellStyle name="Currency 5 7 6 2 3" xfId="15165" xr:uid="{00000000-0005-0000-0000-000093270000}"/>
    <cellStyle name="Currency 5 7 6 2 4" xfId="32034" xr:uid="{553DD6D1-9F9B-49C6-A40B-E0C29D48DB28}"/>
    <cellStyle name="Currency 5 7 6 3" xfId="19382" xr:uid="{00000000-0005-0000-0000-000094270000}"/>
    <cellStyle name="Currency 5 7 6 3 2" xfId="36251" xr:uid="{A2DA9E45-9F0D-4245-94C1-DD4C13256F9C}"/>
    <cellStyle name="Currency 5 7 6 4" xfId="10947" xr:uid="{00000000-0005-0000-0000-000095270000}"/>
    <cellStyle name="Currency 5 7 6 5" xfId="27817" xr:uid="{82B5A007-FCB6-42AD-B645-9A0A4433F5A7}"/>
    <cellStyle name="Currency 5 7 7" xfId="2742" xr:uid="{00000000-0005-0000-0000-000096270000}"/>
    <cellStyle name="Currency 5 7 8" xfId="2823" xr:uid="{00000000-0005-0000-0000-000097270000}"/>
    <cellStyle name="Currency 5 7 8 2" xfId="7047" xr:uid="{00000000-0005-0000-0000-000098270000}"/>
    <cellStyle name="Currency 5 7 8 2 2" xfId="23917" xr:uid="{00000000-0005-0000-0000-000099270000}"/>
    <cellStyle name="Currency 5 7 8 2 2 2" xfId="40785" xr:uid="{3A54AC3F-2A61-4041-BD8D-D0F8AF41A408}"/>
    <cellStyle name="Currency 5 7 8 2 3" xfId="15482" xr:uid="{00000000-0005-0000-0000-00009A270000}"/>
    <cellStyle name="Currency 5 7 8 2 4" xfId="32351" xr:uid="{515EF29C-A70F-4340-B543-1AB4EE649D12}"/>
    <cellStyle name="Currency 5 7 8 3" xfId="19699" xr:uid="{00000000-0005-0000-0000-00009B270000}"/>
    <cellStyle name="Currency 5 7 8 3 2" xfId="36568" xr:uid="{DB57630E-2AF1-4337-A3AC-158924124AB8}"/>
    <cellStyle name="Currency 5 7 8 4" xfId="11264" xr:uid="{00000000-0005-0000-0000-00009C270000}"/>
    <cellStyle name="Currency 5 7 8 5" xfId="28134" xr:uid="{B309C704-5CC7-4FCA-B74A-67F7CBDDADAD}"/>
    <cellStyle name="Currency 5 7 9" xfId="4664" xr:uid="{00000000-0005-0000-0000-00009D270000}"/>
    <cellStyle name="Currency 5 7 9 2" xfId="21534" xr:uid="{00000000-0005-0000-0000-00009E270000}"/>
    <cellStyle name="Currency 5 7 9 2 2" xfId="38402" xr:uid="{08F3EBB5-DD5C-4BDF-890B-0C65A4F0D8F5}"/>
    <cellStyle name="Currency 5 7 9 3" xfId="13099" xr:uid="{00000000-0005-0000-0000-00009F270000}"/>
    <cellStyle name="Currency 5 7 9 4" xfId="29968" xr:uid="{10BEF3F3-8EC5-432A-9EE2-53FB22748E77}"/>
    <cellStyle name="Currency 5 8" xfId="721" xr:uid="{00000000-0005-0000-0000-0000A0270000}"/>
    <cellStyle name="Currency 6" xfId="223" xr:uid="{00000000-0005-0000-0000-0000A1270000}"/>
    <cellStyle name="Currency 6 2" xfId="224" xr:uid="{00000000-0005-0000-0000-0000A2270000}"/>
    <cellStyle name="Currency 6 3" xfId="225" xr:uid="{00000000-0005-0000-0000-0000A3270000}"/>
    <cellStyle name="Currency 6 3 2" xfId="750" xr:uid="{00000000-0005-0000-0000-0000A4270000}"/>
    <cellStyle name="Currency 6 4" xfId="749" xr:uid="{00000000-0005-0000-0000-0000A5270000}"/>
    <cellStyle name="Currency 7" xfId="226" xr:uid="{00000000-0005-0000-0000-0000A6270000}"/>
    <cellStyle name="Currency 7 2" xfId="227" xr:uid="{00000000-0005-0000-0000-0000A7270000}"/>
    <cellStyle name="Currency 7 2 2" xfId="752" xr:uid="{00000000-0005-0000-0000-0000A8270000}"/>
    <cellStyle name="Currency 7 3" xfId="228" xr:uid="{00000000-0005-0000-0000-0000A9270000}"/>
    <cellStyle name="Currency 7 3 2" xfId="753" xr:uid="{00000000-0005-0000-0000-0000AA270000}"/>
    <cellStyle name="Currency 7 4" xfId="229" xr:uid="{00000000-0005-0000-0000-0000AB270000}"/>
    <cellStyle name="Currency 7 4 2" xfId="754" xr:uid="{00000000-0005-0000-0000-0000AC270000}"/>
    <cellStyle name="Currency 7 5" xfId="751" xr:uid="{00000000-0005-0000-0000-0000AD270000}"/>
    <cellStyle name="Currency 8" xfId="230" xr:uid="{00000000-0005-0000-0000-0000AE270000}"/>
    <cellStyle name="Currency 8 2" xfId="231" xr:uid="{00000000-0005-0000-0000-0000AF270000}"/>
    <cellStyle name="Currency 8 2 2" xfId="756" xr:uid="{00000000-0005-0000-0000-0000B0270000}"/>
    <cellStyle name="Currency 8 3" xfId="755" xr:uid="{00000000-0005-0000-0000-0000B1270000}"/>
    <cellStyle name="Currency 9" xfId="232" xr:uid="{00000000-0005-0000-0000-0000B2270000}"/>
    <cellStyle name="Currency 9 2" xfId="233" xr:uid="{00000000-0005-0000-0000-0000B3270000}"/>
    <cellStyle name="Currency 9 2 2" xfId="758" xr:uid="{00000000-0005-0000-0000-0000B4270000}"/>
    <cellStyle name="Currency 9 3" xfId="757" xr:uid="{00000000-0005-0000-0000-0000B5270000}"/>
    <cellStyle name="Explanatory Text" xfId="234" builtinId="53" customBuiltin="1"/>
    <cellStyle name="Good" xfId="235" builtinId="26" customBuiltin="1"/>
    <cellStyle name="Heading 1" xfId="236" builtinId="16" customBuiltin="1"/>
    <cellStyle name="Heading 1 2" xfId="237" xr:uid="{00000000-0005-0000-0000-0000B9270000}"/>
    <cellStyle name="Heading 2" xfId="238" builtinId="17" customBuiltin="1"/>
    <cellStyle name="Heading 2 2" xfId="239" xr:uid="{00000000-0005-0000-0000-0000BB270000}"/>
    <cellStyle name="Heading 3" xfId="240" builtinId="18" customBuiltin="1"/>
    <cellStyle name="Heading 3 2" xfId="241" xr:uid="{00000000-0005-0000-0000-0000BD270000}"/>
    <cellStyle name="Heading 4" xfId="242" builtinId="19" customBuiltin="1"/>
    <cellStyle name="Heading 4 2" xfId="243" xr:uid="{00000000-0005-0000-0000-0000BF270000}"/>
    <cellStyle name="Hyperlink" xfId="244" builtinId="8"/>
    <cellStyle name="Hyperlink 2" xfId="245" xr:uid="{00000000-0005-0000-0000-0000C1270000}"/>
    <cellStyle name="Hyperlink 2 2" xfId="246" xr:uid="{00000000-0005-0000-0000-0000C2270000}"/>
    <cellStyle name="Input" xfId="247" builtinId="20" customBuiltin="1"/>
    <cellStyle name="Label" xfId="248" xr:uid="{00000000-0005-0000-0000-0000C4270000}"/>
    <cellStyle name="Label No Shade" xfId="249" xr:uid="{00000000-0005-0000-0000-0000C5270000}"/>
    <cellStyle name="Label Shaded" xfId="250" xr:uid="{00000000-0005-0000-0000-0000C6270000}"/>
    <cellStyle name="Linked Cell" xfId="251" builtinId="24" customBuiltin="1"/>
    <cellStyle name="Neutral" xfId="252" builtinId="28" customBuiltin="1"/>
    <cellStyle name="Normal" xfId="0" builtinId="0"/>
    <cellStyle name="Normal 10" xfId="253" xr:uid="{00000000-0005-0000-0000-0000CA270000}"/>
    <cellStyle name="Normal 10 2" xfId="254" xr:uid="{00000000-0005-0000-0000-0000CB270000}"/>
    <cellStyle name="Normal 10 3" xfId="255" xr:uid="{00000000-0005-0000-0000-0000CC270000}"/>
    <cellStyle name="Normal 11" xfId="256" xr:uid="{00000000-0005-0000-0000-0000CD270000}"/>
    <cellStyle name="Normal 11 2" xfId="257" xr:uid="{00000000-0005-0000-0000-0000CE270000}"/>
    <cellStyle name="Normal 11 2 3" xfId="569" xr:uid="{00000000-0005-0000-0000-0000CF270000}"/>
    <cellStyle name="Normal 11 3" xfId="258" xr:uid="{00000000-0005-0000-0000-0000D0270000}"/>
    <cellStyle name="Normal 11 3 2" xfId="759" xr:uid="{00000000-0005-0000-0000-0000D1270000}"/>
    <cellStyle name="Normal 12" xfId="259" xr:uid="{00000000-0005-0000-0000-0000D2270000}"/>
    <cellStyle name="Normal 12 10" xfId="2447" xr:uid="{00000000-0005-0000-0000-0000D3270000}"/>
    <cellStyle name="Normal 12 10 2" xfId="6731" xr:uid="{00000000-0005-0000-0000-0000D4270000}"/>
    <cellStyle name="Normal 12 10 2 2" xfId="23601" xr:uid="{00000000-0005-0000-0000-0000D5270000}"/>
    <cellStyle name="Normal 12 10 2 2 2" xfId="40469" xr:uid="{4415B44B-2872-46DF-B4C9-5227C19F1211}"/>
    <cellStyle name="Normal 12 10 2 3" xfId="15166" xr:uid="{00000000-0005-0000-0000-0000D6270000}"/>
    <cellStyle name="Normal 12 10 2 4" xfId="32035" xr:uid="{C0CD9143-194F-4BE2-B0ED-00A501859F60}"/>
    <cellStyle name="Normal 12 10 3" xfId="19383" xr:uid="{00000000-0005-0000-0000-0000D7270000}"/>
    <cellStyle name="Normal 12 10 3 2" xfId="36252" xr:uid="{743AFD19-13F5-41D1-BC40-29DC0B673B92}"/>
    <cellStyle name="Normal 12 10 4" xfId="10948" xr:uid="{00000000-0005-0000-0000-0000D8270000}"/>
    <cellStyle name="Normal 12 10 5" xfId="27818" xr:uid="{39212211-9E2A-43DB-ACBF-BEFCE389062B}"/>
    <cellStyle name="Normal 12 11" xfId="4665" xr:uid="{00000000-0005-0000-0000-0000D9270000}"/>
    <cellStyle name="Normal 12 11 2" xfId="21535" xr:uid="{00000000-0005-0000-0000-0000DA270000}"/>
    <cellStyle name="Normal 12 11 2 2" xfId="38403" xr:uid="{177E0700-3A0D-4970-8AD4-D405E62A2C18}"/>
    <cellStyle name="Normal 12 11 3" xfId="13100" xr:uid="{00000000-0005-0000-0000-0000DB270000}"/>
    <cellStyle name="Normal 12 11 4" xfId="29969" xr:uid="{2F814EDF-B12C-4A4A-907A-2CD7E4D9F4F8}"/>
    <cellStyle name="Normal 12 12" xfId="17317" xr:uid="{00000000-0005-0000-0000-0000DC270000}"/>
    <cellStyle name="Normal 12 12 2" xfId="34186" xr:uid="{71F20CE3-8858-4B64-9F76-0C4CCD7D2299}"/>
    <cellStyle name="Normal 12 13" xfId="8882" xr:uid="{00000000-0005-0000-0000-0000DD270000}"/>
    <cellStyle name="Normal 12 14" xfId="25752" xr:uid="{43DA292D-CFCC-4224-B9E7-407D3B1311FB}"/>
    <cellStyle name="Normal 12 2" xfId="260" xr:uid="{00000000-0005-0000-0000-0000DE270000}"/>
    <cellStyle name="Normal 12 2 10" xfId="17318" xr:uid="{00000000-0005-0000-0000-0000DF270000}"/>
    <cellStyle name="Normal 12 2 10 2" xfId="34187" xr:uid="{143BAD45-3667-4074-B3E6-5B078A9EF3E8}"/>
    <cellStyle name="Normal 12 2 11" xfId="8883" xr:uid="{00000000-0005-0000-0000-0000E0270000}"/>
    <cellStyle name="Normal 12 2 12" xfId="25753" xr:uid="{A29A997F-8060-4276-B25C-6F8F51F6579F}"/>
    <cellStyle name="Normal 12 2 2" xfId="261" xr:uid="{00000000-0005-0000-0000-0000E1270000}"/>
    <cellStyle name="Normal 12 2 2 10" xfId="8884" xr:uid="{00000000-0005-0000-0000-0000E2270000}"/>
    <cellStyle name="Normal 12 2 2 11" xfId="25754" xr:uid="{766F24FF-0BBD-4861-B2FC-5E561C79F725}"/>
    <cellStyle name="Normal 12 2 2 2" xfId="262" xr:uid="{00000000-0005-0000-0000-0000E3270000}"/>
    <cellStyle name="Normal 12 2 2 2 10" xfId="25755" xr:uid="{6B897F92-25A8-4B48-A5DC-1E41D9AE73B2}"/>
    <cellStyle name="Normal 12 2 2 2 2" xfId="763" xr:uid="{00000000-0005-0000-0000-0000E4270000}"/>
    <cellStyle name="Normal 12 2 2 2 2 2" xfId="3004" xr:uid="{00000000-0005-0000-0000-0000E5270000}"/>
    <cellStyle name="Normal 12 2 2 2 2 2 2" xfId="7227" xr:uid="{00000000-0005-0000-0000-0000E6270000}"/>
    <cellStyle name="Normal 12 2 2 2 2 2 2 2" xfId="24097" xr:uid="{00000000-0005-0000-0000-0000E7270000}"/>
    <cellStyle name="Normal 12 2 2 2 2 2 2 2 2" xfId="40965" xr:uid="{0CAC487F-D219-45B4-8606-73634362D4B1}"/>
    <cellStyle name="Normal 12 2 2 2 2 2 2 3" xfId="15662" xr:uid="{00000000-0005-0000-0000-0000E8270000}"/>
    <cellStyle name="Normal 12 2 2 2 2 2 2 4" xfId="32531" xr:uid="{9D0F8F19-DB16-449D-9E83-E7DBC1DBF77B}"/>
    <cellStyle name="Normal 12 2 2 2 2 2 3" xfId="19879" xr:uid="{00000000-0005-0000-0000-0000E9270000}"/>
    <cellStyle name="Normal 12 2 2 2 2 2 3 2" xfId="36748" xr:uid="{FFB8A709-328B-4C57-B985-95087488AD6A}"/>
    <cellStyle name="Normal 12 2 2 2 2 2 4" xfId="11444" xr:uid="{00000000-0005-0000-0000-0000EA270000}"/>
    <cellStyle name="Normal 12 2 2 2 2 2 5" xfId="28314" xr:uid="{A78D798B-23BE-47D8-8D34-F26773EE3DAA}"/>
    <cellStyle name="Normal 12 2 2 2 2 3" xfId="5082" xr:uid="{00000000-0005-0000-0000-0000EB270000}"/>
    <cellStyle name="Normal 12 2 2 2 2 3 2" xfId="21952" xr:uid="{00000000-0005-0000-0000-0000EC270000}"/>
    <cellStyle name="Normal 12 2 2 2 2 3 2 2" xfId="38820" xr:uid="{FFE01315-7FF8-4904-9541-A81C38A30DC5}"/>
    <cellStyle name="Normal 12 2 2 2 2 3 3" xfId="13517" xr:uid="{00000000-0005-0000-0000-0000ED270000}"/>
    <cellStyle name="Normal 12 2 2 2 2 3 4" xfId="30386" xr:uid="{5E96F474-B5BD-4A22-B791-C79EEC027039}"/>
    <cellStyle name="Normal 12 2 2 2 2 4" xfId="17734" xr:uid="{00000000-0005-0000-0000-0000EE270000}"/>
    <cellStyle name="Normal 12 2 2 2 2 4 2" xfId="34603" xr:uid="{630C9022-241B-450D-A233-2237A0539A15}"/>
    <cellStyle name="Normal 12 2 2 2 2 5" xfId="9299" xr:uid="{00000000-0005-0000-0000-0000EF270000}"/>
    <cellStyle name="Normal 12 2 2 2 2 6" xfId="26169" xr:uid="{0FAA535C-6ECA-4A1F-B1BF-C086C01CE92E}"/>
    <cellStyle name="Normal 12 2 2 2 3" xfId="1186" xr:uid="{00000000-0005-0000-0000-0000F0270000}"/>
    <cellStyle name="Normal 12 2 2 2 3 2" xfId="3417" xr:uid="{00000000-0005-0000-0000-0000F1270000}"/>
    <cellStyle name="Normal 12 2 2 2 3 2 2" xfId="7640" xr:uid="{00000000-0005-0000-0000-0000F2270000}"/>
    <cellStyle name="Normal 12 2 2 2 3 2 2 2" xfId="24510" xr:uid="{00000000-0005-0000-0000-0000F3270000}"/>
    <cellStyle name="Normal 12 2 2 2 3 2 2 2 2" xfId="41378" xr:uid="{0D59C8FC-C71D-4CC1-B439-4A3D48753744}"/>
    <cellStyle name="Normal 12 2 2 2 3 2 2 3" xfId="16075" xr:uid="{00000000-0005-0000-0000-0000F4270000}"/>
    <cellStyle name="Normal 12 2 2 2 3 2 2 4" xfId="32944" xr:uid="{BD5D7816-72A5-48D9-B325-5BC6C0124EFE}"/>
    <cellStyle name="Normal 12 2 2 2 3 2 3" xfId="20292" xr:uid="{00000000-0005-0000-0000-0000F5270000}"/>
    <cellStyle name="Normal 12 2 2 2 3 2 3 2" xfId="37161" xr:uid="{59F75176-6E35-4C78-B10D-2AE334094A39}"/>
    <cellStyle name="Normal 12 2 2 2 3 2 4" xfId="11857" xr:uid="{00000000-0005-0000-0000-0000F6270000}"/>
    <cellStyle name="Normal 12 2 2 2 3 2 5" xfId="28727" xr:uid="{2D539399-6F4E-4191-8394-F4A5F22C2930}"/>
    <cellStyle name="Normal 12 2 2 2 3 3" xfId="5495" xr:uid="{00000000-0005-0000-0000-0000F7270000}"/>
    <cellStyle name="Normal 12 2 2 2 3 3 2" xfId="22365" xr:uid="{00000000-0005-0000-0000-0000F8270000}"/>
    <cellStyle name="Normal 12 2 2 2 3 3 2 2" xfId="39233" xr:uid="{FA763CEA-A920-4C03-885C-E07E01D7F907}"/>
    <cellStyle name="Normal 12 2 2 2 3 3 3" xfId="13930" xr:uid="{00000000-0005-0000-0000-0000F9270000}"/>
    <cellStyle name="Normal 12 2 2 2 3 3 4" xfId="30799" xr:uid="{9483D90D-E9D5-470B-B3F9-8215FE8A187A}"/>
    <cellStyle name="Normal 12 2 2 2 3 4" xfId="18147" xr:uid="{00000000-0005-0000-0000-0000FA270000}"/>
    <cellStyle name="Normal 12 2 2 2 3 4 2" xfId="35016" xr:uid="{7707BD1D-34B6-423B-9935-DDC60012D8FF}"/>
    <cellStyle name="Normal 12 2 2 2 3 5" xfId="9712" xr:uid="{00000000-0005-0000-0000-0000FB270000}"/>
    <cellStyle name="Normal 12 2 2 2 3 6" xfId="26582" xr:uid="{4642D20B-2181-4186-A415-4F4189F5869D}"/>
    <cellStyle name="Normal 12 2 2 2 4" xfId="1600" xr:uid="{00000000-0005-0000-0000-0000FC270000}"/>
    <cellStyle name="Normal 12 2 2 2 4 2" xfId="3830" xr:uid="{00000000-0005-0000-0000-0000FD270000}"/>
    <cellStyle name="Normal 12 2 2 2 4 2 2" xfId="8053" xr:uid="{00000000-0005-0000-0000-0000FE270000}"/>
    <cellStyle name="Normal 12 2 2 2 4 2 2 2" xfId="24923" xr:uid="{00000000-0005-0000-0000-0000FF270000}"/>
    <cellStyle name="Normal 12 2 2 2 4 2 2 2 2" xfId="41791" xr:uid="{F4144B6B-C3F2-46D1-A7EE-112B14472C83}"/>
    <cellStyle name="Normal 12 2 2 2 4 2 2 3" xfId="16488" xr:uid="{00000000-0005-0000-0000-000000280000}"/>
    <cellStyle name="Normal 12 2 2 2 4 2 2 4" xfId="33357" xr:uid="{12CAAC7A-192B-4CD2-BAC9-A3CFB9EE7A41}"/>
    <cellStyle name="Normal 12 2 2 2 4 2 3" xfId="20705" xr:uid="{00000000-0005-0000-0000-000001280000}"/>
    <cellStyle name="Normal 12 2 2 2 4 2 3 2" xfId="37574" xr:uid="{3DF9D812-3140-4D1C-B90D-F051F79AB97D}"/>
    <cellStyle name="Normal 12 2 2 2 4 2 4" xfId="12270" xr:uid="{00000000-0005-0000-0000-000002280000}"/>
    <cellStyle name="Normal 12 2 2 2 4 2 5" xfId="29140" xr:uid="{DD1A49BB-FF7D-45B2-A23F-C0CBD96CB4A7}"/>
    <cellStyle name="Normal 12 2 2 2 4 3" xfId="5908" xr:uid="{00000000-0005-0000-0000-000003280000}"/>
    <cellStyle name="Normal 12 2 2 2 4 3 2" xfId="22778" xr:uid="{00000000-0005-0000-0000-000004280000}"/>
    <cellStyle name="Normal 12 2 2 2 4 3 2 2" xfId="39646" xr:uid="{EA815EDE-7794-4281-84B6-00CCFCACF56A}"/>
    <cellStyle name="Normal 12 2 2 2 4 3 3" xfId="14343" xr:uid="{00000000-0005-0000-0000-000005280000}"/>
    <cellStyle name="Normal 12 2 2 2 4 3 4" xfId="31212" xr:uid="{F0FF92BD-6378-42F3-B8F5-7C1ADD923607}"/>
    <cellStyle name="Normal 12 2 2 2 4 4" xfId="18560" xr:uid="{00000000-0005-0000-0000-000006280000}"/>
    <cellStyle name="Normal 12 2 2 2 4 4 2" xfId="35429" xr:uid="{C1734397-FC47-4E9A-81F2-B1C3D13B1EA7}"/>
    <cellStyle name="Normal 12 2 2 2 4 5" xfId="10125" xr:uid="{00000000-0005-0000-0000-000007280000}"/>
    <cellStyle name="Normal 12 2 2 2 4 6" xfId="26995" xr:uid="{E2A247A3-2E27-412B-8042-994D62FBCC55}"/>
    <cellStyle name="Normal 12 2 2 2 5" xfId="2014" xr:uid="{00000000-0005-0000-0000-000008280000}"/>
    <cellStyle name="Normal 12 2 2 2 5 2" xfId="4243" xr:uid="{00000000-0005-0000-0000-000009280000}"/>
    <cellStyle name="Normal 12 2 2 2 5 2 2" xfId="8466" xr:uid="{00000000-0005-0000-0000-00000A280000}"/>
    <cellStyle name="Normal 12 2 2 2 5 2 2 2" xfId="25336" xr:uid="{00000000-0005-0000-0000-00000B280000}"/>
    <cellStyle name="Normal 12 2 2 2 5 2 2 2 2" xfId="42204" xr:uid="{25845AA3-AEEB-4569-A57F-89CAE0351FA8}"/>
    <cellStyle name="Normal 12 2 2 2 5 2 2 3" xfId="16901" xr:uid="{00000000-0005-0000-0000-00000C280000}"/>
    <cellStyle name="Normal 12 2 2 2 5 2 2 4" xfId="33770" xr:uid="{179E6BF6-D056-4846-B27F-6873CE60E712}"/>
    <cellStyle name="Normal 12 2 2 2 5 2 3" xfId="21118" xr:uid="{00000000-0005-0000-0000-00000D280000}"/>
    <cellStyle name="Normal 12 2 2 2 5 2 3 2" xfId="37987" xr:uid="{48D122DC-45CC-4352-91E3-17B236A7CA87}"/>
    <cellStyle name="Normal 12 2 2 2 5 2 4" xfId="12683" xr:uid="{00000000-0005-0000-0000-00000E280000}"/>
    <cellStyle name="Normal 12 2 2 2 5 2 5" xfId="29553" xr:uid="{02377FA5-B965-47EB-B5A4-E6CE31821232}"/>
    <cellStyle name="Normal 12 2 2 2 5 3" xfId="6321" xr:uid="{00000000-0005-0000-0000-00000F280000}"/>
    <cellStyle name="Normal 12 2 2 2 5 3 2" xfId="23191" xr:uid="{00000000-0005-0000-0000-000010280000}"/>
    <cellStyle name="Normal 12 2 2 2 5 3 2 2" xfId="40059" xr:uid="{508B183F-750B-44EA-87E7-2988495E798D}"/>
    <cellStyle name="Normal 12 2 2 2 5 3 3" xfId="14756" xr:uid="{00000000-0005-0000-0000-000011280000}"/>
    <cellStyle name="Normal 12 2 2 2 5 3 4" xfId="31625" xr:uid="{A2A971AA-C6C1-4134-A375-0D46C64FBAE9}"/>
    <cellStyle name="Normal 12 2 2 2 5 4" xfId="18973" xr:uid="{00000000-0005-0000-0000-000012280000}"/>
    <cellStyle name="Normal 12 2 2 2 5 4 2" xfId="35842" xr:uid="{9CC6819C-4201-4B9F-B63C-A53E3A94415D}"/>
    <cellStyle name="Normal 12 2 2 2 5 5" xfId="10538" xr:uid="{00000000-0005-0000-0000-000013280000}"/>
    <cellStyle name="Normal 12 2 2 2 5 6" xfId="27408" xr:uid="{C3D3A8AA-5E2C-4C27-B039-535CBBB8E657}"/>
    <cellStyle name="Normal 12 2 2 2 6" xfId="2450" xr:uid="{00000000-0005-0000-0000-000014280000}"/>
    <cellStyle name="Normal 12 2 2 2 6 2" xfId="6734" xr:uid="{00000000-0005-0000-0000-000015280000}"/>
    <cellStyle name="Normal 12 2 2 2 6 2 2" xfId="23604" xr:uid="{00000000-0005-0000-0000-000016280000}"/>
    <cellStyle name="Normal 12 2 2 2 6 2 2 2" xfId="40472" xr:uid="{3475321B-6955-42F5-A65B-46E6796D45BD}"/>
    <cellStyle name="Normal 12 2 2 2 6 2 3" xfId="15169" xr:uid="{00000000-0005-0000-0000-000017280000}"/>
    <cellStyle name="Normal 12 2 2 2 6 2 4" xfId="32038" xr:uid="{D475A112-D20A-4B09-903D-39B4837AB9CE}"/>
    <cellStyle name="Normal 12 2 2 2 6 3" xfId="19386" xr:uid="{00000000-0005-0000-0000-000018280000}"/>
    <cellStyle name="Normal 12 2 2 2 6 3 2" xfId="36255" xr:uid="{C5916FA8-7DAB-4AA7-93CC-54CBCBE3393D}"/>
    <cellStyle name="Normal 12 2 2 2 6 4" xfId="10951" xr:uid="{00000000-0005-0000-0000-000019280000}"/>
    <cellStyle name="Normal 12 2 2 2 6 5" xfId="27821" xr:uid="{6560CED7-D014-4429-9CAF-E560C3FAC4DD}"/>
    <cellStyle name="Normal 12 2 2 2 7" xfId="4668" xr:uid="{00000000-0005-0000-0000-00001A280000}"/>
    <cellStyle name="Normal 12 2 2 2 7 2" xfId="21538" xr:uid="{00000000-0005-0000-0000-00001B280000}"/>
    <cellStyle name="Normal 12 2 2 2 7 2 2" xfId="38406" xr:uid="{825A8584-5C76-4140-9298-53072D71ED9A}"/>
    <cellStyle name="Normal 12 2 2 2 7 3" xfId="13103" xr:uid="{00000000-0005-0000-0000-00001C280000}"/>
    <cellStyle name="Normal 12 2 2 2 7 4" xfId="29972" xr:uid="{F79E2FC7-CF16-4377-ABEA-DF5856F487AD}"/>
    <cellStyle name="Normal 12 2 2 2 8" xfId="17320" xr:uid="{00000000-0005-0000-0000-00001D280000}"/>
    <cellStyle name="Normal 12 2 2 2 8 2" xfId="34189" xr:uid="{38013978-A247-4EDC-A656-5CC3BE5D4743}"/>
    <cellStyle name="Normal 12 2 2 2 9" xfId="8885" xr:uid="{00000000-0005-0000-0000-00001E280000}"/>
    <cellStyle name="Normal 12 2 2 3" xfId="762" xr:uid="{00000000-0005-0000-0000-00001F280000}"/>
    <cellStyle name="Normal 12 2 2 3 2" xfId="3003" xr:uid="{00000000-0005-0000-0000-000020280000}"/>
    <cellStyle name="Normal 12 2 2 3 2 2" xfId="7226" xr:uid="{00000000-0005-0000-0000-000021280000}"/>
    <cellStyle name="Normal 12 2 2 3 2 2 2" xfId="24096" xr:uid="{00000000-0005-0000-0000-000022280000}"/>
    <cellStyle name="Normal 12 2 2 3 2 2 2 2" xfId="40964" xr:uid="{8A65E751-DFAF-4930-B58B-1820DFE8704A}"/>
    <cellStyle name="Normal 12 2 2 3 2 2 3" xfId="15661" xr:uid="{00000000-0005-0000-0000-000023280000}"/>
    <cellStyle name="Normal 12 2 2 3 2 2 4" xfId="32530" xr:uid="{A1EF9A86-C709-4B10-8F2D-4BCCAEB5B912}"/>
    <cellStyle name="Normal 12 2 2 3 2 3" xfId="19878" xr:uid="{00000000-0005-0000-0000-000024280000}"/>
    <cellStyle name="Normal 12 2 2 3 2 3 2" xfId="36747" xr:uid="{A3DE61F5-84BF-4DC5-9B2B-F0E504C9408E}"/>
    <cellStyle name="Normal 12 2 2 3 2 4" xfId="11443" xr:uid="{00000000-0005-0000-0000-000025280000}"/>
    <cellStyle name="Normal 12 2 2 3 2 5" xfId="28313" xr:uid="{CB0CB474-983A-4F55-86B7-CBBA1EFDE9D5}"/>
    <cellStyle name="Normal 12 2 2 3 3" xfId="5081" xr:uid="{00000000-0005-0000-0000-000026280000}"/>
    <cellStyle name="Normal 12 2 2 3 3 2" xfId="21951" xr:uid="{00000000-0005-0000-0000-000027280000}"/>
    <cellStyle name="Normal 12 2 2 3 3 2 2" xfId="38819" xr:uid="{EE584DA7-46E4-4FDD-B5C7-1D1E56E51842}"/>
    <cellStyle name="Normal 12 2 2 3 3 3" xfId="13516" xr:uid="{00000000-0005-0000-0000-000028280000}"/>
    <cellStyle name="Normal 12 2 2 3 3 4" xfId="30385" xr:uid="{5ECCCC45-10D2-4DA7-A09B-59553F418576}"/>
    <cellStyle name="Normal 12 2 2 3 4" xfId="17733" xr:uid="{00000000-0005-0000-0000-000029280000}"/>
    <cellStyle name="Normal 12 2 2 3 4 2" xfId="34602" xr:uid="{E692E965-BAF2-43F8-AE22-499ED077EC1F}"/>
    <cellStyle name="Normal 12 2 2 3 5" xfId="9298" xr:uid="{00000000-0005-0000-0000-00002A280000}"/>
    <cellStyle name="Normal 12 2 2 3 6" xfId="26168" xr:uid="{8B742CF0-E8B7-4D58-874B-2DA690113E8D}"/>
    <cellStyle name="Normal 12 2 2 4" xfId="1185" xr:uid="{00000000-0005-0000-0000-00002B280000}"/>
    <cellStyle name="Normal 12 2 2 4 2" xfId="3416" xr:uid="{00000000-0005-0000-0000-00002C280000}"/>
    <cellStyle name="Normal 12 2 2 4 2 2" xfId="7639" xr:uid="{00000000-0005-0000-0000-00002D280000}"/>
    <cellStyle name="Normal 12 2 2 4 2 2 2" xfId="24509" xr:uid="{00000000-0005-0000-0000-00002E280000}"/>
    <cellStyle name="Normal 12 2 2 4 2 2 2 2" xfId="41377" xr:uid="{4D97ED4F-EE4A-4B90-B1B5-1F269D48B8F0}"/>
    <cellStyle name="Normal 12 2 2 4 2 2 3" xfId="16074" xr:uid="{00000000-0005-0000-0000-00002F280000}"/>
    <cellStyle name="Normal 12 2 2 4 2 2 4" xfId="32943" xr:uid="{2EE91A06-E499-47B0-B85A-8C2899B073B6}"/>
    <cellStyle name="Normal 12 2 2 4 2 3" xfId="20291" xr:uid="{00000000-0005-0000-0000-000030280000}"/>
    <cellStyle name="Normal 12 2 2 4 2 3 2" xfId="37160" xr:uid="{41181D92-3D36-41CC-A304-1B1D372F33C4}"/>
    <cellStyle name="Normal 12 2 2 4 2 4" xfId="11856" xr:uid="{00000000-0005-0000-0000-000031280000}"/>
    <cellStyle name="Normal 12 2 2 4 2 5" xfId="28726" xr:uid="{52C704E0-D1D6-4782-872F-BF5146C3406D}"/>
    <cellStyle name="Normal 12 2 2 4 3" xfId="5494" xr:uid="{00000000-0005-0000-0000-000032280000}"/>
    <cellStyle name="Normal 12 2 2 4 3 2" xfId="22364" xr:uid="{00000000-0005-0000-0000-000033280000}"/>
    <cellStyle name="Normal 12 2 2 4 3 2 2" xfId="39232" xr:uid="{B14EF92A-6D21-43D5-9D9A-7EF31D9AE2D4}"/>
    <cellStyle name="Normal 12 2 2 4 3 3" xfId="13929" xr:uid="{00000000-0005-0000-0000-000034280000}"/>
    <cellStyle name="Normal 12 2 2 4 3 4" xfId="30798" xr:uid="{7575B3B8-82E8-474F-94A6-BC3BEF596A08}"/>
    <cellStyle name="Normal 12 2 2 4 4" xfId="18146" xr:uid="{00000000-0005-0000-0000-000035280000}"/>
    <cellStyle name="Normal 12 2 2 4 4 2" xfId="35015" xr:uid="{4FF6A0B4-95CA-4CED-B0BE-ECA1EA6A4AA3}"/>
    <cellStyle name="Normal 12 2 2 4 5" xfId="9711" xr:uid="{00000000-0005-0000-0000-000036280000}"/>
    <cellStyle name="Normal 12 2 2 4 6" xfId="26581" xr:uid="{CE812E60-433C-4B76-BC9F-C6DD6B4B72E1}"/>
    <cellStyle name="Normal 12 2 2 5" xfId="1599" xr:uid="{00000000-0005-0000-0000-000037280000}"/>
    <cellStyle name="Normal 12 2 2 5 2" xfId="3829" xr:uid="{00000000-0005-0000-0000-000038280000}"/>
    <cellStyle name="Normal 12 2 2 5 2 2" xfId="8052" xr:uid="{00000000-0005-0000-0000-000039280000}"/>
    <cellStyle name="Normal 12 2 2 5 2 2 2" xfId="24922" xr:uid="{00000000-0005-0000-0000-00003A280000}"/>
    <cellStyle name="Normal 12 2 2 5 2 2 2 2" xfId="41790" xr:uid="{C8FA24AA-404E-4699-A649-390E432EF1AF}"/>
    <cellStyle name="Normal 12 2 2 5 2 2 3" xfId="16487" xr:uid="{00000000-0005-0000-0000-00003B280000}"/>
    <cellStyle name="Normal 12 2 2 5 2 2 4" xfId="33356" xr:uid="{674CD16B-F461-4217-B2BB-CD540C447BFB}"/>
    <cellStyle name="Normal 12 2 2 5 2 3" xfId="20704" xr:uid="{00000000-0005-0000-0000-00003C280000}"/>
    <cellStyle name="Normal 12 2 2 5 2 3 2" xfId="37573" xr:uid="{FBE7289D-0ED0-4B28-AC64-ED660953CB62}"/>
    <cellStyle name="Normal 12 2 2 5 2 4" xfId="12269" xr:uid="{00000000-0005-0000-0000-00003D280000}"/>
    <cellStyle name="Normal 12 2 2 5 2 5" xfId="29139" xr:uid="{24477CB8-A8E1-46A4-B67F-74863DF7C4EE}"/>
    <cellStyle name="Normal 12 2 2 5 3" xfId="5907" xr:uid="{00000000-0005-0000-0000-00003E280000}"/>
    <cellStyle name="Normal 12 2 2 5 3 2" xfId="22777" xr:uid="{00000000-0005-0000-0000-00003F280000}"/>
    <cellStyle name="Normal 12 2 2 5 3 2 2" xfId="39645" xr:uid="{B32CD920-D59E-40F1-97D6-F7B65C3F0B42}"/>
    <cellStyle name="Normal 12 2 2 5 3 3" xfId="14342" xr:uid="{00000000-0005-0000-0000-000040280000}"/>
    <cellStyle name="Normal 12 2 2 5 3 4" xfId="31211" xr:uid="{EA0DD8EB-701B-4BCC-AA97-31B0B02D2440}"/>
    <cellStyle name="Normal 12 2 2 5 4" xfId="18559" xr:uid="{00000000-0005-0000-0000-000041280000}"/>
    <cellStyle name="Normal 12 2 2 5 4 2" xfId="35428" xr:uid="{E323547F-62A4-490D-A764-3AFB3D011D0F}"/>
    <cellStyle name="Normal 12 2 2 5 5" xfId="10124" xr:uid="{00000000-0005-0000-0000-000042280000}"/>
    <cellStyle name="Normal 12 2 2 5 6" xfId="26994" xr:uid="{FC51994F-012D-44B5-B592-E608B7D62047}"/>
    <cellStyle name="Normal 12 2 2 6" xfId="2013" xr:uid="{00000000-0005-0000-0000-000043280000}"/>
    <cellStyle name="Normal 12 2 2 6 2" xfId="4242" xr:uid="{00000000-0005-0000-0000-000044280000}"/>
    <cellStyle name="Normal 12 2 2 6 2 2" xfId="8465" xr:uid="{00000000-0005-0000-0000-000045280000}"/>
    <cellStyle name="Normal 12 2 2 6 2 2 2" xfId="25335" xr:uid="{00000000-0005-0000-0000-000046280000}"/>
    <cellStyle name="Normal 12 2 2 6 2 2 2 2" xfId="42203" xr:uid="{1E7F8587-4090-49B6-A73C-3E027B483927}"/>
    <cellStyle name="Normal 12 2 2 6 2 2 3" xfId="16900" xr:uid="{00000000-0005-0000-0000-000047280000}"/>
    <cellStyle name="Normal 12 2 2 6 2 2 4" xfId="33769" xr:uid="{4C027A63-BC59-4C0D-96D0-6BE6FDD0997B}"/>
    <cellStyle name="Normal 12 2 2 6 2 3" xfId="21117" xr:uid="{00000000-0005-0000-0000-000048280000}"/>
    <cellStyle name="Normal 12 2 2 6 2 3 2" xfId="37986" xr:uid="{9FDED178-DDDA-47B4-8653-C4E43B58C881}"/>
    <cellStyle name="Normal 12 2 2 6 2 4" xfId="12682" xr:uid="{00000000-0005-0000-0000-000049280000}"/>
    <cellStyle name="Normal 12 2 2 6 2 5" xfId="29552" xr:uid="{A0159277-D76D-40AC-88E8-91E515AD1E1B}"/>
    <cellStyle name="Normal 12 2 2 6 3" xfId="6320" xr:uid="{00000000-0005-0000-0000-00004A280000}"/>
    <cellStyle name="Normal 12 2 2 6 3 2" xfId="23190" xr:uid="{00000000-0005-0000-0000-00004B280000}"/>
    <cellStyle name="Normal 12 2 2 6 3 2 2" xfId="40058" xr:uid="{140F91BF-2553-4E57-8317-00EDF74F516E}"/>
    <cellStyle name="Normal 12 2 2 6 3 3" xfId="14755" xr:uid="{00000000-0005-0000-0000-00004C280000}"/>
    <cellStyle name="Normal 12 2 2 6 3 4" xfId="31624" xr:uid="{6825B6B6-3C70-4BFC-8568-59D3895B1447}"/>
    <cellStyle name="Normal 12 2 2 6 4" xfId="18972" xr:uid="{00000000-0005-0000-0000-00004D280000}"/>
    <cellStyle name="Normal 12 2 2 6 4 2" xfId="35841" xr:uid="{5C70533E-BB39-4854-B97E-DC1F29374B26}"/>
    <cellStyle name="Normal 12 2 2 6 5" xfId="10537" xr:uid="{00000000-0005-0000-0000-00004E280000}"/>
    <cellStyle name="Normal 12 2 2 6 6" xfId="27407" xr:uid="{F1133A40-BB14-4DA5-ADDC-F3ACF76C142B}"/>
    <cellStyle name="Normal 12 2 2 7" xfId="2449" xr:uid="{00000000-0005-0000-0000-00004F280000}"/>
    <cellStyle name="Normal 12 2 2 7 2" xfId="6733" xr:uid="{00000000-0005-0000-0000-000050280000}"/>
    <cellStyle name="Normal 12 2 2 7 2 2" xfId="23603" xr:uid="{00000000-0005-0000-0000-000051280000}"/>
    <cellStyle name="Normal 12 2 2 7 2 2 2" xfId="40471" xr:uid="{3846579A-A9DB-46B9-A5AA-8588C801D3C0}"/>
    <cellStyle name="Normal 12 2 2 7 2 3" xfId="15168" xr:uid="{00000000-0005-0000-0000-000052280000}"/>
    <cellStyle name="Normal 12 2 2 7 2 4" xfId="32037" xr:uid="{DFE46778-6931-4D1D-836E-8A28695A5801}"/>
    <cellStyle name="Normal 12 2 2 7 3" xfId="19385" xr:uid="{00000000-0005-0000-0000-000053280000}"/>
    <cellStyle name="Normal 12 2 2 7 3 2" xfId="36254" xr:uid="{7E9436B8-8451-4AC7-B9E9-48579AB0A474}"/>
    <cellStyle name="Normal 12 2 2 7 4" xfId="10950" xr:uid="{00000000-0005-0000-0000-000054280000}"/>
    <cellStyle name="Normal 12 2 2 7 5" xfId="27820" xr:uid="{F5C75015-94CC-4B03-A26F-7CC7395AB60C}"/>
    <cellStyle name="Normal 12 2 2 8" xfId="4667" xr:uid="{00000000-0005-0000-0000-000055280000}"/>
    <cellStyle name="Normal 12 2 2 8 2" xfId="21537" xr:uid="{00000000-0005-0000-0000-000056280000}"/>
    <cellStyle name="Normal 12 2 2 8 2 2" xfId="38405" xr:uid="{FBC63DB5-F68E-43E6-8416-1B44643A8112}"/>
    <cellStyle name="Normal 12 2 2 8 3" xfId="13102" xr:uid="{00000000-0005-0000-0000-000057280000}"/>
    <cellStyle name="Normal 12 2 2 8 4" xfId="29971" xr:uid="{A03F1C74-A61C-4A54-B579-967C20EE58B7}"/>
    <cellStyle name="Normal 12 2 2 9" xfId="17319" xr:uid="{00000000-0005-0000-0000-000058280000}"/>
    <cellStyle name="Normal 12 2 2 9 2" xfId="34188" xr:uid="{D33FB37F-958F-4DFD-BCA2-95942E45D6C5}"/>
    <cellStyle name="Normal 12 2 3" xfId="263" xr:uid="{00000000-0005-0000-0000-000059280000}"/>
    <cellStyle name="Normal 12 2 3 10" xfId="25756" xr:uid="{771CF7C8-FB88-4EDB-ACAD-4201EAB1A03B}"/>
    <cellStyle name="Normal 12 2 3 2" xfId="764" xr:uid="{00000000-0005-0000-0000-00005A280000}"/>
    <cellStyle name="Normal 12 2 3 2 2" xfId="3005" xr:uid="{00000000-0005-0000-0000-00005B280000}"/>
    <cellStyle name="Normal 12 2 3 2 2 2" xfId="7228" xr:uid="{00000000-0005-0000-0000-00005C280000}"/>
    <cellStyle name="Normal 12 2 3 2 2 2 2" xfId="24098" xr:uid="{00000000-0005-0000-0000-00005D280000}"/>
    <cellStyle name="Normal 12 2 3 2 2 2 2 2" xfId="40966" xr:uid="{F808F50F-DB11-4395-8996-49685A1C3A70}"/>
    <cellStyle name="Normal 12 2 3 2 2 2 3" xfId="15663" xr:uid="{00000000-0005-0000-0000-00005E280000}"/>
    <cellStyle name="Normal 12 2 3 2 2 2 4" xfId="32532" xr:uid="{19F5555B-3640-4EA9-A360-FE2740C44E5B}"/>
    <cellStyle name="Normal 12 2 3 2 2 3" xfId="19880" xr:uid="{00000000-0005-0000-0000-00005F280000}"/>
    <cellStyle name="Normal 12 2 3 2 2 3 2" xfId="36749" xr:uid="{E05F04F2-7663-47A0-99EE-82831A8D4A0E}"/>
    <cellStyle name="Normal 12 2 3 2 2 4" xfId="11445" xr:uid="{00000000-0005-0000-0000-000060280000}"/>
    <cellStyle name="Normal 12 2 3 2 2 5" xfId="28315" xr:uid="{44436301-C219-46EB-BA62-F281886C6FA1}"/>
    <cellStyle name="Normal 12 2 3 2 3" xfId="5083" xr:uid="{00000000-0005-0000-0000-000061280000}"/>
    <cellStyle name="Normal 12 2 3 2 3 2" xfId="21953" xr:uid="{00000000-0005-0000-0000-000062280000}"/>
    <cellStyle name="Normal 12 2 3 2 3 2 2" xfId="38821" xr:uid="{AC3D1F9A-7607-4602-A4BC-EB15CF5CA48E}"/>
    <cellStyle name="Normal 12 2 3 2 3 3" xfId="13518" xr:uid="{00000000-0005-0000-0000-000063280000}"/>
    <cellStyle name="Normal 12 2 3 2 3 4" xfId="30387" xr:uid="{9492F95D-2D51-424B-B60D-A4B322B48B19}"/>
    <cellStyle name="Normal 12 2 3 2 4" xfId="17735" xr:uid="{00000000-0005-0000-0000-000064280000}"/>
    <cellStyle name="Normal 12 2 3 2 4 2" xfId="34604" xr:uid="{49EEB105-6EF4-4700-8056-DFABE155E6D7}"/>
    <cellStyle name="Normal 12 2 3 2 5" xfId="9300" xr:uid="{00000000-0005-0000-0000-000065280000}"/>
    <cellStyle name="Normal 12 2 3 2 6" xfId="26170" xr:uid="{553FEE87-3069-4E76-9BA8-F4954421DCA7}"/>
    <cellStyle name="Normal 12 2 3 3" xfId="1187" xr:uid="{00000000-0005-0000-0000-000066280000}"/>
    <cellStyle name="Normal 12 2 3 3 2" xfId="3418" xr:uid="{00000000-0005-0000-0000-000067280000}"/>
    <cellStyle name="Normal 12 2 3 3 2 2" xfId="7641" xr:uid="{00000000-0005-0000-0000-000068280000}"/>
    <cellStyle name="Normal 12 2 3 3 2 2 2" xfId="24511" xr:uid="{00000000-0005-0000-0000-000069280000}"/>
    <cellStyle name="Normal 12 2 3 3 2 2 2 2" xfId="41379" xr:uid="{8E25AC08-5492-472E-A120-F79CAAD67EA4}"/>
    <cellStyle name="Normal 12 2 3 3 2 2 3" xfId="16076" xr:uid="{00000000-0005-0000-0000-00006A280000}"/>
    <cellStyle name="Normal 12 2 3 3 2 2 4" xfId="32945" xr:uid="{B4AB50E5-FF5E-46F6-9220-65B72BDC46D4}"/>
    <cellStyle name="Normal 12 2 3 3 2 3" xfId="20293" xr:uid="{00000000-0005-0000-0000-00006B280000}"/>
    <cellStyle name="Normal 12 2 3 3 2 3 2" xfId="37162" xr:uid="{309ADECB-1988-4A83-81D5-20E03A8C2A21}"/>
    <cellStyle name="Normal 12 2 3 3 2 4" xfId="11858" xr:uid="{00000000-0005-0000-0000-00006C280000}"/>
    <cellStyle name="Normal 12 2 3 3 2 5" xfId="28728" xr:uid="{9400E518-6FE9-4615-AA21-93A74A057355}"/>
    <cellStyle name="Normal 12 2 3 3 3" xfId="5496" xr:uid="{00000000-0005-0000-0000-00006D280000}"/>
    <cellStyle name="Normal 12 2 3 3 3 2" xfId="22366" xr:uid="{00000000-0005-0000-0000-00006E280000}"/>
    <cellStyle name="Normal 12 2 3 3 3 2 2" xfId="39234" xr:uid="{34E89275-9272-4B58-8EFB-A2E63A552C7A}"/>
    <cellStyle name="Normal 12 2 3 3 3 3" xfId="13931" xr:uid="{00000000-0005-0000-0000-00006F280000}"/>
    <cellStyle name="Normal 12 2 3 3 3 4" xfId="30800" xr:uid="{0C9BCD62-6ADB-4CF9-89E5-DED2D0228007}"/>
    <cellStyle name="Normal 12 2 3 3 4" xfId="18148" xr:uid="{00000000-0005-0000-0000-000070280000}"/>
    <cellStyle name="Normal 12 2 3 3 4 2" xfId="35017" xr:uid="{20ED0C34-CE71-4820-BCC2-C12A31AEA91C}"/>
    <cellStyle name="Normal 12 2 3 3 5" xfId="9713" xr:uid="{00000000-0005-0000-0000-000071280000}"/>
    <cellStyle name="Normal 12 2 3 3 6" xfId="26583" xr:uid="{CA8F4D0D-4444-43D5-9912-FF9CA1653850}"/>
    <cellStyle name="Normal 12 2 3 4" xfId="1601" xr:uid="{00000000-0005-0000-0000-000072280000}"/>
    <cellStyle name="Normal 12 2 3 4 2" xfId="3831" xr:uid="{00000000-0005-0000-0000-000073280000}"/>
    <cellStyle name="Normal 12 2 3 4 2 2" xfId="8054" xr:uid="{00000000-0005-0000-0000-000074280000}"/>
    <cellStyle name="Normal 12 2 3 4 2 2 2" xfId="24924" xr:uid="{00000000-0005-0000-0000-000075280000}"/>
    <cellStyle name="Normal 12 2 3 4 2 2 2 2" xfId="41792" xr:uid="{60FC0574-3B67-470F-800A-7F0315CD1981}"/>
    <cellStyle name="Normal 12 2 3 4 2 2 3" xfId="16489" xr:uid="{00000000-0005-0000-0000-000076280000}"/>
    <cellStyle name="Normal 12 2 3 4 2 2 4" xfId="33358" xr:uid="{13925C4B-306D-4B44-8711-D50C2BD53391}"/>
    <cellStyle name="Normal 12 2 3 4 2 3" xfId="20706" xr:uid="{00000000-0005-0000-0000-000077280000}"/>
    <cellStyle name="Normal 12 2 3 4 2 3 2" xfId="37575" xr:uid="{0AE9005B-E60C-400E-9C24-5D6A1A191690}"/>
    <cellStyle name="Normal 12 2 3 4 2 4" xfId="12271" xr:uid="{00000000-0005-0000-0000-000078280000}"/>
    <cellStyle name="Normal 12 2 3 4 2 5" xfId="29141" xr:uid="{EF254FE0-575D-4E7B-BA60-C51D68D53933}"/>
    <cellStyle name="Normal 12 2 3 4 3" xfId="5909" xr:uid="{00000000-0005-0000-0000-000079280000}"/>
    <cellStyle name="Normal 12 2 3 4 3 2" xfId="22779" xr:uid="{00000000-0005-0000-0000-00007A280000}"/>
    <cellStyle name="Normal 12 2 3 4 3 2 2" xfId="39647" xr:uid="{CF9956A9-57AB-4EAC-B5D3-A4D0D644FE20}"/>
    <cellStyle name="Normal 12 2 3 4 3 3" xfId="14344" xr:uid="{00000000-0005-0000-0000-00007B280000}"/>
    <cellStyle name="Normal 12 2 3 4 3 4" xfId="31213" xr:uid="{D289AB50-4151-4662-B259-736EC5F54085}"/>
    <cellStyle name="Normal 12 2 3 4 4" xfId="18561" xr:uid="{00000000-0005-0000-0000-00007C280000}"/>
    <cellStyle name="Normal 12 2 3 4 4 2" xfId="35430" xr:uid="{FF40573B-25C6-4ACA-AA87-FE500B2F4882}"/>
    <cellStyle name="Normal 12 2 3 4 5" xfId="10126" xr:uid="{00000000-0005-0000-0000-00007D280000}"/>
    <cellStyle name="Normal 12 2 3 4 6" xfId="26996" xr:uid="{3B68C20A-2886-44E9-BE23-2BC222429C67}"/>
    <cellStyle name="Normal 12 2 3 5" xfId="2015" xr:uid="{00000000-0005-0000-0000-00007E280000}"/>
    <cellStyle name="Normal 12 2 3 5 2" xfId="4244" xr:uid="{00000000-0005-0000-0000-00007F280000}"/>
    <cellStyle name="Normal 12 2 3 5 2 2" xfId="8467" xr:uid="{00000000-0005-0000-0000-000080280000}"/>
    <cellStyle name="Normal 12 2 3 5 2 2 2" xfId="25337" xr:uid="{00000000-0005-0000-0000-000081280000}"/>
    <cellStyle name="Normal 12 2 3 5 2 2 2 2" xfId="42205" xr:uid="{1B3AA72E-4808-4264-A884-023F9EE1BAF1}"/>
    <cellStyle name="Normal 12 2 3 5 2 2 3" xfId="16902" xr:uid="{00000000-0005-0000-0000-000082280000}"/>
    <cellStyle name="Normal 12 2 3 5 2 2 4" xfId="33771" xr:uid="{064AA91A-E6AC-4599-9761-5D105C76178D}"/>
    <cellStyle name="Normal 12 2 3 5 2 3" xfId="21119" xr:uid="{00000000-0005-0000-0000-000083280000}"/>
    <cellStyle name="Normal 12 2 3 5 2 3 2" xfId="37988" xr:uid="{E363453D-731C-46AD-9E0B-BDA22316ED8D}"/>
    <cellStyle name="Normal 12 2 3 5 2 4" xfId="12684" xr:uid="{00000000-0005-0000-0000-000084280000}"/>
    <cellStyle name="Normal 12 2 3 5 2 5" xfId="29554" xr:uid="{54FBFDB3-4710-45FB-8433-6320339E8DF0}"/>
    <cellStyle name="Normal 12 2 3 5 3" xfId="6322" xr:uid="{00000000-0005-0000-0000-000085280000}"/>
    <cellStyle name="Normal 12 2 3 5 3 2" xfId="23192" xr:uid="{00000000-0005-0000-0000-000086280000}"/>
    <cellStyle name="Normal 12 2 3 5 3 2 2" xfId="40060" xr:uid="{4F14AED6-66C1-4691-88A6-F5A564648084}"/>
    <cellStyle name="Normal 12 2 3 5 3 3" xfId="14757" xr:uid="{00000000-0005-0000-0000-000087280000}"/>
    <cellStyle name="Normal 12 2 3 5 3 4" xfId="31626" xr:uid="{CD4F0439-CAFD-4A6D-8304-829CC3304D34}"/>
    <cellStyle name="Normal 12 2 3 5 4" xfId="18974" xr:uid="{00000000-0005-0000-0000-000088280000}"/>
    <cellStyle name="Normal 12 2 3 5 4 2" xfId="35843" xr:uid="{172A9EA0-3BAA-492B-98D0-B4EC1675BAAC}"/>
    <cellStyle name="Normal 12 2 3 5 5" xfId="10539" xr:uid="{00000000-0005-0000-0000-000089280000}"/>
    <cellStyle name="Normal 12 2 3 5 6" xfId="27409" xr:uid="{9CFB1194-7B96-4CF8-8345-8D4018A8EFAD}"/>
    <cellStyle name="Normal 12 2 3 6" xfId="2451" xr:uid="{00000000-0005-0000-0000-00008A280000}"/>
    <cellStyle name="Normal 12 2 3 6 2" xfId="6735" xr:uid="{00000000-0005-0000-0000-00008B280000}"/>
    <cellStyle name="Normal 12 2 3 6 2 2" xfId="23605" xr:uid="{00000000-0005-0000-0000-00008C280000}"/>
    <cellStyle name="Normal 12 2 3 6 2 2 2" xfId="40473" xr:uid="{F5339FF5-9FF8-4D05-9731-EB0904C27ACB}"/>
    <cellStyle name="Normal 12 2 3 6 2 3" xfId="15170" xr:uid="{00000000-0005-0000-0000-00008D280000}"/>
    <cellStyle name="Normal 12 2 3 6 2 4" xfId="32039" xr:uid="{3FCF195A-25B6-428A-B7AD-37DBD0988A17}"/>
    <cellStyle name="Normal 12 2 3 6 3" xfId="19387" xr:uid="{00000000-0005-0000-0000-00008E280000}"/>
    <cellStyle name="Normal 12 2 3 6 3 2" xfId="36256" xr:uid="{A587C783-3D78-4CA2-A339-3F6C70BDFF1F}"/>
    <cellStyle name="Normal 12 2 3 6 4" xfId="10952" xr:uid="{00000000-0005-0000-0000-00008F280000}"/>
    <cellStyle name="Normal 12 2 3 6 5" xfId="27822" xr:uid="{D5F08464-4B81-47F0-9163-CC0957225C33}"/>
    <cellStyle name="Normal 12 2 3 7" xfId="4669" xr:uid="{00000000-0005-0000-0000-000090280000}"/>
    <cellStyle name="Normal 12 2 3 7 2" xfId="21539" xr:uid="{00000000-0005-0000-0000-000091280000}"/>
    <cellStyle name="Normal 12 2 3 7 2 2" xfId="38407" xr:uid="{0187271A-4C2F-4D26-9DFC-2C5D7C1370F2}"/>
    <cellStyle name="Normal 12 2 3 7 3" xfId="13104" xr:uid="{00000000-0005-0000-0000-000092280000}"/>
    <cellStyle name="Normal 12 2 3 7 4" xfId="29973" xr:uid="{A53EC762-43A6-4CB2-A7F6-454B1DED6855}"/>
    <cellStyle name="Normal 12 2 3 8" xfId="17321" xr:uid="{00000000-0005-0000-0000-000093280000}"/>
    <cellStyle name="Normal 12 2 3 8 2" xfId="34190" xr:uid="{FF0DC752-F52E-48DF-9E2B-29AEFC13852B}"/>
    <cellStyle name="Normal 12 2 3 9" xfId="8886" xr:uid="{00000000-0005-0000-0000-000094280000}"/>
    <cellStyle name="Normal 12 2 4" xfId="761" xr:uid="{00000000-0005-0000-0000-000095280000}"/>
    <cellStyle name="Normal 12 2 4 2" xfId="3002" xr:uid="{00000000-0005-0000-0000-000096280000}"/>
    <cellStyle name="Normal 12 2 4 2 2" xfId="7225" xr:uid="{00000000-0005-0000-0000-000097280000}"/>
    <cellStyle name="Normal 12 2 4 2 2 2" xfId="24095" xr:uid="{00000000-0005-0000-0000-000098280000}"/>
    <cellStyle name="Normal 12 2 4 2 2 2 2" xfId="40963" xr:uid="{8727A92C-98E0-4AB9-9B13-33857E447E88}"/>
    <cellStyle name="Normal 12 2 4 2 2 3" xfId="15660" xr:uid="{00000000-0005-0000-0000-000099280000}"/>
    <cellStyle name="Normal 12 2 4 2 2 4" xfId="32529" xr:uid="{E386ED83-3A0A-4DE2-A90A-3294D2D1AF51}"/>
    <cellStyle name="Normal 12 2 4 2 3" xfId="19877" xr:uid="{00000000-0005-0000-0000-00009A280000}"/>
    <cellStyle name="Normal 12 2 4 2 3 2" xfId="36746" xr:uid="{8D67616B-3448-4679-9079-3E0CBC94AABF}"/>
    <cellStyle name="Normal 12 2 4 2 4" xfId="11442" xr:uid="{00000000-0005-0000-0000-00009B280000}"/>
    <cellStyle name="Normal 12 2 4 2 5" xfId="28312" xr:uid="{5E628A79-18F6-4644-91B4-EEB9B10277A0}"/>
    <cellStyle name="Normal 12 2 4 3" xfId="5080" xr:uid="{00000000-0005-0000-0000-00009C280000}"/>
    <cellStyle name="Normal 12 2 4 3 2" xfId="21950" xr:uid="{00000000-0005-0000-0000-00009D280000}"/>
    <cellStyle name="Normal 12 2 4 3 2 2" xfId="38818" xr:uid="{73A5B0A4-17D8-42DE-ABB1-FE6961A74CEB}"/>
    <cellStyle name="Normal 12 2 4 3 3" xfId="13515" xr:uid="{00000000-0005-0000-0000-00009E280000}"/>
    <cellStyle name="Normal 12 2 4 3 4" xfId="30384" xr:uid="{AD50E281-7727-48F3-86A0-9337E8E111E7}"/>
    <cellStyle name="Normal 12 2 4 4" xfId="17732" xr:uid="{00000000-0005-0000-0000-00009F280000}"/>
    <cellStyle name="Normal 12 2 4 4 2" xfId="34601" xr:uid="{5445DFA1-B7F8-49D6-BE30-F92585AB7A1B}"/>
    <cellStyle name="Normal 12 2 4 5" xfId="9297" xr:uid="{00000000-0005-0000-0000-0000A0280000}"/>
    <cellStyle name="Normal 12 2 4 6" xfId="26167" xr:uid="{B96F7E4A-A8DA-4565-822D-25AB7D93A269}"/>
    <cellStyle name="Normal 12 2 5" xfId="1184" xr:uid="{00000000-0005-0000-0000-0000A1280000}"/>
    <cellStyle name="Normal 12 2 5 2" xfId="3415" xr:uid="{00000000-0005-0000-0000-0000A2280000}"/>
    <cellStyle name="Normal 12 2 5 2 2" xfId="7638" xr:uid="{00000000-0005-0000-0000-0000A3280000}"/>
    <cellStyle name="Normal 12 2 5 2 2 2" xfId="24508" xr:uid="{00000000-0005-0000-0000-0000A4280000}"/>
    <cellStyle name="Normal 12 2 5 2 2 2 2" xfId="41376" xr:uid="{D06BC04E-868B-40F2-BB16-4DAEB4757B50}"/>
    <cellStyle name="Normal 12 2 5 2 2 3" xfId="16073" xr:uid="{00000000-0005-0000-0000-0000A5280000}"/>
    <cellStyle name="Normal 12 2 5 2 2 4" xfId="32942" xr:uid="{B4BCD9E7-C957-45F7-A2E1-C60C4F729F59}"/>
    <cellStyle name="Normal 12 2 5 2 3" xfId="20290" xr:uid="{00000000-0005-0000-0000-0000A6280000}"/>
    <cellStyle name="Normal 12 2 5 2 3 2" xfId="37159" xr:uid="{7731E724-6DA3-4953-A8D3-DC44F7AD843E}"/>
    <cellStyle name="Normal 12 2 5 2 4" xfId="11855" xr:uid="{00000000-0005-0000-0000-0000A7280000}"/>
    <cellStyle name="Normal 12 2 5 2 5" xfId="28725" xr:uid="{DE330E0A-47B1-4946-855E-AE6F92B19D2D}"/>
    <cellStyle name="Normal 12 2 5 3" xfId="5493" xr:uid="{00000000-0005-0000-0000-0000A8280000}"/>
    <cellStyle name="Normal 12 2 5 3 2" xfId="22363" xr:uid="{00000000-0005-0000-0000-0000A9280000}"/>
    <cellStyle name="Normal 12 2 5 3 2 2" xfId="39231" xr:uid="{5017A3CF-A44E-4BDE-AD43-87A1A93BA7D8}"/>
    <cellStyle name="Normal 12 2 5 3 3" xfId="13928" xr:uid="{00000000-0005-0000-0000-0000AA280000}"/>
    <cellStyle name="Normal 12 2 5 3 4" xfId="30797" xr:uid="{F0DDC21B-5BD4-41D6-835F-90E7734BB343}"/>
    <cellStyle name="Normal 12 2 5 4" xfId="18145" xr:uid="{00000000-0005-0000-0000-0000AB280000}"/>
    <cellStyle name="Normal 12 2 5 4 2" xfId="35014" xr:uid="{854A80C8-D028-47DD-BA39-8BEBA88EFE07}"/>
    <cellStyle name="Normal 12 2 5 5" xfId="9710" xr:uid="{00000000-0005-0000-0000-0000AC280000}"/>
    <cellStyle name="Normal 12 2 5 6" xfId="26580" xr:uid="{893D6891-7AE8-49D3-A1DE-59F7C6BA28F8}"/>
    <cellStyle name="Normal 12 2 6" xfId="1598" xr:uid="{00000000-0005-0000-0000-0000AD280000}"/>
    <cellStyle name="Normal 12 2 6 2" xfId="3828" xr:uid="{00000000-0005-0000-0000-0000AE280000}"/>
    <cellStyle name="Normal 12 2 6 2 2" xfId="8051" xr:uid="{00000000-0005-0000-0000-0000AF280000}"/>
    <cellStyle name="Normal 12 2 6 2 2 2" xfId="24921" xr:uid="{00000000-0005-0000-0000-0000B0280000}"/>
    <cellStyle name="Normal 12 2 6 2 2 2 2" xfId="41789" xr:uid="{B2B72D7D-A8B8-4DB2-9165-4E5079E909AD}"/>
    <cellStyle name="Normal 12 2 6 2 2 3" xfId="16486" xr:uid="{00000000-0005-0000-0000-0000B1280000}"/>
    <cellStyle name="Normal 12 2 6 2 2 4" xfId="33355" xr:uid="{64F44D09-0BC8-48E9-8E9E-B1EBC12FDBF0}"/>
    <cellStyle name="Normal 12 2 6 2 3" xfId="20703" xr:uid="{00000000-0005-0000-0000-0000B2280000}"/>
    <cellStyle name="Normal 12 2 6 2 3 2" xfId="37572" xr:uid="{2D4BB0DC-7E51-41E9-A6C3-E4ACA217E27B}"/>
    <cellStyle name="Normal 12 2 6 2 4" xfId="12268" xr:uid="{00000000-0005-0000-0000-0000B3280000}"/>
    <cellStyle name="Normal 12 2 6 2 5" xfId="29138" xr:uid="{B1F466CD-5266-4D29-8B89-3079E80F9D01}"/>
    <cellStyle name="Normal 12 2 6 3" xfId="5906" xr:uid="{00000000-0005-0000-0000-0000B4280000}"/>
    <cellStyle name="Normal 12 2 6 3 2" xfId="22776" xr:uid="{00000000-0005-0000-0000-0000B5280000}"/>
    <cellStyle name="Normal 12 2 6 3 2 2" xfId="39644" xr:uid="{598130BE-E0E6-4FAB-8627-194F9960FD08}"/>
    <cellStyle name="Normal 12 2 6 3 3" xfId="14341" xr:uid="{00000000-0005-0000-0000-0000B6280000}"/>
    <cellStyle name="Normal 12 2 6 3 4" xfId="31210" xr:uid="{99D829B0-5A24-454F-9C75-F9668BE79F8A}"/>
    <cellStyle name="Normal 12 2 6 4" xfId="18558" xr:uid="{00000000-0005-0000-0000-0000B7280000}"/>
    <cellStyle name="Normal 12 2 6 4 2" xfId="35427" xr:uid="{E6E13D82-CD93-42B0-B1B9-4B3AC0A3D212}"/>
    <cellStyle name="Normal 12 2 6 5" xfId="10123" xr:uid="{00000000-0005-0000-0000-0000B8280000}"/>
    <cellStyle name="Normal 12 2 6 6" xfId="26993" xr:uid="{E82C5B0A-3B1E-43EA-84E5-19F828F15D4B}"/>
    <cellStyle name="Normal 12 2 7" xfId="2012" xr:uid="{00000000-0005-0000-0000-0000B9280000}"/>
    <cellStyle name="Normal 12 2 7 2" xfId="4241" xr:uid="{00000000-0005-0000-0000-0000BA280000}"/>
    <cellStyle name="Normal 12 2 7 2 2" xfId="8464" xr:uid="{00000000-0005-0000-0000-0000BB280000}"/>
    <cellStyle name="Normal 12 2 7 2 2 2" xfId="25334" xr:uid="{00000000-0005-0000-0000-0000BC280000}"/>
    <cellStyle name="Normal 12 2 7 2 2 2 2" xfId="42202" xr:uid="{8464BD1A-D80F-447A-9041-4D342EDE0636}"/>
    <cellStyle name="Normal 12 2 7 2 2 3" xfId="16899" xr:uid="{00000000-0005-0000-0000-0000BD280000}"/>
    <cellStyle name="Normal 12 2 7 2 2 4" xfId="33768" xr:uid="{2833C637-E173-4CE3-A7AD-BB6AD6CB26DF}"/>
    <cellStyle name="Normal 12 2 7 2 3" xfId="21116" xr:uid="{00000000-0005-0000-0000-0000BE280000}"/>
    <cellStyle name="Normal 12 2 7 2 3 2" xfId="37985" xr:uid="{C4454878-3162-4CA9-8983-636C1ED32D97}"/>
    <cellStyle name="Normal 12 2 7 2 4" xfId="12681" xr:uid="{00000000-0005-0000-0000-0000BF280000}"/>
    <cellStyle name="Normal 12 2 7 2 5" xfId="29551" xr:uid="{EFABA3CC-AF8F-440F-B884-B90EDAD480C6}"/>
    <cellStyle name="Normal 12 2 7 3" xfId="6319" xr:uid="{00000000-0005-0000-0000-0000C0280000}"/>
    <cellStyle name="Normal 12 2 7 3 2" xfId="23189" xr:uid="{00000000-0005-0000-0000-0000C1280000}"/>
    <cellStyle name="Normal 12 2 7 3 2 2" xfId="40057" xr:uid="{CF15139D-11B9-4D18-957E-23852A6A13F7}"/>
    <cellStyle name="Normal 12 2 7 3 3" xfId="14754" xr:uid="{00000000-0005-0000-0000-0000C2280000}"/>
    <cellStyle name="Normal 12 2 7 3 4" xfId="31623" xr:uid="{415F171F-3270-47B2-8D68-3529C8CAAB16}"/>
    <cellStyle name="Normal 12 2 7 4" xfId="18971" xr:uid="{00000000-0005-0000-0000-0000C3280000}"/>
    <cellStyle name="Normal 12 2 7 4 2" xfId="35840" xr:uid="{5BB4832C-E550-406E-8034-E232AD1BF36C}"/>
    <cellStyle name="Normal 12 2 7 5" xfId="10536" xr:uid="{00000000-0005-0000-0000-0000C4280000}"/>
    <cellStyle name="Normal 12 2 7 6" xfId="27406" xr:uid="{CDEA6201-D935-456E-976C-B78279FCA706}"/>
    <cellStyle name="Normal 12 2 8" xfId="2448" xr:uid="{00000000-0005-0000-0000-0000C5280000}"/>
    <cellStyle name="Normal 12 2 8 2" xfId="6732" xr:uid="{00000000-0005-0000-0000-0000C6280000}"/>
    <cellStyle name="Normal 12 2 8 2 2" xfId="23602" xr:uid="{00000000-0005-0000-0000-0000C7280000}"/>
    <cellStyle name="Normal 12 2 8 2 2 2" xfId="40470" xr:uid="{C28DA48F-115E-4E56-985E-45AC010A71EE}"/>
    <cellStyle name="Normal 12 2 8 2 3" xfId="15167" xr:uid="{00000000-0005-0000-0000-0000C8280000}"/>
    <cellStyle name="Normal 12 2 8 2 4" xfId="32036" xr:uid="{A6879E99-506D-47BE-8157-D70C09F3D387}"/>
    <cellStyle name="Normal 12 2 8 3" xfId="19384" xr:uid="{00000000-0005-0000-0000-0000C9280000}"/>
    <cellStyle name="Normal 12 2 8 3 2" xfId="36253" xr:uid="{AE3A78E7-A177-4355-B519-DFB78BD684BB}"/>
    <cellStyle name="Normal 12 2 8 4" xfId="10949" xr:uid="{00000000-0005-0000-0000-0000CA280000}"/>
    <cellStyle name="Normal 12 2 8 5" xfId="27819" xr:uid="{F4335599-EB64-4B34-AA62-44906E39091C}"/>
    <cellStyle name="Normal 12 2 9" xfId="4666" xr:uid="{00000000-0005-0000-0000-0000CB280000}"/>
    <cellStyle name="Normal 12 2 9 2" xfId="21536" xr:uid="{00000000-0005-0000-0000-0000CC280000}"/>
    <cellStyle name="Normal 12 2 9 2 2" xfId="38404" xr:uid="{CA5CF9B6-D8ED-4A89-A300-CCAC45286BDA}"/>
    <cellStyle name="Normal 12 2 9 3" xfId="13101" xr:uid="{00000000-0005-0000-0000-0000CD280000}"/>
    <cellStyle name="Normal 12 2 9 4" xfId="29970" xr:uid="{9065DC46-1A8F-4D67-9317-E2FCA5759220}"/>
    <cellStyle name="Normal 12 3" xfId="264" xr:uid="{00000000-0005-0000-0000-0000CE280000}"/>
    <cellStyle name="Normal 12 3 10" xfId="8887" xr:uid="{00000000-0005-0000-0000-0000CF280000}"/>
    <cellStyle name="Normal 12 3 11" xfId="25757" xr:uid="{A9F50E3C-F7B9-49F0-AD52-5B767ABA3F53}"/>
    <cellStyle name="Normal 12 3 2" xfId="265" xr:uid="{00000000-0005-0000-0000-0000D0280000}"/>
    <cellStyle name="Normal 12 3 2 10" xfId="25758" xr:uid="{C52DF589-F7CB-4356-B448-B979FA317630}"/>
    <cellStyle name="Normal 12 3 2 2" xfId="766" xr:uid="{00000000-0005-0000-0000-0000D1280000}"/>
    <cellStyle name="Normal 12 3 2 2 2" xfId="3007" xr:uid="{00000000-0005-0000-0000-0000D2280000}"/>
    <cellStyle name="Normal 12 3 2 2 2 2" xfId="7230" xr:uid="{00000000-0005-0000-0000-0000D3280000}"/>
    <cellStyle name="Normal 12 3 2 2 2 2 2" xfId="24100" xr:uid="{00000000-0005-0000-0000-0000D4280000}"/>
    <cellStyle name="Normal 12 3 2 2 2 2 2 2" xfId="40968" xr:uid="{B68D3338-CAED-472C-9EDD-45830B0C513E}"/>
    <cellStyle name="Normal 12 3 2 2 2 2 3" xfId="15665" xr:uid="{00000000-0005-0000-0000-0000D5280000}"/>
    <cellStyle name="Normal 12 3 2 2 2 2 4" xfId="32534" xr:uid="{B9889C47-0C05-41C9-B28A-0C25FFECC809}"/>
    <cellStyle name="Normal 12 3 2 2 2 3" xfId="19882" xr:uid="{00000000-0005-0000-0000-0000D6280000}"/>
    <cellStyle name="Normal 12 3 2 2 2 3 2" xfId="36751" xr:uid="{EECBBD48-50D5-4D0E-B482-21C873DDF53D}"/>
    <cellStyle name="Normal 12 3 2 2 2 4" xfId="11447" xr:uid="{00000000-0005-0000-0000-0000D7280000}"/>
    <cellStyle name="Normal 12 3 2 2 2 5" xfId="28317" xr:uid="{1A42E63D-8B0D-4DD5-8C52-3397A4B0744D}"/>
    <cellStyle name="Normal 12 3 2 2 3" xfId="5085" xr:uid="{00000000-0005-0000-0000-0000D8280000}"/>
    <cellStyle name="Normal 12 3 2 2 3 2" xfId="21955" xr:uid="{00000000-0005-0000-0000-0000D9280000}"/>
    <cellStyle name="Normal 12 3 2 2 3 2 2" xfId="38823" xr:uid="{EE52137B-D33C-492A-8225-EED7C3B9EC3F}"/>
    <cellStyle name="Normal 12 3 2 2 3 3" xfId="13520" xr:uid="{00000000-0005-0000-0000-0000DA280000}"/>
    <cellStyle name="Normal 12 3 2 2 3 4" xfId="30389" xr:uid="{F08C8474-0608-4F86-9618-D5CA27AAE953}"/>
    <cellStyle name="Normal 12 3 2 2 4" xfId="17737" xr:uid="{00000000-0005-0000-0000-0000DB280000}"/>
    <cellStyle name="Normal 12 3 2 2 4 2" xfId="34606" xr:uid="{A96B97D5-3548-4844-B459-AD99F3625F45}"/>
    <cellStyle name="Normal 12 3 2 2 5" xfId="9302" xr:uid="{00000000-0005-0000-0000-0000DC280000}"/>
    <cellStyle name="Normal 12 3 2 2 6" xfId="26172" xr:uid="{E866BE04-97C6-4A06-B4B4-214B3BEA4C85}"/>
    <cellStyle name="Normal 12 3 2 3" xfId="1189" xr:uid="{00000000-0005-0000-0000-0000DD280000}"/>
    <cellStyle name="Normal 12 3 2 3 2" xfId="3420" xr:uid="{00000000-0005-0000-0000-0000DE280000}"/>
    <cellStyle name="Normal 12 3 2 3 2 2" xfId="7643" xr:uid="{00000000-0005-0000-0000-0000DF280000}"/>
    <cellStyle name="Normal 12 3 2 3 2 2 2" xfId="24513" xr:uid="{00000000-0005-0000-0000-0000E0280000}"/>
    <cellStyle name="Normal 12 3 2 3 2 2 2 2" xfId="41381" xr:uid="{8371DD87-E235-4342-80DB-BAAEF3793F77}"/>
    <cellStyle name="Normal 12 3 2 3 2 2 3" xfId="16078" xr:uid="{00000000-0005-0000-0000-0000E1280000}"/>
    <cellStyle name="Normal 12 3 2 3 2 2 4" xfId="32947" xr:uid="{8BEF1A97-A214-45EE-9DA7-49C63AFF0640}"/>
    <cellStyle name="Normal 12 3 2 3 2 3" xfId="20295" xr:uid="{00000000-0005-0000-0000-0000E2280000}"/>
    <cellStyle name="Normal 12 3 2 3 2 3 2" xfId="37164" xr:uid="{3B57D755-93B6-4A6D-928D-1F4B42B8FCBD}"/>
    <cellStyle name="Normal 12 3 2 3 2 4" xfId="11860" xr:uid="{00000000-0005-0000-0000-0000E3280000}"/>
    <cellStyle name="Normal 12 3 2 3 2 5" xfId="28730" xr:uid="{6AF2D116-C696-43CD-955F-EAA1A368D5A2}"/>
    <cellStyle name="Normal 12 3 2 3 3" xfId="5498" xr:uid="{00000000-0005-0000-0000-0000E4280000}"/>
    <cellStyle name="Normal 12 3 2 3 3 2" xfId="22368" xr:uid="{00000000-0005-0000-0000-0000E5280000}"/>
    <cellStyle name="Normal 12 3 2 3 3 2 2" xfId="39236" xr:uid="{14D6A5BD-43E2-4282-821F-7704DA0834B1}"/>
    <cellStyle name="Normal 12 3 2 3 3 3" xfId="13933" xr:uid="{00000000-0005-0000-0000-0000E6280000}"/>
    <cellStyle name="Normal 12 3 2 3 3 4" xfId="30802" xr:uid="{8BAE3A62-305D-4F8C-9C9C-385A3466823C}"/>
    <cellStyle name="Normal 12 3 2 3 4" xfId="18150" xr:uid="{00000000-0005-0000-0000-0000E7280000}"/>
    <cellStyle name="Normal 12 3 2 3 4 2" xfId="35019" xr:uid="{4B49B518-8312-4A95-ABB8-D1532A8D5522}"/>
    <cellStyle name="Normal 12 3 2 3 5" xfId="9715" xr:uid="{00000000-0005-0000-0000-0000E8280000}"/>
    <cellStyle name="Normal 12 3 2 3 6" xfId="26585" xr:uid="{F81D95EA-1737-407D-AF28-77FBDF2D8417}"/>
    <cellStyle name="Normal 12 3 2 4" xfId="1603" xr:uid="{00000000-0005-0000-0000-0000E9280000}"/>
    <cellStyle name="Normal 12 3 2 4 2" xfId="3833" xr:uid="{00000000-0005-0000-0000-0000EA280000}"/>
    <cellStyle name="Normal 12 3 2 4 2 2" xfId="8056" xr:uid="{00000000-0005-0000-0000-0000EB280000}"/>
    <cellStyle name="Normal 12 3 2 4 2 2 2" xfId="24926" xr:uid="{00000000-0005-0000-0000-0000EC280000}"/>
    <cellStyle name="Normal 12 3 2 4 2 2 2 2" xfId="41794" xr:uid="{C714139B-15EC-4B4A-A1CA-F605A6D3351F}"/>
    <cellStyle name="Normal 12 3 2 4 2 2 3" xfId="16491" xr:uid="{00000000-0005-0000-0000-0000ED280000}"/>
    <cellStyle name="Normal 12 3 2 4 2 2 4" xfId="33360" xr:uid="{D99785C5-D099-4E6D-A0C6-75429E19A061}"/>
    <cellStyle name="Normal 12 3 2 4 2 3" xfId="20708" xr:uid="{00000000-0005-0000-0000-0000EE280000}"/>
    <cellStyle name="Normal 12 3 2 4 2 3 2" xfId="37577" xr:uid="{A61C8A8A-E018-4FC6-9C3B-35AD124FB801}"/>
    <cellStyle name="Normal 12 3 2 4 2 4" xfId="12273" xr:uid="{00000000-0005-0000-0000-0000EF280000}"/>
    <cellStyle name="Normal 12 3 2 4 2 5" xfId="29143" xr:uid="{B664BD16-1864-41C6-A889-E78732898937}"/>
    <cellStyle name="Normal 12 3 2 4 3" xfId="5911" xr:uid="{00000000-0005-0000-0000-0000F0280000}"/>
    <cellStyle name="Normal 12 3 2 4 3 2" xfId="22781" xr:uid="{00000000-0005-0000-0000-0000F1280000}"/>
    <cellStyle name="Normal 12 3 2 4 3 2 2" xfId="39649" xr:uid="{54B159E2-65EA-4B1D-B9ED-7F4DB84A7351}"/>
    <cellStyle name="Normal 12 3 2 4 3 3" xfId="14346" xr:uid="{00000000-0005-0000-0000-0000F2280000}"/>
    <cellStyle name="Normal 12 3 2 4 3 4" xfId="31215" xr:uid="{5835C784-ADCD-4AA6-AC23-5F33A918D185}"/>
    <cellStyle name="Normal 12 3 2 4 4" xfId="18563" xr:uid="{00000000-0005-0000-0000-0000F3280000}"/>
    <cellStyle name="Normal 12 3 2 4 4 2" xfId="35432" xr:uid="{6F387500-2E93-4750-9E3A-9E617621D328}"/>
    <cellStyle name="Normal 12 3 2 4 5" xfId="10128" xr:uid="{00000000-0005-0000-0000-0000F4280000}"/>
    <cellStyle name="Normal 12 3 2 4 6" xfId="26998" xr:uid="{0B63CFB0-0A3D-497C-AA89-A1F0B5337625}"/>
    <cellStyle name="Normal 12 3 2 5" xfId="2017" xr:uid="{00000000-0005-0000-0000-0000F5280000}"/>
    <cellStyle name="Normal 12 3 2 5 2" xfId="4246" xr:uid="{00000000-0005-0000-0000-0000F6280000}"/>
    <cellStyle name="Normal 12 3 2 5 2 2" xfId="8469" xr:uid="{00000000-0005-0000-0000-0000F7280000}"/>
    <cellStyle name="Normal 12 3 2 5 2 2 2" xfId="25339" xr:uid="{00000000-0005-0000-0000-0000F8280000}"/>
    <cellStyle name="Normal 12 3 2 5 2 2 2 2" xfId="42207" xr:uid="{7320C4EF-C473-4674-9800-18492503BC7A}"/>
    <cellStyle name="Normal 12 3 2 5 2 2 3" xfId="16904" xr:uid="{00000000-0005-0000-0000-0000F9280000}"/>
    <cellStyle name="Normal 12 3 2 5 2 2 4" xfId="33773" xr:uid="{6E7BA314-E448-4E8B-82E6-59CD0AE8CAB1}"/>
    <cellStyle name="Normal 12 3 2 5 2 3" xfId="21121" xr:uid="{00000000-0005-0000-0000-0000FA280000}"/>
    <cellStyle name="Normal 12 3 2 5 2 3 2" xfId="37990" xr:uid="{82046746-7B55-4424-B147-34C5D3FBF4A6}"/>
    <cellStyle name="Normal 12 3 2 5 2 4" xfId="12686" xr:uid="{00000000-0005-0000-0000-0000FB280000}"/>
    <cellStyle name="Normal 12 3 2 5 2 5" xfId="29556" xr:uid="{93D929B7-81F9-444C-B503-BD481A18E760}"/>
    <cellStyle name="Normal 12 3 2 5 3" xfId="6324" xr:uid="{00000000-0005-0000-0000-0000FC280000}"/>
    <cellStyle name="Normal 12 3 2 5 3 2" xfId="23194" xr:uid="{00000000-0005-0000-0000-0000FD280000}"/>
    <cellStyle name="Normal 12 3 2 5 3 2 2" xfId="40062" xr:uid="{E64D089D-62B5-4B93-A59A-A27B1EB2F8B8}"/>
    <cellStyle name="Normal 12 3 2 5 3 3" xfId="14759" xr:uid="{00000000-0005-0000-0000-0000FE280000}"/>
    <cellStyle name="Normal 12 3 2 5 3 4" xfId="31628" xr:uid="{1E6938F5-CB76-42D0-A73C-8EFA52F5CA00}"/>
    <cellStyle name="Normal 12 3 2 5 4" xfId="18976" xr:uid="{00000000-0005-0000-0000-0000FF280000}"/>
    <cellStyle name="Normal 12 3 2 5 4 2" xfId="35845" xr:uid="{270CE5EB-6BB6-48C4-B0D1-5DCF0301793D}"/>
    <cellStyle name="Normal 12 3 2 5 5" xfId="10541" xr:uid="{00000000-0005-0000-0000-000000290000}"/>
    <cellStyle name="Normal 12 3 2 5 6" xfId="27411" xr:uid="{221C3E37-2D70-4A0B-9649-EA4A6B77F9AC}"/>
    <cellStyle name="Normal 12 3 2 6" xfId="2453" xr:uid="{00000000-0005-0000-0000-000001290000}"/>
    <cellStyle name="Normal 12 3 2 6 2" xfId="6737" xr:uid="{00000000-0005-0000-0000-000002290000}"/>
    <cellStyle name="Normal 12 3 2 6 2 2" xfId="23607" xr:uid="{00000000-0005-0000-0000-000003290000}"/>
    <cellStyle name="Normal 12 3 2 6 2 2 2" xfId="40475" xr:uid="{D776C069-D4CE-4270-8735-F9A665F21059}"/>
    <cellStyle name="Normal 12 3 2 6 2 3" xfId="15172" xr:uid="{00000000-0005-0000-0000-000004290000}"/>
    <cellStyle name="Normal 12 3 2 6 2 4" xfId="32041" xr:uid="{F59B1E05-1174-44F3-82EA-173FE889010E}"/>
    <cellStyle name="Normal 12 3 2 6 3" xfId="19389" xr:uid="{00000000-0005-0000-0000-000005290000}"/>
    <cellStyle name="Normal 12 3 2 6 3 2" xfId="36258" xr:uid="{F083CEF6-4CAB-4980-8F58-E597B8CEE468}"/>
    <cellStyle name="Normal 12 3 2 6 4" xfId="10954" xr:uid="{00000000-0005-0000-0000-000006290000}"/>
    <cellStyle name="Normal 12 3 2 6 5" xfId="27824" xr:uid="{67081C54-1F69-4F64-835F-6DEEFEDFBD6D}"/>
    <cellStyle name="Normal 12 3 2 7" xfId="4671" xr:uid="{00000000-0005-0000-0000-000007290000}"/>
    <cellStyle name="Normal 12 3 2 7 2" xfId="21541" xr:uid="{00000000-0005-0000-0000-000008290000}"/>
    <cellStyle name="Normal 12 3 2 7 2 2" xfId="38409" xr:uid="{2980BDC2-46C8-4CC9-9BA6-FF667E2A6B55}"/>
    <cellStyle name="Normal 12 3 2 7 3" xfId="13106" xr:uid="{00000000-0005-0000-0000-000009290000}"/>
    <cellStyle name="Normal 12 3 2 7 4" xfId="29975" xr:uid="{6AF023A2-210C-45C8-9C97-102B47ADBD7C}"/>
    <cellStyle name="Normal 12 3 2 8" xfId="17323" xr:uid="{00000000-0005-0000-0000-00000A290000}"/>
    <cellStyle name="Normal 12 3 2 8 2" xfId="34192" xr:uid="{DF0C3895-9F26-4320-BE9C-2BEED5376B95}"/>
    <cellStyle name="Normal 12 3 2 9" xfId="8888" xr:uid="{00000000-0005-0000-0000-00000B290000}"/>
    <cellStyle name="Normal 12 3 3" xfId="765" xr:uid="{00000000-0005-0000-0000-00000C290000}"/>
    <cellStyle name="Normal 12 3 3 2" xfId="3006" xr:uid="{00000000-0005-0000-0000-00000D290000}"/>
    <cellStyle name="Normal 12 3 3 2 2" xfId="7229" xr:uid="{00000000-0005-0000-0000-00000E290000}"/>
    <cellStyle name="Normal 12 3 3 2 2 2" xfId="24099" xr:uid="{00000000-0005-0000-0000-00000F290000}"/>
    <cellStyle name="Normal 12 3 3 2 2 2 2" xfId="40967" xr:uid="{B98048DC-ADE9-49FF-9467-267EB5E2D567}"/>
    <cellStyle name="Normal 12 3 3 2 2 3" xfId="15664" xr:uid="{00000000-0005-0000-0000-000010290000}"/>
    <cellStyle name="Normal 12 3 3 2 2 4" xfId="32533" xr:uid="{03342B4E-7CE6-4141-A985-49D8BE9DAE66}"/>
    <cellStyle name="Normal 12 3 3 2 3" xfId="19881" xr:uid="{00000000-0005-0000-0000-000011290000}"/>
    <cellStyle name="Normal 12 3 3 2 3 2" xfId="36750" xr:uid="{01B42DA7-BDC6-4AAA-8A38-3601BCD91530}"/>
    <cellStyle name="Normal 12 3 3 2 4" xfId="11446" xr:uid="{00000000-0005-0000-0000-000012290000}"/>
    <cellStyle name="Normal 12 3 3 2 5" xfId="28316" xr:uid="{FF9E5B94-FAFC-495C-93CE-D828451F392C}"/>
    <cellStyle name="Normal 12 3 3 3" xfId="5084" xr:uid="{00000000-0005-0000-0000-000013290000}"/>
    <cellStyle name="Normal 12 3 3 3 2" xfId="21954" xr:uid="{00000000-0005-0000-0000-000014290000}"/>
    <cellStyle name="Normal 12 3 3 3 2 2" xfId="38822" xr:uid="{83F5A747-2128-43FC-86EA-0ED337E1E063}"/>
    <cellStyle name="Normal 12 3 3 3 3" xfId="13519" xr:uid="{00000000-0005-0000-0000-000015290000}"/>
    <cellStyle name="Normal 12 3 3 3 4" xfId="30388" xr:uid="{5CAC16B6-E1F3-463B-AC39-6769198D14C5}"/>
    <cellStyle name="Normal 12 3 3 4" xfId="17736" xr:uid="{00000000-0005-0000-0000-000016290000}"/>
    <cellStyle name="Normal 12 3 3 4 2" xfId="34605" xr:uid="{314FCCA2-94D3-4538-9EC3-A75DBBE5AF8E}"/>
    <cellStyle name="Normal 12 3 3 5" xfId="9301" xr:uid="{00000000-0005-0000-0000-000017290000}"/>
    <cellStyle name="Normal 12 3 3 6" xfId="26171" xr:uid="{9656B5F0-B7A2-4891-B8E4-1FC8C7386D0E}"/>
    <cellStyle name="Normal 12 3 4" xfId="1188" xr:uid="{00000000-0005-0000-0000-000018290000}"/>
    <cellStyle name="Normal 12 3 4 2" xfId="3419" xr:uid="{00000000-0005-0000-0000-000019290000}"/>
    <cellStyle name="Normal 12 3 4 2 2" xfId="7642" xr:uid="{00000000-0005-0000-0000-00001A290000}"/>
    <cellStyle name="Normal 12 3 4 2 2 2" xfId="24512" xr:uid="{00000000-0005-0000-0000-00001B290000}"/>
    <cellStyle name="Normal 12 3 4 2 2 2 2" xfId="41380" xr:uid="{206FF445-4E07-463F-8A5C-2286DA007012}"/>
    <cellStyle name="Normal 12 3 4 2 2 3" xfId="16077" xr:uid="{00000000-0005-0000-0000-00001C290000}"/>
    <cellStyle name="Normal 12 3 4 2 2 4" xfId="32946" xr:uid="{3C2520BE-3197-4B58-AAED-C3D9E2A1D72C}"/>
    <cellStyle name="Normal 12 3 4 2 3" xfId="20294" xr:uid="{00000000-0005-0000-0000-00001D290000}"/>
    <cellStyle name="Normal 12 3 4 2 3 2" xfId="37163" xr:uid="{6FC0DBE3-18B0-44C7-8092-37BC7679C29F}"/>
    <cellStyle name="Normal 12 3 4 2 4" xfId="11859" xr:uid="{00000000-0005-0000-0000-00001E290000}"/>
    <cellStyle name="Normal 12 3 4 2 5" xfId="28729" xr:uid="{7F221716-4001-4413-9FC9-A5EDDB5898CD}"/>
    <cellStyle name="Normal 12 3 4 3" xfId="5497" xr:uid="{00000000-0005-0000-0000-00001F290000}"/>
    <cellStyle name="Normal 12 3 4 3 2" xfId="22367" xr:uid="{00000000-0005-0000-0000-000020290000}"/>
    <cellStyle name="Normal 12 3 4 3 2 2" xfId="39235" xr:uid="{6380EFC6-802E-4BFD-A21F-D792CCBFDEE8}"/>
    <cellStyle name="Normal 12 3 4 3 3" xfId="13932" xr:uid="{00000000-0005-0000-0000-000021290000}"/>
    <cellStyle name="Normal 12 3 4 3 4" xfId="30801" xr:uid="{105F1B61-7BB6-4C6A-82A9-19ABE6D563FC}"/>
    <cellStyle name="Normal 12 3 4 4" xfId="18149" xr:uid="{00000000-0005-0000-0000-000022290000}"/>
    <cellStyle name="Normal 12 3 4 4 2" xfId="35018" xr:uid="{23631BE6-267F-4029-A89A-4FBB51759E0D}"/>
    <cellStyle name="Normal 12 3 4 5" xfId="9714" xr:uid="{00000000-0005-0000-0000-000023290000}"/>
    <cellStyle name="Normal 12 3 4 6" xfId="26584" xr:uid="{554B9DE1-F89B-4555-8B4D-4909CA26C1CF}"/>
    <cellStyle name="Normal 12 3 5" xfId="1602" xr:uid="{00000000-0005-0000-0000-000024290000}"/>
    <cellStyle name="Normal 12 3 5 2" xfId="3832" xr:uid="{00000000-0005-0000-0000-000025290000}"/>
    <cellStyle name="Normal 12 3 5 2 2" xfId="8055" xr:uid="{00000000-0005-0000-0000-000026290000}"/>
    <cellStyle name="Normal 12 3 5 2 2 2" xfId="24925" xr:uid="{00000000-0005-0000-0000-000027290000}"/>
    <cellStyle name="Normal 12 3 5 2 2 2 2" xfId="41793" xr:uid="{262376EA-3F78-4171-913D-69D617623CE1}"/>
    <cellStyle name="Normal 12 3 5 2 2 3" xfId="16490" xr:uid="{00000000-0005-0000-0000-000028290000}"/>
    <cellStyle name="Normal 12 3 5 2 2 4" xfId="33359" xr:uid="{0C292AF0-32D9-4072-A214-286CCB94F2A0}"/>
    <cellStyle name="Normal 12 3 5 2 3" xfId="20707" xr:uid="{00000000-0005-0000-0000-000029290000}"/>
    <cellStyle name="Normal 12 3 5 2 3 2" xfId="37576" xr:uid="{BB8762D1-0F6C-4D6B-A95B-5CD7DCD3EE6E}"/>
    <cellStyle name="Normal 12 3 5 2 4" xfId="12272" xr:uid="{00000000-0005-0000-0000-00002A290000}"/>
    <cellStyle name="Normal 12 3 5 2 5" xfId="29142" xr:uid="{A6E653A0-DB4F-49D8-8B56-B6E795B141C0}"/>
    <cellStyle name="Normal 12 3 5 3" xfId="5910" xr:uid="{00000000-0005-0000-0000-00002B290000}"/>
    <cellStyle name="Normal 12 3 5 3 2" xfId="22780" xr:uid="{00000000-0005-0000-0000-00002C290000}"/>
    <cellStyle name="Normal 12 3 5 3 2 2" xfId="39648" xr:uid="{181E87BE-CD0D-455F-AB2E-B0AF0C6BD46B}"/>
    <cellStyle name="Normal 12 3 5 3 3" xfId="14345" xr:uid="{00000000-0005-0000-0000-00002D290000}"/>
    <cellStyle name="Normal 12 3 5 3 4" xfId="31214" xr:uid="{E2A9F10D-52D4-4333-A6F4-6BCFE2D3838B}"/>
    <cellStyle name="Normal 12 3 5 4" xfId="18562" xr:uid="{00000000-0005-0000-0000-00002E290000}"/>
    <cellStyle name="Normal 12 3 5 4 2" xfId="35431" xr:uid="{3E2685C3-6DF7-45B5-8328-90B957EA33ED}"/>
    <cellStyle name="Normal 12 3 5 5" xfId="10127" xr:uid="{00000000-0005-0000-0000-00002F290000}"/>
    <cellStyle name="Normal 12 3 5 6" xfId="26997" xr:uid="{38D8F6B2-A9B9-4143-AE46-0127B4198FB3}"/>
    <cellStyle name="Normal 12 3 6" xfId="2016" xr:uid="{00000000-0005-0000-0000-000030290000}"/>
    <cellStyle name="Normal 12 3 6 2" xfId="4245" xr:uid="{00000000-0005-0000-0000-000031290000}"/>
    <cellStyle name="Normal 12 3 6 2 2" xfId="8468" xr:uid="{00000000-0005-0000-0000-000032290000}"/>
    <cellStyle name="Normal 12 3 6 2 2 2" xfId="25338" xr:uid="{00000000-0005-0000-0000-000033290000}"/>
    <cellStyle name="Normal 12 3 6 2 2 2 2" xfId="42206" xr:uid="{95E33118-335A-44C3-86CD-3F03C81A52E4}"/>
    <cellStyle name="Normal 12 3 6 2 2 3" xfId="16903" xr:uid="{00000000-0005-0000-0000-000034290000}"/>
    <cellStyle name="Normal 12 3 6 2 2 4" xfId="33772" xr:uid="{CB66432A-FD8C-4B56-9BC6-E3B3CB962DE0}"/>
    <cellStyle name="Normal 12 3 6 2 3" xfId="21120" xr:uid="{00000000-0005-0000-0000-000035290000}"/>
    <cellStyle name="Normal 12 3 6 2 3 2" xfId="37989" xr:uid="{6B9323A5-D1C3-43E5-BA5F-805F614F28C0}"/>
    <cellStyle name="Normal 12 3 6 2 4" xfId="12685" xr:uid="{00000000-0005-0000-0000-000036290000}"/>
    <cellStyle name="Normal 12 3 6 2 5" xfId="29555" xr:uid="{FD058EC4-E762-41B8-AB69-8E40956210AC}"/>
    <cellStyle name="Normal 12 3 6 3" xfId="6323" xr:uid="{00000000-0005-0000-0000-000037290000}"/>
    <cellStyle name="Normal 12 3 6 3 2" xfId="23193" xr:uid="{00000000-0005-0000-0000-000038290000}"/>
    <cellStyle name="Normal 12 3 6 3 2 2" xfId="40061" xr:uid="{EB8678B1-4698-4596-A69B-FC28AB252CCA}"/>
    <cellStyle name="Normal 12 3 6 3 3" xfId="14758" xr:uid="{00000000-0005-0000-0000-000039290000}"/>
    <cellStyle name="Normal 12 3 6 3 4" xfId="31627" xr:uid="{16E9845A-E15C-43AD-A46B-A40F2DE0124A}"/>
    <cellStyle name="Normal 12 3 6 4" xfId="18975" xr:uid="{00000000-0005-0000-0000-00003A290000}"/>
    <cellStyle name="Normal 12 3 6 4 2" xfId="35844" xr:uid="{C64183AF-8EBD-4068-B0B5-F50176A487A2}"/>
    <cellStyle name="Normal 12 3 6 5" xfId="10540" xr:uid="{00000000-0005-0000-0000-00003B290000}"/>
    <cellStyle name="Normal 12 3 6 6" xfId="27410" xr:uid="{9997E68D-64A3-4C42-923D-A70FEB7D987B}"/>
    <cellStyle name="Normal 12 3 7" xfId="2452" xr:uid="{00000000-0005-0000-0000-00003C290000}"/>
    <cellStyle name="Normal 12 3 7 2" xfId="6736" xr:uid="{00000000-0005-0000-0000-00003D290000}"/>
    <cellStyle name="Normal 12 3 7 2 2" xfId="23606" xr:uid="{00000000-0005-0000-0000-00003E290000}"/>
    <cellStyle name="Normal 12 3 7 2 2 2" xfId="40474" xr:uid="{13EC368E-D1DC-49BF-BC84-61BA748BA808}"/>
    <cellStyle name="Normal 12 3 7 2 3" xfId="15171" xr:uid="{00000000-0005-0000-0000-00003F290000}"/>
    <cellStyle name="Normal 12 3 7 2 4" xfId="32040" xr:uid="{02C73DFA-2A1B-47FD-BA2F-EF2CED241A4E}"/>
    <cellStyle name="Normal 12 3 7 3" xfId="19388" xr:uid="{00000000-0005-0000-0000-000040290000}"/>
    <cellStyle name="Normal 12 3 7 3 2" xfId="36257" xr:uid="{91AFC684-033F-4881-889E-2A2BA2A2596E}"/>
    <cellStyle name="Normal 12 3 7 4" xfId="10953" xr:uid="{00000000-0005-0000-0000-000041290000}"/>
    <cellStyle name="Normal 12 3 7 5" xfId="27823" xr:uid="{3154E09A-177D-4E88-9B7D-26AA3F85DFBB}"/>
    <cellStyle name="Normal 12 3 8" xfId="4670" xr:uid="{00000000-0005-0000-0000-000042290000}"/>
    <cellStyle name="Normal 12 3 8 2" xfId="21540" xr:uid="{00000000-0005-0000-0000-000043290000}"/>
    <cellStyle name="Normal 12 3 8 2 2" xfId="38408" xr:uid="{3B487272-80E9-43E0-A0DC-ECF67576E0ED}"/>
    <cellStyle name="Normal 12 3 8 3" xfId="13105" xr:uid="{00000000-0005-0000-0000-000044290000}"/>
    <cellStyle name="Normal 12 3 8 4" xfId="29974" xr:uid="{AFAC450B-B453-4578-A86E-DD000B4F14AF}"/>
    <cellStyle name="Normal 12 3 9" xfId="17322" xr:uid="{00000000-0005-0000-0000-000045290000}"/>
    <cellStyle name="Normal 12 3 9 2" xfId="34191" xr:uid="{E3CD8D81-F924-489E-8CA3-42A778B63822}"/>
    <cellStyle name="Normal 12 4" xfId="266" xr:uid="{00000000-0005-0000-0000-000046290000}"/>
    <cellStyle name="Normal 12 4 10" xfId="25759" xr:uid="{909F7862-75BC-492B-89E9-9385C5234DB6}"/>
    <cellStyle name="Normal 12 4 2" xfId="767" xr:uid="{00000000-0005-0000-0000-000047290000}"/>
    <cellStyle name="Normal 12 4 2 2" xfId="3008" xr:uid="{00000000-0005-0000-0000-000048290000}"/>
    <cellStyle name="Normal 12 4 2 2 2" xfId="7231" xr:uid="{00000000-0005-0000-0000-000049290000}"/>
    <cellStyle name="Normal 12 4 2 2 2 2" xfId="24101" xr:uid="{00000000-0005-0000-0000-00004A290000}"/>
    <cellStyle name="Normal 12 4 2 2 2 2 2" xfId="40969" xr:uid="{6DA7A1D3-6C5B-4E27-8D5B-D54EBAD77273}"/>
    <cellStyle name="Normal 12 4 2 2 2 3" xfId="15666" xr:uid="{00000000-0005-0000-0000-00004B290000}"/>
    <cellStyle name="Normal 12 4 2 2 2 4" xfId="32535" xr:uid="{88B47E49-46A5-4D01-8CD1-364D4C97E01B}"/>
    <cellStyle name="Normal 12 4 2 2 3" xfId="19883" xr:uid="{00000000-0005-0000-0000-00004C290000}"/>
    <cellStyle name="Normal 12 4 2 2 3 2" xfId="36752" xr:uid="{4A8F8F9C-6E9C-4625-A638-442490DC48CF}"/>
    <cellStyle name="Normal 12 4 2 2 4" xfId="11448" xr:uid="{00000000-0005-0000-0000-00004D290000}"/>
    <cellStyle name="Normal 12 4 2 2 5" xfId="28318" xr:uid="{AAFE9C0A-A17B-4022-B58C-E1C81889C5D8}"/>
    <cellStyle name="Normal 12 4 2 3" xfId="5086" xr:uid="{00000000-0005-0000-0000-00004E290000}"/>
    <cellStyle name="Normal 12 4 2 3 2" xfId="21956" xr:uid="{00000000-0005-0000-0000-00004F290000}"/>
    <cellStyle name="Normal 12 4 2 3 2 2" xfId="38824" xr:uid="{38C8BA9C-73EB-4533-9077-3A17AEF57D10}"/>
    <cellStyle name="Normal 12 4 2 3 3" xfId="13521" xr:uid="{00000000-0005-0000-0000-000050290000}"/>
    <cellStyle name="Normal 12 4 2 3 4" xfId="30390" xr:uid="{CEF7D6B9-9C4B-4A4C-880D-88D8D6D5C7E6}"/>
    <cellStyle name="Normal 12 4 2 4" xfId="17738" xr:uid="{00000000-0005-0000-0000-000051290000}"/>
    <cellStyle name="Normal 12 4 2 4 2" xfId="34607" xr:uid="{BFDEE96C-4CA8-4087-923C-EA4D6494D134}"/>
    <cellStyle name="Normal 12 4 2 5" xfId="9303" xr:uid="{00000000-0005-0000-0000-000052290000}"/>
    <cellStyle name="Normal 12 4 2 6" xfId="26173" xr:uid="{14CBC42F-A711-48B7-AE69-DFAB58040615}"/>
    <cellStyle name="Normal 12 4 3" xfId="1190" xr:uid="{00000000-0005-0000-0000-000053290000}"/>
    <cellStyle name="Normal 12 4 3 2" xfId="3421" xr:uid="{00000000-0005-0000-0000-000054290000}"/>
    <cellStyle name="Normal 12 4 3 2 2" xfId="7644" xr:uid="{00000000-0005-0000-0000-000055290000}"/>
    <cellStyle name="Normal 12 4 3 2 2 2" xfId="24514" xr:uid="{00000000-0005-0000-0000-000056290000}"/>
    <cellStyle name="Normal 12 4 3 2 2 2 2" xfId="41382" xr:uid="{3EAE3F36-4ADA-4AB7-93DD-5876C234F19C}"/>
    <cellStyle name="Normal 12 4 3 2 2 3" xfId="16079" xr:uid="{00000000-0005-0000-0000-000057290000}"/>
    <cellStyle name="Normal 12 4 3 2 2 4" xfId="32948" xr:uid="{213274BD-B0A5-4AA5-AC5B-72764CF4B706}"/>
    <cellStyle name="Normal 12 4 3 2 3" xfId="20296" xr:uid="{00000000-0005-0000-0000-000058290000}"/>
    <cellStyle name="Normal 12 4 3 2 3 2" xfId="37165" xr:uid="{A297AF6A-AF0B-494D-9E64-B3D6230E699B}"/>
    <cellStyle name="Normal 12 4 3 2 4" xfId="11861" xr:uid="{00000000-0005-0000-0000-000059290000}"/>
    <cellStyle name="Normal 12 4 3 2 5" xfId="28731" xr:uid="{3A0DA6E3-4D62-4C30-8EF2-B1809B9B6784}"/>
    <cellStyle name="Normal 12 4 3 3" xfId="5499" xr:uid="{00000000-0005-0000-0000-00005A290000}"/>
    <cellStyle name="Normal 12 4 3 3 2" xfId="22369" xr:uid="{00000000-0005-0000-0000-00005B290000}"/>
    <cellStyle name="Normal 12 4 3 3 2 2" xfId="39237" xr:uid="{A4AE0C45-CD7B-4876-A9FE-1A43CFCEDC0E}"/>
    <cellStyle name="Normal 12 4 3 3 3" xfId="13934" xr:uid="{00000000-0005-0000-0000-00005C290000}"/>
    <cellStyle name="Normal 12 4 3 3 4" xfId="30803" xr:uid="{6651A423-F0D3-425F-A0E2-1FCC8DAE826D}"/>
    <cellStyle name="Normal 12 4 3 4" xfId="18151" xr:uid="{00000000-0005-0000-0000-00005D290000}"/>
    <cellStyle name="Normal 12 4 3 4 2" xfId="35020" xr:uid="{741E536A-626C-42F3-BEE2-F77D629A0741}"/>
    <cellStyle name="Normal 12 4 3 5" xfId="9716" xr:uid="{00000000-0005-0000-0000-00005E290000}"/>
    <cellStyle name="Normal 12 4 3 6" xfId="26586" xr:uid="{33DD50E4-9ED3-4721-9EC5-CA9027068170}"/>
    <cellStyle name="Normal 12 4 4" xfId="1604" xr:uid="{00000000-0005-0000-0000-00005F290000}"/>
    <cellStyle name="Normal 12 4 4 2" xfId="3834" xr:uid="{00000000-0005-0000-0000-000060290000}"/>
    <cellStyle name="Normal 12 4 4 2 2" xfId="8057" xr:uid="{00000000-0005-0000-0000-000061290000}"/>
    <cellStyle name="Normal 12 4 4 2 2 2" xfId="24927" xr:uid="{00000000-0005-0000-0000-000062290000}"/>
    <cellStyle name="Normal 12 4 4 2 2 2 2" xfId="41795" xr:uid="{56C60918-F068-43CF-B9AC-078EDB481474}"/>
    <cellStyle name="Normal 12 4 4 2 2 3" xfId="16492" xr:uid="{00000000-0005-0000-0000-000063290000}"/>
    <cellStyle name="Normal 12 4 4 2 2 4" xfId="33361" xr:uid="{BFDE2A41-BA46-4C3D-84BF-90D190928A4F}"/>
    <cellStyle name="Normal 12 4 4 2 3" xfId="20709" xr:uid="{00000000-0005-0000-0000-000064290000}"/>
    <cellStyle name="Normal 12 4 4 2 3 2" xfId="37578" xr:uid="{7232D01F-5F83-4405-A319-894DC98201B8}"/>
    <cellStyle name="Normal 12 4 4 2 4" xfId="12274" xr:uid="{00000000-0005-0000-0000-000065290000}"/>
    <cellStyle name="Normal 12 4 4 2 5" xfId="29144" xr:uid="{AD23EDAB-A907-4A46-A2E3-F28BDFB85226}"/>
    <cellStyle name="Normal 12 4 4 3" xfId="5912" xr:uid="{00000000-0005-0000-0000-000066290000}"/>
    <cellStyle name="Normal 12 4 4 3 2" xfId="22782" xr:uid="{00000000-0005-0000-0000-000067290000}"/>
    <cellStyle name="Normal 12 4 4 3 2 2" xfId="39650" xr:uid="{5097A22C-2A84-4D7E-8062-A7D3DBDD1828}"/>
    <cellStyle name="Normal 12 4 4 3 3" xfId="14347" xr:uid="{00000000-0005-0000-0000-000068290000}"/>
    <cellStyle name="Normal 12 4 4 3 4" xfId="31216" xr:uid="{C8CDD122-4736-4D10-8F3F-34A8FBF3AEC4}"/>
    <cellStyle name="Normal 12 4 4 4" xfId="18564" xr:uid="{00000000-0005-0000-0000-000069290000}"/>
    <cellStyle name="Normal 12 4 4 4 2" xfId="35433" xr:uid="{812743FC-B205-4171-B803-57CBE2A194B7}"/>
    <cellStyle name="Normal 12 4 4 5" xfId="10129" xr:uid="{00000000-0005-0000-0000-00006A290000}"/>
    <cellStyle name="Normal 12 4 4 6" xfId="26999" xr:uid="{E29B9570-3094-4352-9524-0BE9FCDE9600}"/>
    <cellStyle name="Normal 12 4 5" xfId="2018" xr:uid="{00000000-0005-0000-0000-00006B290000}"/>
    <cellStyle name="Normal 12 4 5 2" xfId="4247" xr:uid="{00000000-0005-0000-0000-00006C290000}"/>
    <cellStyle name="Normal 12 4 5 2 2" xfId="8470" xr:uid="{00000000-0005-0000-0000-00006D290000}"/>
    <cellStyle name="Normal 12 4 5 2 2 2" xfId="25340" xr:uid="{00000000-0005-0000-0000-00006E290000}"/>
    <cellStyle name="Normal 12 4 5 2 2 2 2" xfId="42208" xr:uid="{D538EBB2-FDA9-4839-9703-A3251308A278}"/>
    <cellStyle name="Normal 12 4 5 2 2 3" xfId="16905" xr:uid="{00000000-0005-0000-0000-00006F290000}"/>
    <cellStyle name="Normal 12 4 5 2 2 4" xfId="33774" xr:uid="{9A1A1AAE-DF75-4409-8F7C-2BED7B3CAC17}"/>
    <cellStyle name="Normal 12 4 5 2 3" xfId="21122" xr:uid="{00000000-0005-0000-0000-000070290000}"/>
    <cellStyle name="Normal 12 4 5 2 3 2" xfId="37991" xr:uid="{1C4B51B8-87F4-47E6-978D-B5ED269D5922}"/>
    <cellStyle name="Normal 12 4 5 2 4" xfId="12687" xr:uid="{00000000-0005-0000-0000-000071290000}"/>
    <cellStyle name="Normal 12 4 5 2 5" xfId="29557" xr:uid="{25BCAB44-95BD-4305-972E-5812B5069033}"/>
    <cellStyle name="Normal 12 4 5 3" xfId="6325" xr:uid="{00000000-0005-0000-0000-000072290000}"/>
    <cellStyle name="Normal 12 4 5 3 2" xfId="23195" xr:uid="{00000000-0005-0000-0000-000073290000}"/>
    <cellStyle name="Normal 12 4 5 3 2 2" xfId="40063" xr:uid="{D3368BF5-63A7-4898-BC97-FBE4B15563AD}"/>
    <cellStyle name="Normal 12 4 5 3 3" xfId="14760" xr:uid="{00000000-0005-0000-0000-000074290000}"/>
    <cellStyle name="Normal 12 4 5 3 4" xfId="31629" xr:uid="{626A2F74-3AE7-4448-865C-6A19DEE0B623}"/>
    <cellStyle name="Normal 12 4 5 4" xfId="18977" xr:uid="{00000000-0005-0000-0000-000075290000}"/>
    <cellStyle name="Normal 12 4 5 4 2" xfId="35846" xr:uid="{C3F7D552-DA43-4D44-A58E-3693E6264FD7}"/>
    <cellStyle name="Normal 12 4 5 5" xfId="10542" xr:uid="{00000000-0005-0000-0000-000076290000}"/>
    <cellStyle name="Normal 12 4 5 6" xfId="27412" xr:uid="{AFED7D2A-FD5B-4DE7-954E-FFB3125B809C}"/>
    <cellStyle name="Normal 12 4 6" xfId="2454" xr:uid="{00000000-0005-0000-0000-000077290000}"/>
    <cellStyle name="Normal 12 4 6 2" xfId="6738" xr:uid="{00000000-0005-0000-0000-000078290000}"/>
    <cellStyle name="Normal 12 4 6 2 2" xfId="23608" xr:uid="{00000000-0005-0000-0000-000079290000}"/>
    <cellStyle name="Normal 12 4 6 2 2 2" xfId="40476" xr:uid="{35C43112-4E82-42AE-A111-0DBEA1566F8A}"/>
    <cellStyle name="Normal 12 4 6 2 3" xfId="15173" xr:uid="{00000000-0005-0000-0000-00007A290000}"/>
    <cellStyle name="Normal 12 4 6 2 4" xfId="32042" xr:uid="{7D49B3F0-DEA5-4F9F-9BE8-242F51E2FC0C}"/>
    <cellStyle name="Normal 12 4 6 3" xfId="19390" xr:uid="{00000000-0005-0000-0000-00007B290000}"/>
    <cellStyle name="Normal 12 4 6 3 2" xfId="36259" xr:uid="{FD535B88-EB28-41B4-B9F9-C1AEDD950FCE}"/>
    <cellStyle name="Normal 12 4 6 4" xfId="10955" xr:uid="{00000000-0005-0000-0000-00007C290000}"/>
    <cellStyle name="Normal 12 4 6 5" xfId="27825" xr:uid="{D1270C35-54D3-4D54-96FC-658ABBA0ADAD}"/>
    <cellStyle name="Normal 12 4 7" xfId="4672" xr:uid="{00000000-0005-0000-0000-00007D290000}"/>
    <cellStyle name="Normal 12 4 7 2" xfId="21542" xr:uid="{00000000-0005-0000-0000-00007E290000}"/>
    <cellStyle name="Normal 12 4 7 2 2" xfId="38410" xr:uid="{1CC118F1-02ED-4B5E-BB35-BF056C6B49FF}"/>
    <cellStyle name="Normal 12 4 7 3" xfId="13107" xr:uid="{00000000-0005-0000-0000-00007F290000}"/>
    <cellStyle name="Normal 12 4 7 4" xfId="29976" xr:uid="{D00C49A4-3AB9-4B14-9EA5-8948DE1C8F59}"/>
    <cellStyle name="Normal 12 4 8" xfId="17324" xr:uid="{00000000-0005-0000-0000-000080290000}"/>
    <cellStyle name="Normal 12 4 8 2" xfId="34193" xr:uid="{A03B00E3-9BFF-42F8-A8E1-8C837EE23ADF}"/>
    <cellStyle name="Normal 12 4 9" xfId="8889" xr:uid="{00000000-0005-0000-0000-000081290000}"/>
    <cellStyle name="Normal 12 5" xfId="267" xr:uid="{00000000-0005-0000-0000-000082290000}"/>
    <cellStyle name="Normal 12 6" xfId="760" xr:uid="{00000000-0005-0000-0000-000083290000}"/>
    <cellStyle name="Normal 12 6 2" xfId="3001" xr:uid="{00000000-0005-0000-0000-000084290000}"/>
    <cellStyle name="Normal 12 6 2 2" xfId="7224" xr:uid="{00000000-0005-0000-0000-000085290000}"/>
    <cellStyle name="Normal 12 6 2 2 2" xfId="24094" xr:uid="{00000000-0005-0000-0000-000086290000}"/>
    <cellStyle name="Normal 12 6 2 2 2 2" xfId="40962" xr:uid="{DB39EE47-3D87-465C-92BD-3237842CA834}"/>
    <cellStyle name="Normal 12 6 2 2 3" xfId="15659" xr:uid="{00000000-0005-0000-0000-000087290000}"/>
    <cellStyle name="Normal 12 6 2 2 4" xfId="32528" xr:uid="{2B40E821-3F31-4BB3-825E-DC5D867871E6}"/>
    <cellStyle name="Normal 12 6 2 3" xfId="19876" xr:uid="{00000000-0005-0000-0000-000088290000}"/>
    <cellStyle name="Normal 12 6 2 3 2" xfId="36745" xr:uid="{E591259B-51B4-4A37-BE5A-54F415F65F83}"/>
    <cellStyle name="Normal 12 6 2 4" xfId="11441" xr:uid="{00000000-0005-0000-0000-000089290000}"/>
    <cellStyle name="Normal 12 6 2 5" xfId="28311" xr:uid="{6215F4F0-A70C-424E-AF29-699786B15AB4}"/>
    <cellStyle name="Normal 12 6 3" xfId="5079" xr:uid="{00000000-0005-0000-0000-00008A290000}"/>
    <cellStyle name="Normal 12 6 3 2" xfId="21949" xr:uid="{00000000-0005-0000-0000-00008B290000}"/>
    <cellStyle name="Normal 12 6 3 2 2" xfId="38817" xr:uid="{6A2AFCB1-F99F-4514-BDDC-0040772FDF2D}"/>
    <cellStyle name="Normal 12 6 3 3" xfId="13514" xr:uid="{00000000-0005-0000-0000-00008C290000}"/>
    <cellStyle name="Normal 12 6 3 4" xfId="30383" xr:uid="{300CB404-C5A4-4D56-A90B-E2378793F820}"/>
    <cellStyle name="Normal 12 6 4" xfId="17731" xr:uid="{00000000-0005-0000-0000-00008D290000}"/>
    <cellStyle name="Normal 12 6 4 2" xfId="34600" xr:uid="{F6FB3C31-BB9C-4F63-AFCA-70E681BBC616}"/>
    <cellStyle name="Normal 12 6 5" xfId="9296" xr:uid="{00000000-0005-0000-0000-00008E290000}"/>
    <cellStyle name="Normal 12 6 6" xfId="26166" xr:uid="{13A9FA89-F3A7-4712-8EF1-D364D3F1D7E8}"/>
    <cellStyle name="Normal 12 7" xfId="1183" xr:uid="{00000000-0005-0000-0000-00008F290000}"/>
    <cellStyle name="Normal 12 7 2" xfId="3414" xr:uid="{00000000-0005-0000-0000-000090290000}"/>
    <cellStyle name="Normal 12 7 2 2" xfId="7637" xr:uid="{00000000-0005-0000-0000-000091290000}"/>
    <cellStyle name="Normal 12 7 2 2 2" xfId="24507" xr:uid="{00000000-0005-0000-0000-000092290000}"/>
    <cellStyle name="Normal 12 7 2 2 2 2" xfId="41375" xr:uid="{602C1CA1-1A5E-43A8-8ABC-1CF3A8F30072}"/>
    <cellStyle name="Normal 12 7 2 2 3" xfId="16072" xr:uid="{00000000-0005-0000-0000-000093290000}"/>
    <cellStyle name="Normal 12 7 2 2 4" xfId="32941" xr:uid="{933D2CE7-E6B8-4887-959A-323CB7DA2BD0}"/>
    <cellStyle name="Normal 12 7 2 3" xfId="20289" xr:uid="{00000000-0005-0000-0000-000094290000}"/>
    <cellStyle name="Normal 12 7 2 3 2" xfId="37158" xr:uid="{F59F2931-FAE0-4A31-BA72-B1F6E1A180B2}"/>
    <cellStyle name="Normal 12 7 2 4" xfId="11854" xr:uid="{00000000-0005-0000-0000-000095290000}"/>
    <cellStyle name="Normal 12 7 2 5" xfId="28724" xr:uid="{68F78BEE-5BAC-4A82-8333-F9788DA6AEBB}"/>
    <cellStyle name="Normal 12 7 3" xfId="5492" xr:uid="{00000000-0005-0000-0000-000096290000}"/>
    <cellStyle name="Normal 12 7 3 2" xfId="22362" xr:uid="{00000000-0005-0000-0000-000097290000}"/>
    <cellStyle name="Normal 12 7 3 2 2" xfId="39230" xr:uid="{8BF485D2-B94E-4EAF-8970-1C3A8C28020A}"/>
    <cellStyle name="Normal 12 7 3 3" xfId="13927" xr:uid="{00000000-0005-0000-0000-000098290000}"/>
    <cellStyle name="Normal 12 7 3 4" xfId="30796" xr:uid="{49DE1354-4E81-4BE2-A8C3-F94C68FEA9DB}"/>
    <cellStyle name="Normal 12 7 4" xfId="18144" xr:uid="{00000000-0005-0000-0000-000099290000}"/>
    <cellStyle name="Normal 12 7 4 2" xfId="35013" xr:uid="{AFFC375C-2961-4EB9-8794-6E2AC8F291EF}"/>
    <cellStyle name="Normal 12 7 5" xfId="9709" xr:uid="{00000000-0005-0000-0000-00009A290000}"/>
    <cellStyle name="Normal 12 7 6" xfId="26579" xr:uid="{60227F9E-98F0-488D-BB73-1F587A24D8B5}"/>
    <cellStyle name="Normal 12 8" xfId="1597" xr:uid="{00000000-0005-0000-0000-00009B290000}"/>
    <cellStyle name="Normal 12 8 2" xfId="3827" xr:uid="{00000000-0005-0000-0000-00009C290000}"/>
    <cellStyle name="Normal 12 8 2 2" xfId="8050" xr:uid="{00000000-0005-0000-0000-00009D290000}"/>
    <cellStyle name="Normal 12 8 2 2 2" xfId="24920" xr:uid="{00000000-0005-0000-0000-00009E290000}"/>
    <cellStyle name="Normal 12 8 2 2 2 2" xfId="41788" xr:uid="{D89014E1-789D-4115-850A-EE9E2251606B}"/>
    <cellStyle name="Normal 12 8 2 2 3" xfId="16485" xr:uid="{00000000-0005-0000-0000-00009F290000}"/>
    <cellStyle name="Normal 12 8 2 2 4" xfId="33354" xr:uid="{A278C556-7705-4102-8313-0854F71C64E6}"/>
    <cellStyle name="Normal 12 8 2 3" xfId="20702" xr:uid="{00000000-0005-0000-0000-0000A0290000}"/>
    <cellStyle name="Normal 12 8 2 3 2" xfId="37571" xr:uid="{569B635E-3DC7-4409-8848-3522A4EB1277}"/>
    <cellStyle name="Normal 12 8 2 4" xfId="12267" xr:uid="{00000000-0005-0000-0000-0000A1290000}"/>
    <cellStyle name="Normal 12 8 2 5" xfId="29137" xr:uid="{A77B447B-A2B1-47F4-A246-70758A4B4EDF}"/>
    <cellStyle name="Normal 12 8 3" xfId="5905" xr:uid="{00000000-0005-0000-0000-0000A2290000}"/>
    <cellStyle name="Normal 12 8 3 2" xfId="22775" xr:uid="{00000000-0005-0000-0000-0000A3290000}"/>
    <cellStyle name="Normal 12 8 3 2 2" xfId="39643" xr:uid="{B900AFB4-0D0A-4E1E-9BA2-A7A5D386F08A}"/>
    <cellStyle name="Normal 12 8 3 3" xfId="14340" xr:uid="{00000000-0005-0000-0000-0000A4290000}"/>
    <cellStyle name="Normal 12 8 3 4" xfId="31209" xr:uid="{4D6DE896-D89D-4DA3-AB4E-0D888E264C9B}"/>
    <cellStyle name="Normal 12 8 4" xfId="18557" xr:uid="{00000000-0005-0000-0000-0000A5290000}"/>
    <cellStyle name="Normal 12 8 4 2" xfId="35426" xr:uid="{F3EBABC8-559C-4E3B-A66A-CEC9D9CC3A64}"/>
    <cellStyle name="Normal 12 8 5" xfId="10122" xr:uid="{00000000-0005-0000-0000-0000A6290000}"/>
    <cellStyle name="Normal 12 8 6" xfId="26992" xr:uid="{364DA675-6CF6-4E25-AF2C-0F0A15F6CC34}"/>
    <cellStyle name="Normal 12 9" xfId="2011" xr:uid="{00000000-0005-0000-0000-0000A7290000}"/>
    <cellStyle name="Normal 12 9 2" xfId="4240" xr:uid="{00000000-0005-0000-0000-0000A8290000}"/>
    <cellStyle name="Normal 12 9 2 2" xfId="8463" xr:uid="{00000000-0005-0000-0000-0000A9290000}"/>
    <cellStyle name="Normal 12 9 2 2 2" xfId="25333" xr:uid="{00000000-0005-0000-0000-0000AA290000}"/>
    <cellStyle name="Normal 12 9 2 2 2 2" xfId="42201" xr:uid="{C3CCFBDB-BD5D-4664-8A45-10F6AD86336F}"/>
    <cellStyle name="Normal 12 9 2 2 3" xfId="16898" xr:uid="{00000000-0005-0000-0000-0000AB290000}"/>
    <cellStyle name="Normal 12 9 2 2 4" xfId="33767" xr:uid="{2DB50A8F-EC85-4C8F-8F91-4C3050817202}"/>
    <cellStyle name="Normal 12 9 2 3" xfId="21115" xr:uid="{00000000-0005-0000-0000-0000AC290000}"/>
    <cellStyle name="Normal 12 9 2 3 2" xfId="37984" xr:uid="{006C0628-CF04-48B4-A11B-ED4FE9867E60}"/>
    <cellStyle name="Normal 12 9 2 4" xfId="12680" xr:uid="{00000000-0005-0000-0000-0000AD290000}"/>
    <cellStyle name="Normal 12 9 2 5" xfId="29550" xr:uid="{647A771F-07C4-483D-B4B1-548F22C649D3}"/>
    <cellStyle name="Normal 12 9 3" xfId="6318" xr:uid="{00000000-0005-0000-0000-0000AE290000}"/>
    <cellStyle name="Normal 12 9 3 2" xfId="23188" xr:uid="{00000000-0005-0000-0000-0000AF290000}"/>
    <cellStyle name="Normal 12 9 3 2 2" xfId="40056" xr:uid="{7AD386AA-E9D5-4A6E-A837-1AEB5D678C2A}"/>
    <cellStyle name="Normal 12 9 3 3" xfId="14753" xr:uid="{00000000-0005-0000-0000-0000B0290000}"/>
    <cellStyle name="Normal 12 9 3 4" xfId="31622" xr:uid="{C9236005-3A23-447B-BE44-AD03491FA13B}"/>
    <cellStyle name="Normal 12 9 4" xfId="18970" xr:uid="{00000000-0005-0000-0000-0000B1290000}"/>
    <cellStyle name="Normal 12 9 4 2" xfId="35839" xr:uid="{1E6F5F9E-67D4-4719-9319-755F8C207B06}"/>
    <cellStyle name="Normal 12 9 5" xfId="10535" xr:uid="{00000000-0005-0000-0000-0000B2290000}"/>
    <cellStyle name="Normal 12 9 6" xfId="27405" xr:uid="{4A1E4A48-CF50-48BB-A4CF-F76F8CC0DC0D}"/>
    <cellStyle name="Normal 13" xfId="268" xr:uid="{00000000-0005-0000-0000-0000B3290000}"/>
    <cellStyle name="Normal 13 2" xfId="269" xr:uid="{00000000-0005-0000-0000-0000B4290000}"/>
    <cellStyle name="Normal 14" xfId="270" xr:uid="{00000000-0005-0000-0000-0000B5290000}"/>
    <cellStyle name="Normal 14 10" xfId="25760" xr:uid="{CC0662EF-EB47-4723-8950-C30155850D99}"/>
    <cellStyle name="Normal 14 2" xfId="768" xr:uid="{00000000-0005-0000-0000-0000B6290000}"/>
    <cellStyle name="Normal 14 2 2" xfId="3009" xr:uid="{00000000-0005-0000-0000-0000B7290000}"/>
    <cellStyle name="Normal 14 2 2 2" xfId="7232" xr:uid="{00000000-0005-0000-0000-0000B8290000}"/>
    <cellStyle name="Normal 14 2 2 2 2" xfId="24102" xr:uid="{00000000-0005-0000-0000-0000B9290000}"/>
    <cellStyle name="Normal 14 2 2 2 2 2" xfId="40970" xr:uid="{02550913-14B6-459D-88A2-32A1DDBCCAD9}"/>
    <cellStyle name="Normal 14 2 2 2 3" xfId="15667" xr:uid="{00000000-0005-0000-0000-0000BA290000}"/>
    <cellStyle name="Normal 14 2 2 2 4" xfId="32536" xr:uid="{6814D6FE-F2FD-45B4-ABEC-54004A9BA48C}"/>
    <cellStyle name="Normal 14 2 2 3" xfId="19884" xr:uid="{00000000-0005-0000-0000-0000BB290000}"/>
    <cellStyle name="Normal 14 2 2 3 2" xfId="36753" xr:uid="{D7BAAAE9-BFC8-4C40-A5DA-EFCC83DE6293}"/>
    <cellStyle name="Normal 14 2 2 4" xfId="11449" xr:uid="{00000000-0005-0000-0000-0000BC290000}"/>
    <cellStyle name="Normal 14 2 2 5" xfId="28319" xr:uid="{AAEAA1F6-B0D6-4366-B015-AE2F5C948CE7}"/>
    <cellStyle name="Normal 14 2 3" xfId="5087" xr:uid="{00000000-0005-0000-0000-0000BD290000}"/>
    <cellStyle name="Normal 14 2 3 2" xfId="21957" xr:uid="{00000000-0005-0000-0000-0000BE290000}"/>
    <cellStyle name="Normal 14 2 3 2 2" xfId="38825" xr:uid="{8AC4E754-68CA-43C0-B158-1C84F17B5645}"/>
    <cellStyle name="Normal 14 2 3 3" xfId="13522" xr:uid="{00000000-0005-0000-0000-0000BF290000}"/>
    <cellStyle name="Normal 14 2 3 4" xfId="30391" xr:uid="{41791CB1-69F6-4DC0-A8AA-6C04E56B1151}"/>
    <cellStyle name="Normal 14 2 4" xfId="17739" xr:uid="{00000000-0005-0000-0000-0000C0290000}"/>
    <cellStyle name="Normal 14 2 4 2" xfId="34608" xr:uid="{460FF630-62BB-4853-B107-27B18F93DD02}"/>
    <cellStyle name="Normal 14 2 5" xfId="9304" xr:uid="{00000000-0005-0000-0000-0000C1290000}"/>
    <cellStyle name="Normal 14 2 6" xfId="26174" xr:uid="{19BE99B2-E30D-4807-B617-63163C9C6F2F}"/>
    <cellStyle name="Normal 14 3" xfId="1191" xr:uid="{00000000-0005-0000-0000-0000C2290000}"/>
    <cellStyle name="Normal 14 3 2" xfId="3422" xr:uid="{00000000-0005-0000-0000-0000C3290000}"/>
    <cellStyle name="Normal 14 3 2 2" xfId="7645" xr:uid="{00000000-0005-0000-0000-0000C4290000}"/>
    <cellStyle name="Normal 14 3 2 2 2" xfId="24515" xr:uid="{00000000-0005-0000-0000-0000C5290000}"/>
    <cellStyle name="Normal 14 3 2 2 2 2" xfId="41383" xr:uid="{E7EAD4D0-9518-4268-84D1-2B9191468472}"/>
    <cellStyle name="Normal 14 3 2 2 3" xfId="16080" xr:uid="{00000000-0005-0000-0000-0000C6290000}"/>
    <cellStyle name="Normal 14 3 2 2 4" xfId="32949" xr:uid="{B416EBAF-2393-4BA9-AC83-41A8AC62A63D}"/>
    <cellStyle name="Normal 14 3 2 3" xfId="20297" xr:uid="{00000000-0005-0000-0000-0000C7290000}"/>
    <cellStyle name="Normal 14 3 2 3 2" xfId="37166" xr:uid="{6CA5D4F5-5684-4DDA-81A4-16BA01BA1577}"/>
    <cellStyle name="Normal 14 3 2 4" xfId="11862" xr:uid="{00000000-0005-0000-0000-0000C8290000}"/>
    <cellStyle name="Normal 14 3 2 5" xfId="28732" xr:uid="{7AE86C01-A1D0-4584-BFAB-C82AB012CF9B}"/>
    <cellStyle name="Normal 14 3 3" xfId="5500" xr:uid="{00000000-0005-0000-0000-0000C9290000}"/>
    <cellStyle name="Normal 14 3 3 2" xfId="22370" xr:uid="{00000000-0005-0000-0000-0000CA290000}"/>
    <cellStyle name="Normal 14 3 3 2 2" xfId="39238" xr:uid="{FA5FACD9-9ADB-46F2-BFD5-DF45BAC85158}"/>
    <cellStyle name="Normal 14 3 3 3" xfId="13935" xr:uid="{00000000-0005-0000-0000-0000CB290000}"/>
    <cellStyle name="Normal 14 3 3 4" xfId="30804" xr:uid="{E2E05692-013F-479F-8546-A1DF8B15D2DF}"/>
    <cellStyle name="Normal 14 3 4" xfId="18152" xr:uid="{00000000-0005-0000-0000-0000CC290000}"/>
    <cellStyle name="Normal 14 3 4 2" xfId="35021" xr:uid="{B2E94F11-F4D8-4EDB-BD72-0DF508F99B7B}"/>
    <cellStyle name="Normal 14 3 5" xfId="9717" xr:uid="{00000000-0005-0000-0000-0000CD290000}"/>
    <cellStyle name="Normal 14 3 6" xfId="26587" xr:uid="{839C2516-72BD-445E-AA26-87863E537F34}"/>
    <cellStyle name="Normal 14 4" xfId="1605" xr:uid="{00000000-0005-0000-0000-0000CE290000}"/>
    <cellStyle name="Normal 14 4 2" xfId="3835" xr:uid="{00000000-0005-0000-0000-0000CF290000}"/>
    <cellStyle name="Normal 14 4 2 2" xfId="8058" xr:uid="{00000000-0005-0000-0000-0000D0290000}"/>
    <cellStyle name="Normal 14 4 2 2 2" xfId="24928" xr:uid="{00000000-0005-0000-0000-0000D1290000}"/>
    <cellStyle name="Normal 14 4 2 2 2 2" xfId="41796" xr:uid="{295524A8-FD2B-46D2-B660-2535286FCED2}"/>
    <cellStyle name="Normal 14 4 2 2 3" xfId="16493" xr:uid="{00000000-0005-0000-0000-0000D2290000}"/>
    <cellStyle name="Normal 14 4 2 2 4" xfId="33362" xr:uid="{87FA4FA4-8470-4E7F-9094-C77FF6DA8A32}"/>
    <cellStyle name="Normal 14 4 2 3" xfId="20710" xr:uid="{00000000-0005-0000-0000-0000D3290000}"/>
    <cellStyle name="Normal 14 4 2 3 2" xfId="37579" xr:uid="{685BDA5C-AEE0-4254-8A0C-FD3AB5A30944}"/>
    <cellStyle name="Normal 14 4 2 4" xfId="12275" xr:uid="{00000000-0005-0000-0000-0000D4290000}"/>
    <cellStyle name="Normal 14 4 2 5" xfId="29145" xr:uid="{2D1486D4-F812-4826-9A01-114B3381F0FF}"/>
    <cellStyle name="Normal 14 4 3" xfId="5913" xr:uid="{00000000-0005-0000-0000-0000D5290000}"/>
    <cellStyle name="Normal 14 4 3 2" xfId="22783" xr:uid="{00000000-0005-0000-0000-0000D6290000}"/>
    <cellStyle name="Normal 14 4 3 2 2" xfId="39651" xr:uid="{5F0411CE-5368-46C6-A140-15BE565CCD6F}"/>
    <cellStyle name="Normal 14 4 3 3" xfId="14348" xr:uid="{00000000-0005-0000-0000-0000D7290000}"/>
    <cellStyle name="Normal 14 4 3 4" xfId="31217" xr:uid="{1E94AC1D-7251-482E-AE8E-7DDC1492DED3}"/>
    <cellStyle name="Normal 14 4 4" xfId="18565" xr:uid="{00000000-0005-0000-0000-0000D8290000}"/>
    <cellStyle name="Normal 14 4 4 2" xfId="35434" xr:uid="{45E2867F-F19F-4560-992D-167286A8A7D6}"/>
    <cellStyle name="Normal 14 4 5" xfId="10130" xr:uid="{00000000-0005-0000-0000-0000D9290000}"/>
    <cellStyle name="Normal 14 4 6" xfId="27000" xr:uid="{9039C1E5-3F31-465B-9A41-20CFD18D36B5}"/>
    <cellStyle name="Normal 14 5" xfId="2019" xr:uid="{00000000-0005-0000-0000-0000DA290000}"/>
    <cellStyle name="Normal 14 5 2" xfId="4248" xr:uid="{00000000-0005-0000-0000-0000DB290000}"/>
    <cellStyle name="Normal 14 5 2 2" xfId="8471" xr:uid="{00000000-0005-0000-0000-0000DC290000}"/>
    <cellStyle name="Normal 14 5 2 2 2" xfId="25341" xr:uid="{00000000-0005-0000-0000-0000DD290000}"/>
    <cellStyle name="Normal 14 5 2 2 2 2" xfId="42209" xr:uid="{682B4381-239A-452F-9F44-A9BD79DA0930}"/>
    <cellStyle name="Normal 14 5 2 2 3" xfId="16906" xr:uid="{00000000-0005-0000-0000-0000DE290000}"/>
    <cellStyle name="Normal 14 5 2 2 4" xfId="33775" xr:uid="{D229A3E9-C883-494E-8C22-C2AF9336DE1D}"/>
    <cellStyle name="Normal 14 5 2 3" xfId="21123" xr:uid="{00000000-0005-0000-0000-0000DF290000}"/>
    <cellStyle name="Normal 14 5 2 3 2" xfId="37992" xr:uid="{91BA9271-0E27-41E4-BC0C-397469BC484A}"/>
    <cellStyle name="Normal 14 5 2 4" xfId="12688" xr:uid="{00000000-0005-0000-0000-0000E0290000}"/>
    <cellStyle name="Normal 14 5 2 5" xfId="29558" xr:uid="{5B555533-C4E4-4BD4-BED8-423654BE338D}"/>
    <cellStyle name="Normal 14 5 3" xfId="6326" xr:uid="{00000000-0005-0000-0000-0000E1290000}"/>
    <cellStyle name="Normal 14 5 3 2" xfId="23196" xr:uid="{00000000-0005-0000-0000-0000E2290000}"/>
    <cellStyle name="Normal 14 5 3 2 2" xfId="40064" xr:uid="{F20AA725-8C67-4742-88EF-DC3C0B8E3E0F}"/>
    <cellStyle name="Normal 14 5 3 3" xfId="14761" xr:uid="{00000000-0005-0000-0000-0000E3290000}"/>
    <cellStyle name="Normal 14 5 3 4" xfId="31630" xr:uid="{BE555BBD-7A97-40EB-BE6D-41EC4297AE05}"/>
    <cellStyle name="Normal 14 5 4" xfId="18978" xr:uid="{00000000-0005-0000-0000-0000E4290000}"/>
    <cellStyle name="Normal 14 5 4 2" xfId="35847" xr:uid="{549BB9C7-1800-451F-A593-BA3065AD10B7}"/>
    <cellStyle name="Normal 14 5 5" xfId="10543" xr:uid="{00000000-0005-0000-0000-0000E5290000}"/>
    <cellStyle name="Normal 14 5 6" xfId="27413" xr:uid="{165DD30E-4505-4485-8181-4B4EE5514E2F}"/>
    <cellStyle name="Normal 14 6" xfId="2455" xr:uid="{00000000-0005-0000-0000-0000E6290000}"/>
    <cellStyle name="Normal 14 6 2" xfId="6739" xr:uid="{00000000-0005-0000-0000-0000E7290000}"/>
    <cellStyle name="Normal 14 6 2 2" xfId="23609" xr:uid="{00000000-0005-0000-0000-0000E8290000}"/>
    <cellStyle name="Normal 14 6 2 2 2" xfId="40477" xr:uid="{0085DEDA-51B3-4570-ACEC-D21B9CC403B9}"/>
    <cellStyle name="Normal 14 6 2 3" xfId="15174" xr:uid="{00000000-0005-0000-0000-0000E9290000}"/>
    <cellStyle name="Normal 14 6 2 4" xfId="32043" xr:uid="{E15C91AB-A108-41DC-975B-634B92CCE1BD}"/>
    <cellStyle name="Normal 14 6 3" xfId="19391" xr:uid="{00000000-0005-0000-0000-0000EA290000}"/>
    <cellStyle name="Normal 14 6 3 2" xfId="36260" xr:uid="{1AAECD10-694F-48A1-91CD-7278071DDA70}"/>
    <cellStyle name="Normal 14 6 4" xfId="10956" xr:uid="{00000000-0005-0000-0000-0000EB290000}"/>
    <cellStyle name="Normal 14 6 5" xfId="27826" xr:uid="{3CE5C1CE-CD8B-4876-B710-6EEAA78875F0}"/>
    <cellStyle name="Normal 14 7" xfId="4673" xr:uid="{00000000-0005-0000-0000-0000EC290000}"/>
    <cellStyle name="Normal 14 7 2" xfId="21543" xr:uid="{00000000-0005-0000-0000-0000ED290000}"/>
    <cellStyle name="Normal 14 7 2 2" xfId="38411" xr:uid="{4960C38B-A753-40E5-81A3-24A30204DFF1}"/>
    <cellStyle name="Normal 14 7 3" xfId="13108" xr:uid="{00000000-0005-0000-0000-0000EE290000}"/>
    <cellStyle name="Normal 14 7 4" xfId="29977" xr:uid="{E40845B9-24CD-4181-B20D-681B4C99E14B}"/>
    <cellStyle name="Normal 14 8" xfId="17325" xr:uid="{00000000-0005-0000-0000-0000EF290000}"/>
    <cellStyle name="Normal 14 8 2" xfId="34194" xr:uid="{27D0BFD1-0E57-4B2A-9A42-F34AB3B9AE6B}"/>
    <cellStyle name="Normal 14 9" xfId="8890" xr:uid="{00000000-0005-0000-0000-0000F0290000}"/>
    <cellStyle name="Normal 15" xfId="4496" xr:uid="{00000000-0005-0000-0000-0000F1290000}"/>
    <cellStyle name="Normal 15 2" xfId="21369" xr:uid="{00000000-0005-0000-0000-0000F2290000}"/>
    <cellStyle name="Normal 15 2 2" xfId="38237" xr:uid="{CC280298-6561-47A8-9D17-9B577C1A6FEF}"/>
    <cellStyle name="Normal 15 3" xfId="12934" xr:uid="{00000000-0005-0000-0000-0000F3290000}"/>
    <cellStyle name="Normal 15 4" xfId="25586" xr:uid="{00000000-0005-0000-0000-0000F4290000}"/>
    <cellStyle name="Normal 15 5" xfId="25589" xr:uid="{00000000-0005-0000-0000-0000F5290000}"/>
    <cellStyle name="Normal 15 6" xfId="29803" xr:uid="{D4B4EC1A-0974-4F6D-AD47-3C72AE084E30}"/>
    <cellStyle name="Normal 16" xfId="4500" xr:uid="{00000000-0005-0000-0000-0000F6290000}"/>
    <cellStyle name="Normal 16 2" xfId="8716" xr:uid="{00000000-0005-0000-0000-0000F7290000}"/>
    <cellStyle name="Normal 16 2 2" xfId="17151" xr:uid="{00000000-0005-0000-0000-0000F8290000}"/>
    <cellStyle name="Normal 16 2 3" xfId="34020" xr:uid="{0220B01F-2AE4-48C4-BACE-5276E8084CF3}"/>
    <cellStyle name="Normal 16 3" xfId="8719" xr:uid="{00000000-0005-0000-0000-0000F9290000}"/>
    <cellStyle name="Normal 16 3 2" xfId="17154" xr:uid="{00000000-0005-0000-0000-0000FA290000}"/>
    <cellStyle name="Normal 16 3 3" xfId="34023" xr:uid="{14240608-621C-4E0E-9863-E08E8C617E63}"/>
    <cellStyle name="Normal 16 4" xfId="21372" xr:uid="{00000000-0005-0000-0000-0000FB290000}"/>
    <cellStyle name="Normal 16 4 2" xfId="38240" xr:uid="{F0DFC3BC-9E48-47FE-B0EB-1A76FDF7A140}"/>
    <cellStyle name="Normal 16 5" xfId="12937" xr:uid="{00000000-0005-0000-0000-0000FC290000}"/>
    <cellStyle name="Normal 16 6" xfId="29806" xr:uid="{543AA6B7-FFBE-430E-B7B0-3B15A5C90F3F}"/>
    <cellStyle name="Normal 2" xfId="271" xr:uid="{00000000-0005-0000-0000-0000FD290000}"/>
    <cellStyle name="Normal 2 2" xfId="272" xr:uid="{00000000-0005-0000-0000-0000FE290000}"/>
    <cellStyle name="Normal 2 2 2" xfId="273" xr:uid="{00000000-0005-0000-0000-0000FF290000}"/>
    <cellStyle name="Normal 2 2 2 2" xfId="274" xr:uid="{00000000-0005-0000-0000-0000002A0000}"/>
    <cellStyle name="Normal 2 2 2 3" xfId="275" xr:uid="{00000000-0005-0000-0000-0000012A0000}"/>
    <cellStyle name="Normal 2 2 2 4" xfId="1192" xr:uid="{00000000-0005-0000-0000-0000022A0000}"/>
    <cellStyle name="Normal 2 2 3" xfId="770" xr:uid="{00000000-0005-0000-0000-0000032A0000}"/>
    <cellStyle name="Normal 2 3" xfId="276" xr:uid="{00000000-0005-0000-0000-0000042A0000}"/>
    <cellStyle name="Normal 2 3 2" xfId="277" xr:uid="{00000000-0005-0000-0000-0000052A0000}"/>
    <cellStyle name="Normal 2 4" xfId="278" xr:uid="{00000000-0005-0000-0000-0000062A0000}"/>
    <cellStyle name="Normal 2 4 2" xfId="279" xr:uid="{00000000-0005-0000-0000-0000072A0000}"/>
    <cellStyle name="Normal 2 4 2 10" xfId="2020" xr:uid="{00000000-0005-0000-0000-0000082A0000}"/>
    <cellStyle name="Normal 2 4 2 10 2" xfId="4249" xr:uid="{00000000-0005-0000-0000-0000092A0000}"/>
    <cellStyle name="Normal 2 4 2 10 2 2" xfId="8472" xr:uid="{00000000-0005-0000-0000-00000A2A0000}"/>
    <cellStyle name="Normal 2 4 2 10 2 2 2" xfId="25342" xr:uid="{00000000-0005-0000-0000-00000B2A0000}"/>
    <cellStyle name="Normal 2 4 2 10 2 2 2 2" xfId="42210" xr:uid="{74F620FB-3656-4238-9263-5A4252E9E1AD}"/>
    <cellStyle name="Normal 2 4 2 10 2 2 3" xfId="16907" xr:uid="{00000000-0005-0000-0000-00000C2A0000}"/>
    <cellStyle name="Normal 2 4 2 10 2 2 4" xfId="33776" xr:uid="{CAEB43D0-4F08-4249-821C-40AD8C966F4A}"/>
    <cellStyle name="Normal 2 4 2 10 2 3" xfId="21124" xr:uid="{00000000-0005-0000-0000-00000D2A0000}"/>
    <cellStyle name="Normal 2 4 2 10 2 3 2" xfId="37993" xr:uid="{10AD2D58-78E2-4099-8FC4-27E906E98857}"/>
    <cellStyle name="Normal 2 4 2 10 2 4" xfId="12689" xr:uid="{00000000-0005-0000-0000-00000E2A0000}"/>
    <cellStyle name="Normal 2 4 2 10 2 5" xfId="29559" xr:uid="{9A9A670F-22CA-45C4-8E92-9A41DB66F81D}"/>
    <cellStyle name="Normal 2 4 2 10 3" xfId="6327" xr:uid="{00000000-0005-0000-0000-00000F2A0000}"/>
    <cellStyle name="Normal 2 4 2 10 3 2" xfId="23197" xr:uid="{00000000-0005-0000-0000-0000102A0000}"/>
    <cellStyle name="Normal 2 4 2 10 3 2 2" xfId="40065" xr:uid="{CF1B6391-2387-4200-B634-1575D033BAC0}"/>
    <cellStyle name="Normal 2 4 2 10 3 3" xfId="14762" xr:uid="{00000000-0005-0000-0000-0000112A0000}"/>
    <cellStyle name="Normal 2 4 2 10 3 4" xfId="31631" xr:uid="{64E267FF-5580-4081-97F3-6041B1899F3C}"/>
    <cellStyle name="Normal 2 4 2 10 4" xfId="18979" xr:uid="{00000000-0005-0000-0000-0000122A0000}"/>
    <cellStyle name="Normal 2 4 2 10 4 2" xfId="35848" xr:uid="{2BC0684D-E903-44F6-B429-0E6A533A79CD}"/>
    <cellStyle name="Normal 2 4 2 10 5" xfId="10544" xr:uid="{00000000-0005-0000-0000-0000132A0000}"/>
    <cellStyle name="Normal 2 4 2 10 6" xfId="27414" xr:uid="{7F02D736-56CE-45D6-99CF-552103D978CD}"/>
    <cellStyle name="Normal 2 4 2 11" xfId="2456" xr:uid="{00000000-0005-0000-0000-0000142A0000}"/>
    <cellStyle name="Normal 2 4 2 11 2" xfId="6740" xr:uid="{00000000-0005-0000-0000-0000152A0000}"/>
    <cellStyle name="Normal 2 4 2 11 2 2" xfId="23610" xr:uid="{00000000-0005-0000-0000-0000162A0000}"/>
    <cellStyle name="Normal 2 4 2 11 2 2 2" xfId="40478" xr:uid="{85C35CF1-9AAF-4802-A65E-E7F617B8ABA5}"/>
    <cellStyle name="Normal 2 4 2 11 2 3" xfId="15175" xr:uid="{00000000-0005-0000-0000-0000172A0000}"/>
    <cellStyle name="Normal 2 4 2 11 2 4" xfId="32044" xr:uid="{A6F7B60B-4176-4F7E-9821-66B4E1BA5AAE}"/>
    <cellStyle name="Normal 2 4 2 11 3" xfId="19392" xr:uid="{00000000-0005-0000-0000-0000182A0000}"/>
    <cellStyle name="Normal 2 4 2 11 3 2" xfId="36261" xr:uid="{5BF91326-71DF-4C53-8AC0-281ADF889752}"/>
    <cellStyle name="Normal 2 4 2 11 4" xfId="10957" xr:uid="{00000000-0005-0000-0000-0000192A0000}"/>
    <cellStyle name="Normal 2 4 2 11 5" xfId="27827" xr:uid="{CC8CB74C-E02A-4A48-AC58-066312964B6B}"/>
    <cellStyle name="Normal 2 4 2 12" xfId="4674" xr:uid="{00000000-0005-0000-0000-00001A2A0000}"/>
    <cellStyle name="Normal 2 4 2 12 2" xfId="21544" xr:uid="{00000000-0005-0000-0000-00001B2A0000}"/>
    <cellStyle name="Normal 2 4 2 12 2 2" xfId="38412" xr:uid="{C72C9FF7-B0D5-4F75-8BEC-134AF1310BE7}"/>
    <cellStyle name="Normal 2 4 2 12 3" xfId="13109" xr:uid="{00000000-0005-0000-0000-00001C2A0000}"/>
    <cellStyle name="Normal 2 4 2 12 4" xfId="29978" xr:uid="{88810EAC-E661-479D-A646-B48A44B2A514}"/>
    <cellStyle name="Normal 2 4 2 13" xfId="17326" xr:uid="{00000000-0005-0000-0000-00001D2A0000}"/>
    <cellStyle name="Normal 2 4 2 13 2" xfId="34195" xr:uid="{5EAFB29E-5043-4491-902D-489AC2893893}"/>
    <cellStyle name="Normal 2 4 2 14" xfId="8891" xr:uid="{00000000-0005-0000-0000-00001E2A0000}"/>
    <cellStyle name="Normal 2 4 2 15" xfId="25761" xr:uid="{B72C3096-0AD1-4408-968A-DE6DB026296C}"/>
    <cellStyle name="Normal 2 4 2 2" xfId="280" xr:uid="{00000000-0005-0000-0000-00001F2A0000}"/>
    <cellStyle name="Normal 2 4 2 3" xfId="281" xr:uid="{00000000-0005-0000-0000-0000202A0000}"/>
    <cellStyle name="Normal 2 4 2 3 10" xfId="4675" xr:uid="{00000000-0005-0000-0000-0000212A0000}"/>
    <cellStyle name="Normal 2 4 2 3 10 2" xfId="21545" xr:uid="{00000000-0005-0000-0000-0000222A0000}"/>
    <cellStyle name="Normal 2 4 2 3 10 2 2" xfId="38413" xr:uid="{70DE2535-CAB0-4257-B9DB-3F1B43F78A75}"/>
    <cellStyle name="Normal 2 4 2 3 10 3" xfId="13110" xr:uid="{00000000-0005-0000-0000-0000232A0000}"/>
    <cellStyle name="Normal 2 4 2 3 10 4" xfId="29979" xr:uid="{4100D9E1-DDCB-4A43-A37E-4E4CBD9BD619}"/>
    <cellStyle name="Normal 2 4 2 3 11" xfId="17327" xr:uid="{00000000-0005-0000-0000-0000242A0000}"/>
    <cellStyle name="Normal 2 4 2 3 11 2" xfId="34196" xr:uid="{7C5D48C8-8AE5-4C2D-964A-1E13EE88C6E5}"/>
    <cellStyle name="Normal 2 4 2 3 12" xfId="8892" xr:uid="{00000000-0005-0000-0000-0000252A0000}"/>
    <cellStyle name="Normal 2 4 2 3 13" xfId="25762" xr:uid="{7591F5D2-A06F-45BF-A674-E77D718BAB88}"/>
    <cellStyle name="Normal 2 4 2 3 2" xfId="282" xr:uid="{00000000-0005-0000-0000-0000262A0000}"/>
    <cellStyle name="Normal 2 4 2 3 2 10" xfId="17328" xr:uid="{00000000-0005-0000-0000-0000272A0000}"/>
    <cellStyle name="Normal 2 4 2 3 2 10 2" xfId="34197" xr:uid="{002D4023-7974-4DD5-991A-B3FD89BD59B1}"/>
    <cellStyle name="Normal 2 4 2 3 2 11" xfId="8893" xr:uid="{00000000-0005-0000-0000-0000282A0000}"/>
    <cellStyle name="Normal 2 4 2 3 2 12" xfId="25763" xr:uid="{99819C6A-94C9-4734-9F8E-6EA6C79A42C3}"/>
    <cellStyle name="Normal 2 4 2 3 2 2" xfId="283" xr:uid="{00000000-0005-0000-0000-0000292A0000}"/>
    <cellStyle name="Normal 2 4 2 3 2 2 10" xfId="8894" xr:uid="{00000000-0005-0000-0000-00002A2A0000}"/>
    <cellStyle name="Normal 2 4 2 3 2 2 11" xfId="25764" xr:uid="{1C8AA3FB-9FFC-4ECF-8B31-D1B39CB54091}"/>
    <cellStyle name="Normal 2 4 2 3 2 2 2" xfId="284" xr:uid="{00000000-0005-0000-0000-00002B2A0000}"/>
    <cellStyle name="Normal 2 4 2 3 2 2 2 10" xfId="25765" xr:uid="{823438D2-70D2-48FF-A5B9-071083A85822}"/>
    <cellStyle name="Normal 2 4 2 3 2 2 2 2" xfId="775" xr:uid="{00000000-0005-0000-0000-00002C2A0000}"/>
    <cellStyle name="Normal 2 4 2 3 2 2 2 2 2" xfId="3014" xr:uid="{00000000-0005-0000-0000-00002D2A0000}"/>
    <cellStyle name="Normal 2 4 2 3 2 2 2 2 2 2" xfId="7237" xr:uid="{00000000-0005-0000-0000-00002E2A0000}"/>
    <cellStyle name="Normal 2 4 2 3 2 2 2 2 2 2 2" xfId="24107" xr:uid="{00000000-0005-0000-0000-00002F2A0000}"/>
    <cellStyle name="Normal 2 4 2 3 2 2 2 2 2 2 2 2" xfId="40975" xr:uid="{89EF7809-702A-4CAC-B2ED-DD587664CEE8}"/>
    <cellStyle name="Normal 2 4 2 3 2 2 2 2 2 2 3" xfId="15672" xr:uid="{00000000-0005-0000-0000-0000302A0000}"/>
    <cellStyle name="Normal 2 4 2 3 2 2 2 2 2 2 4" xfId="32541" xr:uid="{E600784C-0071-4941-AC02-062E72B9F046}"/>
    <cellStyle name="Normal 2 4 2 3 2 2 2 2 2 3" xfId="19889" xr:uid="{00000000-0005-0000-0000-0000312A0000}"/>
    <cellStyle name="Normal 2 4 2 3 2 2 2 2 2 3 2" xfId="36758" xr:uid="{6887680B-A7B5-4369-93BF-B7D05C8EF61E}"/>
    <cellStyle name="Normal 2 4 2 3 2 2 2 2 2 4" xfId="11454" xr:uid="{00000000-0005-0000-0000-0000322A0000}"/>
    <cellStyle name="Normal 2 4 2 3 2 2 2 2 2 5" xfId="28324" xr:uid="{72612D36-A974-4DA6-BC54-DEC6107F1975}"/>
    <cellStyle name="Normal 2 4 2 3 2 2 2 2 3" xfId="5092" xr:uid="{00000000-0005-0000-0000-0000332A0000}"/>
    <cellStyle name="Normal 2 4 2 3 2 2 2 2 3 2" xfId="21962" xr:uid="{00000000-0005-0000-0000-0000342A0000}"/>
    <cellStyle name="Normal 2 4 2 3 2 2 2 2 3 2 2" xfId="38830" xr:uid="{13FB7238-AB53-4314-AADD-BE153261EA1D}"/>
    <cellStyle name="Normal 2 4 2 3 2 2 2 2 3 3" xfId="13527" xr:uid="{00000000-0005-0000-0000-0000352A0000}"/>
    <cellStyle name="Normal 2 4 2 3 2 2 2 2 3 4" xfId="30396" xr:uid="{D6C35F1F-124D-4911-80EB-770B8973952E}"/>
    <cellStyle name="Normal 2 4 2 3 2 2 2 2 4" xfId="17744" xr:uid="{00000000-0005-0000-0000-0000362A0000}"/>
    <cellStyle name="Normal 2 4 2 3 2 2 2 2 4 2" xfId="34613" xr:uid="{EBD7F51E-8806-49F5-A696-C56C8A2A4DB1}"/>
    <cellStyle name="Normal 2 4 2 3 2 2 2 2 5" xfId="9309" xr:uid="{00000000-0005-0000-0000-0000372A0000}"/>
    <cellStyle name="Normal 2 4 2 3 2 2 2 2 6" xfId="26179" xr:uid="{18ADCA8A-86A4-4040-8C47-33077E0AB8CE}"/>
    <cellStyle name="Normal 2 4 2 3 2 2 2 3" xfId="1197" xr:uid="{00000000-0005-0000-0000-0000382A0000}"/>
    <cellStyle name="Normal 2 4 2 3 2 2 2 3 2" xfId="3427" xr:uid="{00000000-0005-0000-0000-0000392A0000}"/>
    <cellStyle name="Normal 2 4 2 3 2 2 2 3 2 2" xfId="7650" xr:uid="{00000000-0005-0000-0000-00003A2A0000}"/>
    <cellStyle name="Normal 2 4 2 3 2 2 2 3 2 2 2" xfId="24520" xr:uid="{00000000-0005-0000-0000-00003B2A0000}"/>
    <cellStyle name="Normal 2 4 2 3 2 2 2 3 2 2 2 2" xfId="41388" xr:uid="{C7EBE67E-0404-4640-9943-3134645EE980}"/>
    <cellStyle name="Normal 2 4 2 3 2 2 2 3 2 2 3" xfId="16085" xr:uid="{00000000-0005-0000-0000-00003C2A0000}"/>
    <cellStyle name="Normal 2 4 2 3 2 2 2 3 2 2 4" xfId="32954" xr:uid="{5AAD244C-029A-4C58-B993-AE637F5AEA74}"/>
    <cellStyle name="Normal 2 4 2 3 2 2 2 3 2 3" xfId="20302" xr:uid="{00000000-0005-0000-0000-00003D2A0000}"/>
    <cellStyle name="Normal 2 4 2 3 2 2 2 3 2 3 2" xfId="37171" xr:uid="{C9BDB363-C890-4CF6-9B1C-9290CD48BD71}"/>
    <cellStyle name="Normal 2 4 2 3 2 2 2 3 2 4" xfId="11867" xr:uid="{00000000-0005-0000-0000-00003E2A0000}"/>
    <cellStyle name="Normal 2 4 2 3 2 2 2 3 2 5" xfId="28737" xr:uid="{AB4C740B-C59E-4F6F-81C9-910AEAF49690}"/>
    <cellStyle name="Normal 2 4 2 3 2 2 2 3 3" xfId="5505" xr:uid="{00000000-0005-0000-0000-00003F2A0000}"/>
    <cellStyle name="Normal 2 4 2 3 2 2 2 3 3 2" xfId="22375" xr:uid="{00000000-0005-0000-0000-0000402A0000}"/>
    <cellStyle name="Normal 2 4 2 3 2 2 2 3 3 2 2" xfId="39243" xr:uid="{AB05F1C3-2506-4B0C-BCCE-DC7C0D646CC4}"/>
    <cellStyle name="Normal 2 4 2 3 2 2 2 3 3 3" xfId="13940" xr:uid="{00000000-0005-0000-0000-0000412A0000}"/>
    <cellStyle name="Normal 2 4 2 3 2 2 2 3 3 4" xfId="30809" xr:uid="{CDEEB13F-D49B-4E3F-A019-84D85E8469B4}"/>
    <cellStyle name="Normal 2 4 2 3 2 2 2 3 4" xfId="18157" xr:uid="{00000000-0005-0000-0000-0000422A0000}"/>
    <cellStyle name="Normal 2 4 2 3 2 2 2 3 4 2" xfId="35026" xr:uid="{A9585C7C-D704-4738-BAA2-1814671D57AF}"/>
    <cellStyle name="Normal 2 4 2 3 2 2 2 3 5" xfId="9722" xr:uid="{00000000-0005-0000-0000-0000432A0000}"/>
    <cellStyle name="Normal 2 4 2 3 2 2 2 3 6" xfId="26592" xr:uid="{DC930D57-11A4-4E88-ABA6-DAAE9D88E8BB}"/>
    <cellStyle name="Normal 2 4 2 3 2 2 2 4" xfId="1610" xr:uid="{00000000-0005-0000-0000-0000442A0000}"/>
    <cellStyle name="Normal 2 4 2 3 2 2 2 4 2" xfId="3840" xr:uid="{00000000-0005-0000-0000-0000452A0000}"/>
    <cellStyle name="Normal 2 4 2 3 2 2 2 4 2 2" xfId="8063" xr:uid="{00000000-0005-0000-0000-0000462A0000}"/>
    <cellStyle name="Normal 2 4 2 3 2 2 2 4 2 2 2" xfId="24933" xr:uid="{00000000-0005-0000-0000-0000472A0000}"/>
    <cellStyle name="Normal 2 4 2 3 2 2 2 4 2 2 2 2" xfId="41801" xr:uid="{A8E47BB2-7B18-40D9-8FCA-B4A3656C6AE1}"/>
    <cellStyle name="Normal 2 4 2 3 2 2 2 4 2 2 3" xfId="16498" xr:uid="{00000000-0005-0000-0000-0000482A0000}"/>
    <cellStyle name="Normal 2 4 2 3 2 2 2 4 2 2 4" xfId="33367" xr:uid="{6E4B2B06-E48B-4306-9535-065DD0A2CE2F}"/>
    <cellStyle name="Normal 2 4 2 3 2 2 2 4 2 3" xfId="20715" xr:uid="{00000000-0005-0000-0000-0000492A0000}"/>
    <cellStyle name="Normal 2 4 2 3 2 2 2 4 2 3 2" xfId="37584" xr:uid="{9789707A-99D9-4176-AF34-188D84FA696A}"/>
    <cellStyle name="Normal 2 4 2 3 2 2 2 4 2 4" xfId="12280" xr:uid="{00000000-0005-0000-0000-00004A2A0000}"/>
    <cellStyle name="Normal 2 4 2 3 2 2 2 4 2 5" xfId="29150" xr:uid="{584CD38A-1CCD-44B3-92F9-3C8F4445D67C}"/>
    <cellStyle name="Normal 2 4 2 3 2 2 2 4 3" xfId="5918" xr:uid="{00000000-0005-0000-0000-00004B2A0000}"/>
    <cellStyle name="Normal 2 4 2 3 2 2 2 4 3 2" xfId="22788" xr:uid="{00000000-0005-0000-0000-00004C2A0000}"/>
    <cellStyle name="Normal 2 4 2 3 2 2 2 4 3 2 2" xfId="39656" xr:uid="{02C2F96D-66C1-4453-A2B6-261528C02B16}"/>
    <cellStyle name="Normal 2 4 2 3 2 2 2 4 3 3" xfId="14353" xr:uid="{00000000-0005-0000-0000-00004D2A0000}"/>
    <cellStyle name="Normal 2 4 2 3 2 2 2 4 3 4" xfId="31222" xr:uid="{CF4D54F0-12EA-45B5-8BCB-9B389F40ADE0}"/>
    <cellStyle name="Normal 2 4 2 3 2 2 2 4 4" xfId="18570" xr:uid="{00000000-0005-0000-0000-00004E2A0000}"/>
    <cellStyle name="Normal 2 4 2 3 2 2 2 4 4 2" xfId="35439" xr:uid="{8D062F48-C7AE-4552-9F67-93617DBE25F2}"/>
    <cellStyle name="Normal 2 4 2 3 2 2 2 4 5" xfId="10135" xr:uid="{00000000-0005-0000-0000-00004F2A0000}"/>
    <cellStyle name="Normal 2 4 2 3 2 2 2 4 6" xfId="27005" xr:uid="{1558FAD9-2FCE-4F53-AF34-E3776D02CD3B}"/>
    <cellStyle name="Normal 2 4 2 3 2 2 2 5" xfId="2024" xr:uid="{00000000-0005-0000-0000-0000502A0000}"/>
    <cellStyle name="Normal 2 4 2 3 2 2 2 5 2" xfId="4253" xr:uid="{00000000-0005-0000-0000-0000512A0000}"/>
    <cellStyle name="Normal 2 4 2 3 2 2 2 5 2 2" xfId="8476" xr:uid="{00000000-0005-0000-0000-0000522A0000}"/>
    <cellStyle name="Normal 2 4 2 3 2 2 2 5 2 2 2" xfId="25346" xr:uid="{00000000-0005-0000-0000-0000532A0000}"/>
    <cellStyle name="Normal 2 4 2 3 2 2 2 5 2 2 2 2" xfId="42214" xr:uid="{1054ADA1-E5AD-4010-B7C5-BC19ABD32EF5}"/>
    <cellStyle name="Normal 2 4 2 3 2 2 2 5 2 2 3" xfId="16911" xr:uid="{00000000-0005-0000-0000-0000542A0000}"/>
    <cellStyle name="Normal 2 4 2 3 2 2 2 5 2 2 4" xfId="33780" xr:uid="{61CF9CFB-9CEE-48FF-930E-D563FA2BFF2E}"/>
    <cellStyle name="Normal 2 4 2 3 2 2 2 5 2 3" xfId="21128" xr:uid="{00000000-0005-0000-0000-0000552A0000}"/>
    <cellStyle name="Normal 2 4 2 3 2 2 2 5 2 3 2" xfId="37997" xr:uid="{43564190-1B32-43E0-B721-D46FAADE9308}"/>
    <cellStyle name="Normal 2 4 2 3 2 2 2 5 2 4" xfId="12693" xr:uid="{00000000-0005-0000-0000-0000562A0000}"/>
    <cellStyle name="Normal 2 4 2 3 2 2 2 5 2 5" xfId="29563" xr:uid="{F8AD7AD5-5D46-46C9-93A5-766C4658C9F8}"/>
    <cellStyle name="Normal 2 4 2 3 2 2 2 5 3" xfId="6331" xr:uid="{00000000-0005-0000-0000-0000572A0000}"/>
    <cellStyle name="Normal 2 4 2 3 2 2 2 5 3 2" xfId="23201" xr:uid="{00000000-0005-0000-0000-0000582A0000}"/>
    <cellStyle name="Normal 2 4 2 3 2 2 2 5 3 2 2" xfId="40069" xr:uid="{281CC7BB-253B-4F57-B6DA-CA5379AA2FA3}"/>
    <cellStyle name="Normal 2 4 2 3 2 2 2 5 3 3" xfId="14766" xr:uid="{00000000-0005-0000-0000-0000592A0000}"/>
    <cellStyle name="Normal 2 4 2 3 2 2 2 5 3 4" xfId="31635" xr:uid="{82AEF822-CE80-45FF-A853-F29F749AE0A9}"/>
    <cellStyle name="Normal 2 4 2 3 2 2 2 5 4" xfId="18983" xr:uid="{00000000-0005-0000-0000-00005A2A0000}"/>
    <cellStyle name="Normal 2 4 2 3 2 2 2 5 4 2" xfId="35852" xr:uid="{747892AC-6EBE-4002-85F2-E8E301F479D1}"/>
    <cellStyle name="Normal 2 4 2 3 2 2 2 5 5" xfId="10548" xr:uid="{00000000-0005-0000-0000-00005B2A0000}"/>
    <cellStyle name="Normal 2 4 2 3 2 2 2 5 6" xfId="27418" xr:uid="{042A9B68-3643-4F2E-8037-CB842DDADEB6}"/>
    <cellStyle name="Normal 2 4 2 3 2 2 2 6" xfId="2460" xr:uid="{00000000-0005-0000-0000-00005C2A0000}"/>
    <cellStyle name="Normal 2 4 2 3 2 2 2 6 2" xfId="6744" xr:uid="{00000000-0005-0000-0000-00005D2A0000}"/>
    <cellStyle name="Normal 2 4 2 3 2 2 2 6 2 2" xfId="23614" xr:uid="{00000000-0005-0000-0000-00005E2A0000}"/>
    <cellStyle name="Normal 2 4 2 3 2 2 2 6 2 2 2" xfId="40482" xr:uid="{133244AA-E109-4341-BDDA-075409E5CE51}"/>
    <cellStyle name="Normal 2 4 2 3 2 2 2 6 2 3" xfId="15179" xr:uid="{00000000-0005-0000-0000-00005F2A0000}"/>
    <cellStyle name="Normal 2 4 2 3 2 2 2 6 2 4" xfId="32048" xr:uid="{5161853E-4E95-4F69-8260-02C1E61585D8}"/>
    <cellStyle name="Normal 2 4 2 3 2 2 2 6 3" xfId="19396" xr:uid="{00000000-0005-0000-0000-0000602A0000}"/>
    <cellStyle name="Normal 2 4 2 3 2 2 2 6 3 2" xfId="36265" xr:uid="{B4B00B9E-5257-4C01-A4C4-BB52B6A0A133}"/>
    <cellStyle name="Normal 2 4 2 3 2 2 2 6 4" xfId="10961" xr:uid="{00000000-0005-0000-0000-0000612A0000}"/>
    <cellStyle name="Normal 2 4 2 3 2 2 2 6 5" xfId="27831" xr:uid="{8F21CED1-7962-4E70-8584-BFF369375A98}"/>
    <cellStyle name="Normal 2 4 2 3 2 2 2 7" xfId="4678" xr:uid="{00000000-0005-0000-0000-0000622A0000}"/>
    <cellStyle name="Normal 2 4 2 3 2 2 2 7 2" xfId="21548" xr:uid="{00000000-0005-0000-0000-0000632A0000}"/>
    <cellStyle name="Normal 2 4 2 3 2 2 2 7 2 2" xfId="38416" xr:uid="{590F0CC9-9BFE-436B-A0CE-6D01E56AB4A4}"/>
    <cellStyle name="Normal 2 4 2 3 2 2 2 7 3" xfId="13113" xr:uid="{00000000-0005-0000-0000-0000642A0000}"/>
    <cellStyle name="Normal 2 4 2 3 2 2 2 7 4" xfId="29982" xr:uid="{140F1961-6557-4E80-9F23-478C1CC31414}"/>
    <cellStyle name="Normal 2 4 2 3 2 2 2 8" xfId="17330" xr:uid="{00000000-0005-0000-0000-0000652A0000}"/>
    <cellStyle name="Normal 2 4 2 3 2 2 2 8 2" xfId="34199" xr:uid="{36E387DA-3FE2-4092-BD0C-CCFCB0B78475}"/>
    <cellStyle name="Normal 2 4 2 3 2 2 2 9" xfId="8895" xr:uid="{00000000-0005-0000-0000-0000662A0000}"/>
    <cellStyle name="Normal 2 4 2 3 2 2 3" xfId="774" xr:uid="{00000000-0005-0000-0000-0000672A0000}"/>
    <cellStyle name="Normal 2 4 2 3 2 2 3 2" xfId="3013" xr:uid="{00000000-0005-0000-0000-0000682A0000}"/>
    <cellStyle name="Normal 2 4 2 3 2 2 3 2 2" xfId="7236" xr:uid="{00000000-0005-0000-0000-0000692A0000}"/>
    <cellStyle name="Normal 2 4 2 3 2 2 3 2 2 2" xfId="24106" xr:uid="{00000000-0005-0000-0000-00006A2A0000}"/>
    <cellStyle name="Normal 2 4 2 3 2 2 3 2 2 2 2" xfId="40974" xr:uid="{36A63CCE-9A6E-4A5E-B81E-AC87E8DC9C94}"/>
    <cellStyle name="Normal 2 4 2 3 2 2 3 2 2 3" xfId="15671" xr:uid="{00000000-0005-0000-0000-00006B2A0000}"/>
    <cellStyle name="Normal 2 4 2 3 2 2 3 2 2 4" xfId="32540" xr:uid="{BC5B05E4-4207-4A84-BCCE-813428E052E1}"/>
    <cellStyle name="Normal 2 4 2 3 2 2 3 2 3" xfId="19888" xr:uid="{00000000-0005-0000-0000-00006C2A0000}"/>
    <cellStyle name="Normal 2 4 2 3 2 2 3 2 3 2" xfId="36757" xr:uid="{76E88715-4900-4DC4-B27E-CD0FEA4F8B7D}"/>
    <cellStyle name="Normal 2 4 2 3 2 2 3 2 4" xfId="11453" xr:uid="{00000000-0005-0000-0000-00006D2A0000}"/>
    <cellStyle name="Normal 2 4 2 3 2 2 3 2 5" xfId="28323" xr:uid="{90A7871C-29AE-426E-B617-8F8A51596210}"/>
    <cellStyle name="Normal 2 4 2 3 2 2 3 3" xfId="5091" xr:uid="{00000000-0005-0000-0000-00006E2A0000}"/>
    <cellStyle name="Normal 2 4 2 3 2 2 3 3 2" xfId="21961" xr:uid="{00000000-0005-0000-0000-00006F2A0000}"/>
    <cellStyle name="Normal 2 4 2 3 2 2 3 3 2 2" xfId="38829" xr:uid="{3666C4E5-9690-4902-9A73-3EA447DA46C4}"/>
    <cellStyle name="Normal 2 4 2 3 2 2 3 3 3" xfId="13526" xr:uid="{00000000-0005-0000-0000-0000702A0000}"/>
    <cellStyle name="Normal 2 4 2 3 2 2 3 3 4" xfId="30395" xr:uid="{35D86E1B-EFFA-450F-AA59-1FE2F0E1C570}"/>
    <cellStyle name="Normal 2 4 2 3 2 2 3 4" xfId="17743" xr:uid="{00000000-0005-0000-0000-0000712A0000}"/>
    <cellStyle name="Normal 2 4 2 3 2 2 3 4 2" xfId="34612" xr:uid="{9547BD00-6C56-4D95-BF37-E08EA4798DD3}"/>
    <cellStyle name="Normal 2 4 2 3 2 2 3 5" xfId="9308" xr:uid="{00000000-0005-0000-0000-0000722A0000}"/>
    <cellStyle name="Normal 2 4 2 3 2 2 3 6" xfId="26178" xr:uid="{44AA5FFA-5C2B-4D96-81DD-2FCC824B5D3B}"/>
    <cellStyle name="Normal 2 4 2 3 2 2 4" xfId="1196" xr:uid="{00000000-0005-0000-0000-0000732A0000}"/>
    <cellStyle name="Normal 2 4 2 3 2 2 4 2" xfId="3426" xr:uid="{00000000-0005-0000-0000-0000742A0000}"/>
    <cellStyle name="Normal 2 4 2 3 2 2 4 2 2" xfId="7649" xr:uid="{00000000-0005-0000-0000-0000752A0000}"/>
    <cellStyle name="Normal 2 4 2 3 2 2 4 2 2 2" xfId="24519" xr:uid="{00000000-0005-0000-0000-0000762A0000}"/>
    <cellStyle name="Normal 2 4 2 3 2 2 4 2 2 2 2" xfId="41387" xr:uid="{3078FAC9-D968-470D-A5CA-B1A6592BD48F}"/>
    <cellStyle name="Normal 2 4 2 3 2 2 4 2 2 3" xfId="16084" xr:uid="{00000000-0005-0000-0000-0000772A0000}"/>
    <cellStyle name="Normal 2 4 2 3 2 2 4 2 2 4" xfId="32953" xr:uid="{8FCB14DD-AEDE-4CF1-A32C-9279A4987FED}"/>
    <cellStyle name="Normal 2 4 2 3 2 2 4 2 3" xfId="20301" xr:uid="{00000000-0005-0000-0000-0000782A0000}"/>
    <cellStyle name="Normal 2 4 2 3 2 2 4 2 3 2" xfId="37170" xr:uid="{018913DA-3692-471A-8FDE-26ACBA0CE8C8}"/>
    <cellStyle name="Normal 2 4 2 3 2 2 4 2 4" xfId="11866" xr:uid="{00000000-0005-0000-0000-0000792A0000}"/>
    <cellStyle name="Normal 2 4 2 3 2 2 4 2 5" xfId="28736" xr:uid="{C0CC27DA-0A61-49B5-8235-B639C993CDBF}"/>
    <cellStyle name="Normal 2 4 2 3 2 2 4 3" xfId="5504" xr:uid="{00000000-0005-0000-0000-00007A2A0000}"/>
    <cellStyle name="Normal 2 4 2 3 2 2 4 3 2" xfId="22374" xr:uid="{00000000-0005-0000-0000-00007B2A0000}"/>
    <cellStyle name="Normal 2 4 2 3 2 2 4 3 2 2" xfId="39242" xr:uid="{1C9925E8-992D-4CDF-AB55-DC5D0C3826CB}"/>
    <cellStyle name="Normal 2 4 2 3 2 2 4 3 3" xfId="13939" xr:uid="{00000000-0005-0000-0000-00007C2A0000}"/>
    <cellStyle name="Normal 2 4 2 3 2 2 4 3 4" xfId="30808" xr:uid="{450DB6B7-38BF-4E21-ABA9-3EE9CF187D8D}"/>
    <cellStyle name="Normal 2 4 2 3 2 2 4 4" xfId="18156" xr:uid="{00000000-0005-0000-0000-00007D2A0000}"/>
    <cellStyle name="Normal 2 4 2 3 2 2 4 4 2" xfId="35025" xr:uid="{53435236-B129-4F44-B32C-D970B92EE3CA}"/>
    <cellStyle name="Normal 2 4 2 3 2 2 4 5" xfId="9721" xr:uid="{00000000-0005-0000-0000-00007E2A0000}"/>
    <cellStyle name="Normal 2 4 2 3 2 2 4 6" xfId="26591" xr:uid="{AC3C5AEF-5779-4864-AFF3-302698A03245}"/>
    <cellStyle name="Normal 2 4 2 3 2 2 5" xfId="1609" xr:uid="{00000000-0005-0000-0000-00007F2A0000}"/>
    <cellStyle name="Normal 2 4 2 3 2 2 5 2" xfId="3839" xr:uid="{00000000-0005-0000-0000-0000802A0000}"/>
    <cellStyle name="Normal 2 4 2 3 2 2 5 2 2" xfId="8062" xr:uid="{00000000-0005-0000-0000-0000812A0000}"/>
    <cellStyle name="Normal 2 4 2 3 2 2 5 2 2 2" xfId="24932" xr:uid="{00000000-0005-0000-0000-0000822A0000}"/>
    <cellStyle name="Normal 2 4 2 3 2 2 5 2 2 2 2" xfId="41800" xr:uid="{5D72ACFE-CCCC-4130-8ABC-AE3FC0F224E6}"/>
    <cellStyle name="Normal 2 4 2 3 2 2 5 2 2 3" xfId="16497" xr:uid="{00000000-0005-0000-0000-0000832A0000}"/>
    <cellStyle name="Normal 2 4 2 3 2 2 5 2 2 4" xfId="33366" xr:uid="{8585CD78-D6FD-46BF-86B4-5E96CC4F6F2E}"/>
    <cellStyle name="Normal 2 4 2 3 2 2 5 2 3" xfId="20714" xr:uid="{00000000-0005-0000-0000-0000842A0000}"/>
    <cellStyle name="Normal 2 4 2 3 2 2 5 2 3 2" xfId="37583" xr:uid="{0AACF8E7-7880-4CAE-A48A-9F0E7AB2E36C}"/>
    <cellStyle name="Normal 2 4 2 3 2 2 5 2 4" xfId="12279" xr:uid="{00000000-0005-0000-0000-0000852A0000}"/>
    <cellStyle name="Normal 2 4 2 3 2 2 5 2 5" xfId="29149" xr:uid="{5ABA36D4-A5D8-4ED2-9C0B-D0DFDA888968}"/>
    <cellStyle name="Normal 2 4 2 3 2 2 5 3" xfId="5917" xr:uid="{00000000-0005-0000-0000-0000862A0000}"/>
    <cellStyle name="Normal 2 4 2 3 2 2 5 3 2" xfId="22787" xr:uid="{00000000-0005-0000-0000-0000872A0000}"/>
    <cellStyle name="Normal 2 4 2 3 2 2 5 3 2 2" xfId="39655" xr:uid="{CC46B9D0-9955-45BD-A089-94782FA05DD4}"/>
    <cellStyle name="Normal 2 4 2 3 2 2 5 3 3" xfId="14352" xr:uid="{00000000-0005-0000-0000-0000882A0000}"/>
    <cellStyle name="Normal 2 4 2 3 2 2 5 3 4" xfId="31221" xr:uid="{F9E0E0B6-1D7E-4614-9E1A-71E8B4937352}"/>
    <cellStyle name="Normal 2 4 2 3 2 2 5 4" xfId="18569" xr:uid="{00000000-0005-0000-0000-0000892A0000}"/>
    <cellStyle name="Normal 2 4 2 3 2 2 5 4 2" xfId="35438" xr:uid="{3C9134A2-45B7-4A08-8409-5B50A88091F8}"/>
    <cellStyle name="Normal 2 4 2 3 2 2 5 5" xfId="10134" xr:uid="{00000000-0005-0000-0000-00008A2A0000}"/>
    <cellStyle name="Normal 2 4 2 3 2 2 5 6" xfId="27004" xr:uid="{D52420DB-8EDF-465A-90B2-8D11182720CE}"/>
    <cellStyle name="Normal 2 4 2 3 2 2 6" xfId="2023" xr:uid="{00000000-0005-0000-0000-00008B2A0000}"/>
    <cellStyle name="Normal 2 4 2 3 2 2 6 2" xfId="4252" xr:uid="{00000000-0005-0000-0000-00008C2A0000}"/>
    <cellStyle name="Normal 2 4 2 3 2 2 6 2 2" xfId="8475" xr:uid="{00000000-0005-0000-0000-00008D2A0000}"/>
    <cellStyle name="Normal 2 4 2 3 2 2 6 2 2 2" xfId="25345" xr:uid="{00000000-0005-0000-0000-00008E2A0000}"/>
    <cellStyle name="Normal 2 4 2 3 2 2 6 2 2 2 2" xfId="42213" xr:uid="{3EDBA1C1-2F5B-47AA-84E6-8286896DE380}"/>
    <cellStyle name="Normal 2 4 2 3 2 2 6 2 2 3" xfId="16910" xr:uid="{00000000-0005-0000-0000-00008F2A0000}"/>
    <cellStyle name="Normal 2 4 2 3 2 2 6 2 2 4" xfId="33779" xr:uid="{095A33C0-F91D-43D1-B344-F1CD1377DDB1}"/>
    <cellStyle name="Normal 2 4 2 3 2 2 6 2 3" xfId="21127" xr:uid="{00000000-0005-0000-0000-0000902A0000}"/>
    <cellStyle name="Normal 2 4 2 3 2 2 6 2 3 2" xfId="37996" xr:uid="{ACFEB3F6-EBE6-4C39-AFE5-82524F2A6650}"/>
    <cellStyle name="Normal 2 4 2 3 2 2 6 2 4" xfId="12692" xr:uid="{00000000-0005-0000-0000-0000912A0000}"/>
    <cellStyle name="Normal 2 4 2 3 2 2 6 2 5" xfId="29562" xr:uid="{52295BD4-D86C-434A-BB9D-F4BE46EA4711}"/>
    <cellStyle name="Normal 2 4 2 3 2 2 6 3" xfId="6330" xr:uid="{00000000-0005-0000-0000-0000922A0000}"/>
    <cellStyle name="Normal 2 4 2 3 2 2 6 3 2" xfId="23200" xr:uid="{00000000-0005-0000-0000-0000932A0000}"/>
    <cellStyle name="Normal 2 4 2 3 2 2 6 3 2 2" xfId="40068" xr:uid="{1A560486-3885-4B06-986B-49A9D1FD744A}"/>
    <cellStyle name="Normal 2 4 2 3 2 2 6 3 3" xfId="14765" xr:uid="{00000000-0005-0000-0000-0000942A0000}"/>
    <cellStyle name="Normal 2 4 2 3 2 2 6 3 4" xfId="31634" xr:uid="{2EFEB51D-F0F0-4718-9289-8E9121F37BCC}"/>
    <cellStyle name="Normal 2 4 2 3 2 2 6 4" xfId="18982" xr:uid="{00000000-0005-0000-0000-0000952A0000}"/>
    <cellStyle name="Normal 2 4 2 3 2 2 6 4 2" xfId="35851" xr:uid="{65BF55A9-CF7E-44EA-82C6-4AC9C6BD8D04}"/>
    <cellStyle name="Normal 2 4 2 3 2 2 6 5" xfId="10547" xr:uid="{00000000-0005-0000-0000-0000962A0000}"/>
    <cellStyle name="Normal 2 4 2 3 2 2 6 6" xfId="27417" xr:uid="{7F736BAC-EB84-42CF-81EF-EAA2FF8456DF}"/>
    <cellStyle name="Normal 2 4 2 3 2 2 7" xfId="2459" xr:uid="{00000000-0005-0000-0000-0000972A0000}"/>
    <cellStyle name="Normal 2 4 2 3 2 2 7 2" xfId="6743" xr:uid="{00000000-0005-0000-0000-0000982A0000}"/>
    <cellStyle name="Normal 2 4 2 3 2 2 7 2 2" xfId="23613" xr:uid="{00000000-0005-0000-0000-0000992A0000}"/>
    <cellStyle name="Normal 2 4 2 3 2 2 7 2 2 2" xfId="40481" xr:uid="{7F0A42DD-D4CB-4A26-9C58-E887353BEC28}"/>
    <cellStyle name="Normal 2 4 2 3 2 2 7 2 3" xfId="15178" xr:uid="{00000000-0005-0000-0000-00009A2A0000}"/>
    <cellStyle name="Normal 2 4 2 3 2 2 7 2 4" xfId="32047" xr:uid="{3FE0024E-F571-4572-B15C-342EF200B550}"/>
    <cellStyle name="Normal 2 4 2 3 2 2 7 3" xfId="19395" xr:uid="{00000000-0005-0000-0000-00009B2A0000}"/>
    <cellStyle name="Normal 2 4 2 3 2 2 7 3 2" xfId="36264" xr:uid="{8BC8376B-BD5C-4F8B-B576-8B82CF29F719}"/>
    <cellStyle name="Normal 2 4 2 3 2 2 7 4" xfId="10960" xr:uid="{00000000-0005-0000-0000-00009C2A0000}"/>
    <cellStyle name="Normal 2 4 2 3 2 2 7 5" xfId="27830" xr:uid="{4E9FA794-C7E0-4F6B-895D-C06B24987C60}"/>
    <cellStyle name="Normal 2 4 2 3 2 2 8" xfId="4677" xr:uid="{00000000-0005-0000-0000-00009D2A0000}"/>
    <cellStyle name="Normal 2 4 2 3 2 2 8 2" xfId="21547" xr:uid="{00000000-0005-0000-0000-00009E2A0000}"/>
    <cellStyle name="Normal 2 4 2 3 2 2 8 2 2" xfId="38415" xr:uid="{37B0EA9C-28B6-48F7-BE3B-0EB4CA216A34}"/>
    <cellStyle name="Normal 2 4 2 3 2 2 8 3" xfId="13112" xr:uid="{00000000-0005-0000-0000-00009F2A0000}"/>
    <cellStyle name="Normal 2 4 2 3 2 2 8 4" xfId="29981" xr:uid="{436E932D-3B47-4B1D-B817-EB1072CDD94B}"/>
    <cellStyle name="Normal 2 4 2 3 2 2 9" xfId="17329" xr:uid="{00000000-0005-0000-0000-0000A02A0000}"/>
    <cellStyle name="Normal 2 4 2 3 2 2 9 2" xfId="34198" xr:uid="{13955BC3-84EB-4D13-AB5F-E59D67D4B106}"/>
    <cellStyle name="Normal 2 4 2 3 2 3" xfId="285" xr:uid="{00000000-0005-0000-0000-0000A12A0000}"/>
    <cellStyle name="Normal 2 4 2 3 2 3 10" xfId="25766" xr:uid="{5D6B73ED-5B9C-410A-A7FB-BAAAAA0E1D1D}"/>
    <cellStyle name="Normal 2 4 2 3 2 3 2" xfId="776" xr:uid="{00000000-0005-0000-0000-0000A22A0000}"/>
    <cellStyle name="Normal 2 4 2 3 2 3 2 2" xfId="3015" xr:uid="{00000000-0005-0000-0000-0000A32A0000}"/>
    <cellStyle name="Normal 2 4 2 3 2 3 2 2 2" xfId="7238" xr:uid="{00000000-0005-0000-0000-0000A42A0000}"/>
    <cellStyle name="Normal 2 4 2 3 2 3 2 2 2 2" xfId="24108" xr:uid="{00000000-0005-0000-0000-0000A52A0000}"/>
    <cellStyle name="Normal 2 4 2 3 2 3 2 2 2 2 2" xfId="40976" xr:uid="{D83FEAF7-B8EB-4B2C-AF84-E1DAE183FB3A}"/>
    <cellStyle name="Normal 2 4 2 3 2 3 2 2 2 3" xfId="15673" xr:uid="{00000000-0005-0000-0000-0000A62A0000}"/>
    <cellStyle name="Normal 2 4 2 3 2 3 2 2 2 4" xfId="32542" xr:uid="{3B59268D-3AF5-415B-912E-60DD0F97C0EC}"/>
    <cellStyle name="Normal 2 4 2 3 2 3 2 2 3" xfId="19890" xr:uid="{00000000-0005-0000-0000-0000A72A0000}"/>
    <cellStyle name="Normal 2 4 2 3 2 3 2 2 3 2" xfId="36759" xr:uid="{B5C97B3B-0475-4939-A219-0077CC81289B}"/>
    <cellStyle name="Normal 2 4 2 3 2 3 2 2 4" xfId="11455" xr:uid="{00000000-0005-0000-0000-0000A82A0000}"/>
    <cellStyle name="Normal 2 4 2 3 2 3 2 2 5" xfId="28325" xr:uid="{AEC920E2-FCE8-49C7-A5EB-D8B6C1C22122}"/>
    <cellStyle name="Normal 2 4 2 3 2 3 2 3" xfId="5093" xr:uid="{00000000-0005-0000-0000-0000A92A0000}"/>
    <cellStyle name="Normal 2 4 2 3 2 3 2 3 2" xfId="21963" xr:uid="{00000000-0005-0000-0000-0000AA2A0000}"/>
    <cellStyle name="Normal 2 4 2 3 2 3 2 3 2 2" xfId="38831" xr:uid="{5C656054-1660-4238-A775-259A18BC8F29}"/>
    <cellStyle name="Normal 2 4 2 3 2 3 2 3 3" xfId="13528" xr:uid="{00000000-0005-0000-0000-0000AB2A0000}"/>
    <cellStyle name="Normal 2 4 2 3 2 3 2 3 4" xfId="30397" xr:uid="{02950277-3010-4A11-8A56-A626C5BA31D5}"/>
    <cellStyle name="Normal 2 4 2 3 2 3 2 4" xfId="17745" xr:uid="{00000000-0005-0000-0000-0000AC2A0000}"/>
    <cellStyle name="Normal 2 4 2 3 2 3 2 4 2" xfId="34614" xr:uid="{BD734BD0-27D7-4DCA-9248-6D2A367DD6F6}"/>
    <cellStyle name="Normal 2 4 2 3 2 3 2 5" xfId="9310" xr:uid="{00000000-0005-0000-0000-0000AD2A0000}"/>
    <cellStyle name="Normal 2 4 2 3 2 3 2 6" xfId="26180" xr:uid="{93C925E7-6F5E-4A15-832B-67EC614C21D6}"/>
    <cellStyle name="Normal 2 4 2 3 2 3 3" xfId="1198" xr:uid="{00000000-0005-0000-0000-0000AE2A0000}"/>
    <cellStyle name="Normal 2 4 2 3 2 3 3 2" xfId="3428" xr:uid="{00000000-0005-0000-0000-0000AF2A0000}"/>
    <cellStyle name="Normal 2 4 2 3 2 3 3 2 2" xfId="7651" xr:uid="{00000000-0005-0000-0000-0000B02A0000}"/>
    <cellStyle name="Normal 2 4 2 3 2 3 3 2 2 2" xfId="24521" xr:uid="{00000000-0005-0000-0000-0000B12A0000}"/>
    <cellStyle name="Normal 2 4 2 3 2 3 3 2 2 2 2" xfId="41389" xr:uid="{5DA529C5-5A22-4EE3-BF10-6DBEEC6B2D23}"/>
    <cellStyle name="Normal 2 4 2 3 2 3 3 2 2 3" xfId="16086" xr:uid="{00000000-0005-0000-0000-0000B22A0000}"/>
    <cellStyle name="Normal 2 4 2 3 2 3 3 2 2 4" xfId="32955" xr:uid="{A4298B32-2ED0-4D80-A61A-38EC47468840}"/>
    <cellStyle name="Normal 2 4 2 3 2 3 3 2 3" xfId="20303" xr:uid="{00000000-0005-0000-0000-0000B32A0000}"/>
    <cellStyle name="Normal 2 4 2 3 2 3 3 2 3 2" xfId="37172" xr:uid="{6023AA1F-3E47-481B-B46A-BE29C1FDDCFF}"/>
    <cellStyle name="Normal 2 4 2 3 2 3 3 2 4" xfId="11868" xr:uid="{00000000-0005-0000-0000-0000B42A0000}"/>
    <cellStyle name="Normal 2 4 2 3 2 3 3 2 5" xfId="28738" xr:uid="{E203C6DE-A5AC-4957-9C98-C68BFE93BD5B}"/>
    <cellStyle name="Normal 2 4 2 3 2 3 3 3" xfId="5506" xr:uid="{00000000-0005-0000-0000-0000B52A0000}"/>
    <cellStyle name="Normal 2 4 2 3 2 3 3 3 2" xfId="22376" xr:uid="{00000000-0005-0000-0000-0000B62A0000}"/>
    <cellStyle name="Normal 2 4 2 3 2 3 3 3 2 2" xfId="39244" xr:uid="{5525E9C5-EC37-4D21-8C7D-220706199382}"/>
    <cellStyle name="Normal 2 4 2 3 2 3 3 3 3" xfId="13941" xr:uid="{00000000-0005-0000-0000-0000B72A0000}"/>
    <cellStyle name="Normal 2 4 2 3 2 3 3 3 4" xfId="30810" xr:uid="{1358756D-B7CD-4475-B672-F40FC93967F4}"/>
    <cellStyle name="Normal 2 4 2 3 2 3 3 4" xfId="18158" xr:uid="{00000000-0005-0000-0000-0000B82A0000}"/>
    <cellStyle name="Normal 2 4 2 3 2 3 3 4 2" xfId="35027" xr:uid="{C96F89D6-5927-4513-A68C-63EF49D77620}"/>
    <cellStyle name="Normal 2 4 2 3 2 3 3 5" xfId="9723" xr:uid="{00000000-0005-0000-0000-0000B92A0000}"/>
    <cellStyle name="Normal 2 4 2 3 2 3 3 6" xfId="26593" xr:uid="{CCC3056D-3E39-41A6-BF5E-5F1F637572EF}"/>
    <cellStyle name="Normal 2 4 2 3 2 3 4" xfId="1611" xr:uid="{00000000-0005-0000-0000-0000BA2A0000}"/>
    <cellStyle name="Normal 2 4 2 3 2 3 4 2" xfId="3841" xr:uid="{00000000-0005-0000-0000-0000BB2A0000}"/>
    <cellStyle name="Normal 2 4 2 3 2 3 4 2 2" xfId="8064" xr:uid="{00000000-0005-0000-0000-0000BC2A0000}"/>
    <cellStyle name="Normal 2 4 2 3 2 3 4 2 2 2" xfId="24934" xr:uid="{00000000-0005-0000-0000-0000BD2A0000}"/>
    <cellStyle name="Normal 2 4 2 3 2 3 4 2 2 2 2" xfId="41802" xr:uid="{9F121EBB-794F-43BE-8416-2893CCA3B711}"/>
    <cellStyle name="Normal 2 4 2 3 2 3 4 2 2 3" xfId="16499" xr:uid="{00000000-0005-0000-0000-0000BE2A0000}"/>
    <cellStyle name="Normal 2 4 2 3 2 3 4 2 2 4" xfId="33368" xr:uid="{D35525D7-25EC-4A82-81C4-717E129761B1}"/>
    <cellStyle name="Normal 2 4 2 3 2 3 4 2 3" xfId="20716" xr:uid="{00000000-0005-0000-0000-0000BF2A0000}"/>
    <cellStyle name="Normal 2 4 2 3 2 3 4 2 3 2" xfId="37585" xr:uid="{0163D27E-AE5B-4E0E-98CA-3DC2F4F5035C}"/>
    <cellStyle name="Normal 2 4 2 3 2 3 4 2 4" xfId="12281" xr:uid="{00000000-0005-0000-0000-0000C02A0000}"/>
    <cellStyle name="Normal 2 4 2 3 2 3 4 2 5" xfId="29151" xr:uid="{1CDE6595-8391-4E64-B34C-6CCD6E4D1586}"/>
    <cellStyle name="Normal 2 4 2 3 2 3 4 3" xfId="5919" xr:uid="{00000000-0005-0000-0000-0000C12A0000}"/>
    <cellStyle name="Normal 2 4 2 3 2 3 4 3 2" xfId="22789" xr:uid="{00000000-0005-0000-0000-0000C22A0000}"/>
    <cellStyle name="Normal 2 4 2 3 2 3 4 3 2 2" xfId="39657" xr:uid="{F29D995B-5176-44C7-B997-A68335AF61B6}"/>
    <cellStyle name="Normal 2 4 2 3 2 3 4 3 3" xfId="14354" xr:uid="{00000000-0005-0000-0000-0000C32A0000}"/>
    <cellStyle name="Normal 2 4 2 3 2 3 4 3 4" xfId="31223" xr:uid="{47D71994-4499-4EF4-AE5D-6D51EF66EF15}"/>
    <cellStyle name="Normal 2 4 2 3 2 3 4 4" xfId="18571" xr:uid="{00000000-0005-0000-0000-0000C42A0000}"/>
    <cellStyle name="Normal 2 4 2 3 2 3 4 4 2" xfId="35440" xr:uid="{731FCFAC-DA91-45B5-B8E7-B5199E7F569A}"/>
    <cellStyle name="Normal 2 4 2 3 2 3 4 5" xfId="10136" xr:uid="{00000000-0005-0000-0000-0000C52A0000}"/>
    <cellStyle name="Normal 2 4 2 3 2 3 4 6" xfId="27006" xr:uid="{6174807E-B19C-4014-896C-CCBB02694953}"/>
    <cellStyle name="Normal 2 4 2 3 2 3 5" xfId="2025" xr:uid="{00000000-0005-0000-0000-0000C62A0000}"/>
    <cellStyle name="Normal 2 4 2 3 2 3 5 2" xfId="4254" xr:uid="{00000000-0005-0000-0000-0000C72A0000}"/>
    <cellStyle name="Normal 2 4 2 3 2 3 5 2 2" xfId="8477" xr:uid="{00000000-0005-0000-0000-0000C82A0000}"/>
    <cellStyle name="Normal 2 4 2 3 2 3 5 2 2 2" xfId="25347" xr:uid="{00000000-0005-0000-0000-0000C92A0000}"/>
    <cellStyle name="Normal 2 4 2 3 2 3 5 2 2 2 2" xfId="42215" xr:uid="{D13E320B-AE32-4B32-915E-DCF9482A8D65}"/>
    <cellStyle name="Normal 2 4 2 3 2 3 5 2 2 3" xfId="16912" xr:uid="{00000000-0005-0000-0000-0000CA2A0000}"/>
    <cellStyle name="Normal 2 4 2 3 2 3 5 2 2 4" xfId="33781" xr:uid="{50C0CBAD-9B5C-4D6D-A09B-F62756A14AE0}"/>
    <cellStyle name="Normal 2 4 2 3 2 3 5 2 3" xfId="21129" xr:uid="{00000000-0005-0000-0000-0000CB2A0000}"/>
    <cellStyle name="Normal 2 4 2 3 2 3 5 2 3 2" xfId="37998" xr:uid="{D7AFD9FB-621E-4213-A810-53E847AF005D}"/>
    <cellStyle name="Normal 2 4 2 3 2 3 5 2 4" xfId="12694" xr:uid="{00000000-0005-0000-0000-0000CC2A0000}"/>
    <cellStyle name="Normal 2 4 2 3 2 3 5 2 5" xfId="29564" xr:uid="{2AFEBD75-368A-466F-9231-6721C6D2DB21}"/>
    <cellStyle name="Normal 2 4 2 3 2 3 5 3" xfId="6332" xr:uid="{00000000-0005-0000-0000-0000CD2A0000}"/>
    <cellStyle name="Normal 2 4 2 3 2 3 5 3 2" xfId="23202" xr:uid="{00000000-0005-0000-0000-0000CE2A0000}"/>
    <cellStyle name="Normal 2 4 2 3 2 3 5 3 2 2" xfId="40070" xr:uid="{53689E02-469D-44B0-9E2F-BF6A517F4E2F}"/>
    <cellStyle name="Normal 2 4 2 3 2 3 5 3 3" xfId="14767" xr:uid="{00000000-0005-0000-0000-0000CF2A0000}"/>
    <cellStyle name="Normal 2 4 2 3 2 3 5 3 4" xfId="31636" xr:uid="{74975EFA-C73C-4A59-ABB1-9D473ACD51A4}"/>
    <cellStyle name="Normal 2 4 2 3 2 3 5 4" xfId="18984" xr:uid="{00000000-0005-0000-0000-0000D02A0000}"/>
    <cellStyle name="Normal 2 4 2 3 2 3 5 4 2" xfId="35853" xr:uid="{0EA68DF2-881C-47CE-8ED8-9A60BA594AD6}"/>
    <cellStyle name="Normal 2 4 2 3 2 3 5 5" xfId="10549" xr:uid="{00000000-0005-0000-0000-0000D12A0000}"/>
    <cellStyle name="Normal 2 4 2 3 2 3 5 6" xfId="27419" xr:uid="{274C8A4A-D1FF-45E1-AB27-781F26C55716}"/>
    <cellStyle name="Normal 2 4 2 3 2 3 6" xfId="2461" xr:uid="{00000000-0005-0000-0000-0000D22A0000}"/>
    <cellStyle name="Normal 2 4 2 3 2 3 6 2" xfId="6745" xr:uid="{00000000-0005-0000-0000-0000D32A0000}"/>
    <cellStyle name="Normal 2 4 2 3 2 3 6 2 2" xfId="23615" xr:uid="{00000000-0005-0000-0000-0000D42A0000}"/>
    <cellStyle name="Normal 2 4 2 3 2 3 6 2 2 2" xfId="40483" xr:uid="{1544AA81-5B8D-4597-BDDD-71F595697B41}"/>
    <cellStyle name="Normal 2 4 2 3 2 3 6 2 3" xfId="15180" xr:uid="{00000000-0005-0000-0000-0000D52A0000}"/>
    <cellStyle name="Normal 2 4 2 3 2 3 6 2 4" xfId="32049" xr:uid="{A7ED1249-AE4C-4317-BDA2-72FA1D83B1A6}"/>
    <cellStyle name="Normal 2 4 2 3 2 3 6 3" xfId="19397" xr:uid="{00000000-0005-0000-0000-0000D62A0000}"/>
    <cellStyle name="Normal 2 4 2 3 2 3 6 3 2" xfId="36266" xr:uid="{E80C7807-4C9C-47CF-A125-B15C20A7CCAB}"/>
    <cellStyle name="Normal 2 4 2 3 2 3 6 4" xfId="10962" xr:uid="{00000000-0005-0000-0000-0000D72A0000}"/>
    <cellStyle name="Normal 2 4 2 3 2 3 6 5" xfId="27832" xr:uid="{86ECF72E-BFD9-4FF4-8440-AF4ABDCAC394}"/>
    <cellStyle name="Normal 2 4 2 3 2 3 7" xfId="4679" xr:uid="{00000000-0005-0000-0000-0000D82A0000}"/>
    <cellStyle name="Normal 2 4 2 3 2 3 7 2" xfId="21549" xr:uid="{00000000-0005-0000-0000-0000D92A0000}"/>
    <cellStyle name="Normal 2 4 2 3 2 3 7 2 2" xfId="38417" xr:uid="{832B2C13-A961-4CC3-AA38-73934615C9FB}"/>
    <cellStyle name="Normal 2 4 2 3 2 3 7 3" xfId="13114" xr:uid="{00000000-0005-0000-0000-0000DA2A0000}"/>
    <cellStyle name="Normal 2 4 2 3 2 3 7 4" xfId="29983" xr:uid="{C19C33A5-61AB-43F4-ACBA-1742466D937E}"/>
    <cellStyle name="Normal 2 4 2 3 2 3 8" xfId="17331" xr:uid="{00000000-0005-0000-0000-0000DB2A0000}"/>
    <cellStyle name="Normal 2 4 2 3 2 3 8 2" xfId="34200" xr:uid="{7BA5B0B8-C252-46E5-B6B6-065D359BDDCF}"/>
    <cellStyle name="Normal 2 4 2 3 2 3 9" xfId="8896" xr:uid="{00000000-0005-0000-0000-0000DC2A0000}"/>
    <cellStyle name="Normal 2 4 2 3 2 4" xfId="773" xr:uid="{00000000-0005-0000-0000-0000DD2A0000}"/>
    <cellStyle name="Normal 2 4 2 3 2 4 2" xfId="3012" xr:uid="{00000000-0005-0000-0000-0000DE2A0000}"/>
    <cellStyle name="Normal 2 4 2 3 2 4 2 2" xfId="7235" xr:uid="{00000000-0005-0000-0000-0000DF2A0000}"/>
    <cellStyle name="Normal 2 4 2 3 2 4 2 2 2" xfId="24105" xr:uid="{00000000-0005-0000-0000-0000E02A0000}"/>
    <cellStyle name="Normal 2 4 2 3 2 4 2 2 2 2" xfId="40973" xr:uid="{609C2D11-1429-4213-A22F-72B046D064B6}"/>
    <cellStyle name="Normal 2 4 2 3 2 4 2 2 3" xfId="15670" xr:uid="{00000000-0005-0000-0000-0000E12A0000}"/>
    <cellStyle name="Normal 2 4 2 3 2 4 2 2 4" xfId="32539" xr:uid="{BA25F600-6EA1-4E7B-B36B-2DC094725E97}"/>
    <cellStyle name="Normal 2 4 2 3 2 4 2 3" xfId="19887" xr:uid="{00000000-0005-0000-0000-0000E22A0000}"/>
    <cellStyle name="Normal 2 4 2 3 2 4 2 3 2" xfId="36756" xr:uid="{FAF551C0-C153-4FEA-8499-81470E4F030D}"/>
    <cellStyle name="Normal 2 4 2 3 2 4 2 4" xfId="11452" xr:uid="{00000000-0005-0000-0000-0000E32A0000}"/>
    <cellStyle name="Normal 2 4 2 3 2 4 2 5" xfId="28322" xr:uid="{08DA483A-FC26-40BC-B303-3F6CC3BA9A6D}"/>
    <cellStyle name="Normal 2 4 2 3 2 4 3" xfId="5090" xr:uid="{00000000-0005-0000-0000-0000E42A0000}"/>
    <cellStyle name="Normal 2 4 2 3 2 4 3 2" xfId="21960" xr:uid="{00000000-0005-0000-0000-0000E52A0000}"/>
    <cellStyle name="Normal 2 4 2 3 2 4 3 2 2" xfId="38828" xr:uid="{E45E6259-6365-4F92-8B54-C444279E5BD4}"/>
    <cellStyle name="Normal 2 4 2 3 2 4 3 3" xfId="13525" xr:uid="{00000000-0005-0000-0000-0000E62A0000}"/>
    <cellStyle name="Normal 2 4 2 3 2 4 3 4" xfId="30394" xr:uid="{928032C7-7160-4C88-9DFB-D678637B69CE}"/>
    <cellStyle name="Normal 2 4 2 3 2 4 4" xfId="17742" xr:uid="{00000000-0005-0000-0000-0000E72A0000}"/>
    <cellStyle name="Normal 2 4 2 3 2 4 4 2" xfId="34611" xr:uid="{5CF22A95-9ECD-475D-B969-B61B5E57B216}"/>
    <cellStyle name="Normal 2 4 2 3 2 4 5" xfId="9307" xr:uid="{00000000-0005-0000-0000-0000E82A0000}"/>
    <cellStyle name="Normal 2 4 2 3 2 4 6" xfId="26177" xr:uid="{7F2CEC5A-55A8-41CB-85A9-F7DF879C66D1}"/>
    <cellStyle name="Normal 2 4 2 3 2 5" xfId="1195" xr:uid="{00000000-0005-0000-0000-0000E92A0000}"/>
    <cellStyle name="Normal 2 4 2 3 2 5 2" xfId="3425" xr:uid="{00000000-0005-0000-0000-0000EA2A0000}"/>
    <cellStyle name="Normal 2 4 2 3 2 5 2 2" xfId="7648" xr:uid="{00000000-0005-0000-0000-0000EB2A0000}"/>
    <cellStyle name="Normal 2 4 2 3 2 5 2 2 2" xfId="24518" xr:uid="{00000000-0005-0000-0000-0000EC2A0000}"/>
    <cellStyle name="Normal 2 4 2 3 2 5 2 2 2 2" xfId="41386" xr:uid="{27043827-814C-4F07-AE2E-9B6F901CBBC0}"/>
    <cellStyle name="Normal 2 4 2 3 2 5 2 2 3" xfId="16083" xr:uid="{00000000-0005-0000-0000-0000ED2A0000}"/>
    <cellStyle name="Normal 2 4 2 3 2 5 2 2 4" xfId="32952" xr:uid="{5333E855-FA79-42BC-BDCF-8508F9B63F6E}"/>
    <cellStyle name="Normal 2 4 2 3 2 5 2 3" xfId="20300" xr:uid="{00000000-0005-0000-0000-0000EE2A0000}"/>
    <cellStyle name="Normal 2 4 2 3 2 5 2 3 2" xfId="37169" xr:uid="{7F956D02-5B01-4A47-A5EC-28E9D761CD22}"/>
    <cellStyle name="Normal 2 4 2 3 2 5 2 4" xfId="11865" xr:uid="{00000000-0005-0000-0000-0000EF2A0000}"/>
    <cellStyle name="Normal 2 4 2 3 2 5 2 5" xfId="28735" xr:uid="{C62FF4CA-25D7-412F-A692-D99FD61A419F}"/>
    <cellStyle name="Normal 2 4 2 3 2 5 3" xfId="5503" xr:uid="{00000000-0005-0000-0000-0000F02A0000}"/>
    <cellStyle name="Normal 2 4 2 3 2 5 3 2" xfId="22373" xr:uid="{00000000-0005-0000-0000-0000F12A0000}"/>
    <cellStyle name="Normal 2 4 2 3 2 5 3 2 2" xfId="39241" xr:uid="{B05A7392-CF8C-4407-B6F8-F90BFF3DC5DF}"/>
    <cellStyle name="Normal 2 4 2 3 2 5 3 3" xfId="13938" xr:uid="{00000000-0005-0000-0000-0000F22A0000}"/>
    <cellStyle name="Normal 2 4 2 3 2 5 3 4" xfId="30807" xr:uid="{845273F4-2C00-48A5-8327-242ED4825568}"/>
    <cellStyle name="Normal 2 4 2 3 2 5 4" xfId="18155" xr:uid="{00000000-0005-0000-0000-0000F32A0000}"/>
    <cellStyle name="Normal 2 4 2 3 2 5 4 2" xfId="35024" xr:uid="{707015A5-6E3E-407E-9677-4A008CED402A}"/>
    <cellStyle name="Normal 2 4 2 3 2 5 5" xfId="9720" xr:uid="{00000000-0005-0000-0000-0000F42A0000}"/>
    <cellStyle name="Normal 2 4 2 3 2 5 6" xfId="26590" xr:uid="{54767B8D-6D2D-45EB-B680-898B05111F22}"/>
    <cellStyle name="Normal 2 4 2 3 2 6" xfId="1608" xr:uid="{00000000-0005-0000-0000-0000F52A0000}"/>
    <cellStyle name="Normal 2 4 2 3 2 6 2" xfId="3838" xr:uid="{00000000-0005-0000-0000-0000F62A0000}"/>
    <cellStyle name="Normal 2 4 2 3 2 6 2 2" xfId="8061" xr:uid="{00000000-0005-0000-0000-0000F72A0000}"/>
    <cellStyle name="Normal 2 4 2 3 2 6 2 2 2" xfId="24931" xr:uid="{00000000-0005-0000-0000-0000F82A0000}"/>
    <cellStyle name="Normal 2 4 2 3 2 6 2 2 2 2" xfId="41799" xr:uid="{919C1B9E-28AF-4CE1-9E62-A6F7FA2A19F1}"/>
    <cellStyle name="Normal 2 4 2 3 2 6 2 2 3" xfId="16496" xr:uid="{00000000-0005-0000-0000-0000F92A0000}"/>
    <cellStyle name="Normal 2 4 2 3 2 6 2 2 4" xfId="33365" xr:uid="{4F24CC13-109D-46C5-8539-1A8C5C043CFD}"/>
    <cellStyle name="Normal 2 4 2 3 2 6 2 3" xfId="20713" xr:uid="{00000000-0005-0000-0000-0000FA2A0000}"/>
    <cellStyle name="Normal 2 4 2 3 2 6 2 3 2" xfId="37582" xr:uid="{EE8CDCE9-A04E-484C-939E-D9BDC706EB34}"/>
    <cellStyle name="Normal 2 4 2 3 2 6 2 4" xfId="12278" xr:uid="{00000000-0005-0000-0000-0000FB2A0000}"/>
    <cellStyle name="Normal 2 4 2 3 2 6 2 5" xfId="29148" xr:uid="{1F8561D2-F8E1-4BF0-99A5-A2BD25339BD7}"/>
    <cellStyle name="Normal 2 4 2 3 2 6 3" xfId="5916" xr:uid="{00000000-0005-0000-0000-0000FC2A0000}"/>
    <cellStyle name="Normal 2 4 2 3 2 6 3 2" xfId="22786" xr:uid="{00000000-0005-0000-0000-0000FD2A0000}"/>
    <cellStyle name="Normal 2 4 2 3 2 6 3 2 2" xfId="39654" xr:uid="{4E158487-394B-4984-BCE5-6E02A194CEB5}"/>
    <cellStyle name="Normal 2 4 2 3 2 6 3 3" xfId="14351" xr:uid="{00000000-0005-0000-0000-0000FE2A0000}"/>
    <cellStyle name="Normal 2 4 2 3 2 6 3 4" xfId="31220" xr:uid="{2ED3241D-0FB7-4ED3-B326-D5B850301C79}"/>
    <cellStyle name="Normal 2 4 2 3 2 6 4" xfId="18568" xr:uid="{00000000-0005-0000-0000-0000FF2A0000}"/>
    <cellStyle name="Normal 2 4 2 3 2 6 4 2" xfId="35437" xr:uid="{E0F24466-DFBB-4E4C-BDFD-C1517CA50646}"/>
    <cellStyle name="Normal 2 4 2 3 2 6 5" xfId="10133" xr:uid="{00000000-0005-0000-0000-0000002B0000}"/>
    <cellStyle name="Normal 2 4 2 3 2 6 6" xfId="27003" xr:uid="{EE1B873B-A72C-4307-8DB7-21827D66F857}"/>
    <cellStyle name="Normal 2 4 2 3 2 7" xfId="2022" xr:uid="{00000000-0005-0000-0000-0000012B0000}"/>
    <cellStyle name="Normal 2 4 2 3 2 7 2" xfId="4251" xr:uid="{00000000-0005-0000-0000-0000022B0000}"/>
    <cellStyle name="Normal 2 4 2 3 2 7 2 2" xfId="8474" xr:uid="{00000000-0005-0000-0000-0000032B0000}"/>
    <cellStyle name="Normal 2 4 2 3 2 7 2 2 2" xfId="25344" xr:uid="{00000000-0005-0000-0000-0000042B0000}"/>
    <cellStyle name="Normal 2 4 2 3 2 7 2 2 2 2" xfId="42212" xr:uid="{7959C9E0-6118-44B5-84A6-864EE711BB4A}"/>
    <cellStyle name="Normal 2 4 2 3 2 7 2 2 3" xfId="16909" xr:uid="{00000000-0005-0000-0000-0000052B0000}"/>
    <cellStyle name="Normal 2 4 2 3 2 7 2 2 4" xfId="33778" xr:uid="{DC8460DE-DAF7-45EE-B0B7-A4265E7967B6}"/>
    <cellStyle name="Normal 2 4 2 3 2 7 2 3" xfId="21126" xr:uid="{00000000-0005-0000-0000-0000062B0000}"/>
    <cellStyle name="Normal 2 4 2 3 2 7 2 3 2" xfId="37995" xr:uid="{2E65BF3A-A59D-4020-BF8E-9F66CAEEC451}"/>
    <cellStyle name="Normal 2 4 2 3 2 7 2 4" xfId="12691" xr:uid="{00000000-0005-0000-0000-0000072B0000}"/>
    <cellStyle name="Normal 2 4 2 3 2 7 2 5" xfId="29561" xr:uid="{959818A5-CD28-47ED-A9A6-EA1C165C239E}"/>
    <cellStyle name="Normal 2 4 2 3 2 7 3" xfId="6329" xr:uid="{00000000-0005-0000-0000-0000082B0000}"/>
    <cellStyle name="Normal 2 4 2 3 2 7 3 2" xfId="23199" xr:uid="{00000000-0005-0000-0000-0000092B0000}"/>
    <cellStyle name="Normal 2 4 2 3 2 7 3 2 2" xfId="40067" xr:uid="{0EB99B22-FE80-4049-99D4-A3475C69F43B}"/>
    <cellStyle name="Normal 2 4 2 3 2 7 3 3" xfId="14764" xr:uid="{00000000-0005-0000-0000-00000A2B0000}"/>
    <cellStyle name="Normal 2 4 2 3 2 7 3 4" xfId="31633" xr:uid="{10C66E46-C455-4E0E-BA1E-5D0CB39C4017}"/>
    <cellStyle name="Normal 2 4 2 3 2 7 4" xfId="18981" xr:uid="{00000000-0005-0000-0000-00000B2B0000}"/>
    <cellStyle name="Normal 2 4 2 3 2 7 4 2" xfId="35850" xr:uid="{61165ED3-C0EC-427E-90A2-410CC1843816}"/>
    <cellStyle name="Normal 2 4 2 3 2 7 5" xfId="10546" xr:uid="{00000000-0005-0000-0000-00000C2B0000}"/>
    <cellStyle name="Normal 2 4 2 3 2 7 6" xfId="27416" xr:uid="{1F97A087-20A6-4892-9678-FE8B7A475205}"/>
    <cellStyle name="Normal 2 4 2 3 2 8" xfId="2458" xr:uid="{00000000-0005-0000-0000-00000D2B0000}"/>
    <cellStyle name="Normal 2 4 2 3 2 8 2" xfId="6742" xr:uid="{00000000-0005-0000-0000-00000E2B0000}"/>
    <cellStyle name="Normal 2 4 2 3 2 8 2 2" xfId="23612" xr:uid="{00000000-0005-0000-0000-00000F2B0000}"/>
    <cellStyle name="Normal 2 4 2 3 2 8 2 2 2" xfId="40480" xr:uid="{5A7C0E68-BE8E-42E5-9CC9-C4FAF475AFB6}"/>
    <cellStyle name="Normal 2 4 2 3 2 8 2 3" xfId="15177" xr:uid="{00000000-0005-0000-0000-0000102B0000}"/>
    <cellStyle name="Normal 2 4 2 3 2 8 2 4" xfId="32046" xr:uid="{64EEC198-B382-45B4-AD2E-1D7499FC5093}"/>
    <cellStyle name="Normal 2 4 2 3 2 8 3" xfId="19394" xr:uid="{00000000-0005-0000-0000-0000112B0000}"/>
    <cellStyle name="Normal 2 4 2 3 2 8 3 2" xfId="36263" xr:uid="{15474CC7-D9CF-4778-B1E8-B2AF489CE06A}"/>
    <cellStyle name="Normal 2 4 2 3 2 8 4" xfId="10959" xr:uid="{00000000-0005-0000-0000-0000122B0000}"/>
    <cellStyle name="Normal 2 4 2 3 2 8 5" xfId="27829" xr:uid="{531D7D4D-CF0E-4C92-98E2-1959A5D84229}"/>
    <cellStyle name="Normal 2 4 2 3 2 9" xfId="4676" xr:uid="{00000000-0005-0000-0000-0000132B0000}"/>
    <cellStyle name="Normal 2 4 2 3 2 9 2" xfId="21546" xr:uid="{00000000-0005-0000-0000-0000142B0000}"/>
    <cellStyle name="Normal 2 4 2 3 2 9 2 2" xfId="38414" xr:uid="{53AD5F97-5A95-4C4A-BD5B-FA5477800076}"/>
    <cellStyle name="Normal 2 4 2 3 2 9 3" xfId="13111" xr:uid="{00000000-0005-0000-0000-0000152B0000}"/>
    <cellStyle name="Normal 2 4 2 3 2 9 4" xfId="29980" xr:uid="{E24E9111-5F26-4D29-85AB-7A3A2CD3FFC6}"/>
    <cellStyle name="Normal 2 4 2 3 3" xfId="286" xr:uid="{00000000-0005-0000-0000-0000162B0000}"/>
    <cellStyle name="Normal 2 4 2 3 3 10" xfId="8897" xr:uid="{00000000-0005-0000-0000-0000172B0000}"/>
    <cellStyle name="Normal 2 4 2 3 3 11" xfId="25767" xr:uid="{42C2C017-6493-4475-B701-83A5C24F93D5}"/>
    <cellStyle name="Normal 2 4 2 3 3 2" xfId="287" xr:uid="{00000000-0005-0000-0000-0000182B0000}"/>
    <cellStyle name="Normal 2 4 2 3 3 2 10" xfId="25768" xr:uid="{EB93E7E6-020C-4CF1-9AB6-5423925081BB}"/>
    <cellStyle name="Normal 2 4 2 3 3 2 2" xfId="778" xr:uid="{00000000-0005-0000-0000-0000192B0000}"/>
    <cellStyle name="Normal 2 4 2 3 3 2 2 2" xfId="3017" xr:uid="{00000000-0005-0000-0000-00001A2B0000}"/>
    <cellStyle name="Normal 2 4 2 3 3 2 2 2 2" xfId="7240" xr:uid="{00000000-0005-0000-0000-00001B2B0000}"/>
    <cellStyle name="Normal 2 4 2 3 3 2 2 2 2 2" xfId="24110" xr:uid="{00000000-0005-0000-0000-00001C2B0000}"/>
    <cellStyle name="Normal 2 4 2 3 3 2 2 2 2 2 2" xfId="40978" xr:uid="{B359607F-0F6D-4A90-BE15-DDB334A11716}"/>
    <cellStyle name="Normal 2 4 2 3 3 2 2 2 2 3" xfId="15675" xr:uid="{00000000-0005-0000-0000-00001D2B0000}"/>
    <cellStyle name="Normal 2 4 2 3 3 2 2 2 2 4" xfId="32544" xr:uid="{233DA501-5A35-4801-BD19-681E5247E3FB}"/>
    <cellStyle name="Normal 2 4 2 3 3 2 2 2 3" xfId="19892" xr:uid="{00000000-0005-0000-0000-00001E2B0000}"/>
    <cellStyle name="Normal 2 4 2 3 3 2 2 2 3 2" xfId="36761" xr:uid="{4CA78375-7AA6-4F81-B83A-E679925C3085}"/>
    <cellStyle name="Normal 2 4 2 3 3 2 2 2 4" xfId="11457" xr:uid="{00000000-0005-0000-0000-00001F2B0000}"/>
    <cellStyle name="Normal 2 4 2 3 3 2 2 2 5" xfId="28327" xr:uid="{6D2166D7-F0A2-42F6-93EB-B62120EB6E91}"/>
    <cellStyle name="Normal 2 4 2 3 3 2 2 3" xfId="5095" xr:uid="{00000000-0005-0000-0000-0000202B0000}"/>
    <cellStyle name="Normal 2 4 2 3 3 2 2 3 2" xfId="21965" xr:uid="{00000000-0005-0000-0000-0000212B0000}"/>
    <cellStyle name="Normal 2 4 2 3 3 2 2 3 2 2" xfId="38833" xr:uid="{36817443-8B45-4C5D-BE0E-8E8FDF742078}"/>
    <cellStyle name="Normal 2 4 2 3 3 2 2 3 3" xfId="13530" xr:uid="{00000000-0005-0000-0000-0000222B0000}"/>
    <cellStyle name="Normal 2 4 2 3 3 2 2 3 4" xfId="30399" xr:uid="{2C93A056-43FA-4B3C-B58A-CD8945C8CF97}"/>
    <cellStyle name="Normal 2 4 2 3 3 2 2 4" xfId="17747" xr:uid="{00000000-0005-0000-0000-0000232B0000}"/>
    <cellStyle name="Normal 2 4 2 3 3 2 2 4 2" xfId="34616" xr:uid="{57B4DC8A-57A3-4A66-A20D-B4189D9A9334}"/>
    <cellStyle name="Normal 2 4 2 3 3 2 2 5" xfId="9312" xr:uid="{00000000-0005-0000-0000-0000242B0000}"/>
    <cellStyle name="Normal 2 4 2 3 3 2 2 6" xfId="26182" xr:uid="{EE85FAA5-04DE-4074-9828-C4E048686BB6}"/>
    <cellStyle name="Normal 2 4 2 3 3 2 3" xfId="1200" xr:uid="{00000000-0005-0000-0000-0000252B0000}"/>
    <cellStyle name="Normal 2 4 2 3 3 2 3 2" xfId="3430" xr:uid="{00000000-0005-0000-0000-0000262B0000}"/>
    <cellStyle name="Normal 2 4 2 3 3 2 3 2 2" xfId="7653" xr:uid="{00000000-0005-0000-0000-0000272B0000}"/>
    <cellStyle name="Normal 2 4 2 3 3 2 3 2 2 2" xfId="24523" xr:uid="{00000000-0005-0000-0000-0000282B0000}"/>
    <cellStyle name="Normal 2 4 2 3 3 2 3 2 2 2 2" xfId="41391" xr:uid="{8C2A1127-3BDB-4860-8D7D-23E6B1748940}"/>
    <cellStyle name="Normal 2 4 2 3 3 2 3 2 2 3" xfId="16088" xr:uid="{00000000-0005-0000-0000-0000292B0000}"/>
    <cellStyle name="Normal 2 4 2 3 3 2 3 2 2 4" xfId="32957" xr:uid="{C7FED186-E121-4A4A-9884-B216C5D3F470}"/>
    <cellStyle name="Normal 2 4 2 3 3 2 3 2 3" xfId="20305" xr:uid="{00000000-0005-0000-0000-00002A2B0000}"/>
    <cellStyle name="Normal 2 4 2 3 3 2 3 2 3 2" xfId="37174" xr:uid="{4C4F8BEC-3BEA-4A82-B4DA-213ED6D5F706}"/>
    <cellStyle name="Normal 2 4 2 3 3 2 3 2 4" xfId="11870" xr:uid="{00000000-0005-0000-0000-00002B2B0000}"/>
    <cellStyle name="Normal 2 4 2 3 3 2 3 2 5" xfId="28740" xr:uid="{87AD5217-7430-4B1E-B7B2-FEA54038B220}"/>
    <cellStyle name="Normal 2 4 2 3 3 2 3 3" xfId="5508" xr:uid="{00000000-0005-0000-0000-00002C2B0000}"/>
    <cellStyle name="Normal 2 4 2 3 3 2 3 3 2" xfId="22378" xr:uid="{00000000-0005-0000-0000-00002D2B0000}"/>
    <cellStyle name="Normal 2 4 2 3 3 2 3 3 2 2" xfId="39246" xr:uid="{8C79186D-E2F9-4AE1-AEAB-DA7275E831A0}"/>
    <cellStyle name="Normal 2 4 2 3 3 2 3 3 3" xfId="13943" xr:uid="{00000000-0005-0000-0000-00002E2B0000}"/>
    <cellStyle name="Normal 2 4 2 3 3 2 3 3 4" xfId="30812" xr:uid="{3F1CE057-EC66-4945-892F-5DFF2F277D45}"/>
    <cellStyle name="Normal 2 4 2 3 3 2 3 4" xfId="18160" xr:uid="{00000000-0005-0000-0000-00002F2B0000}"/>
    <cellStyle name="Normal 2 4 2 3 3 2 3 4 2" xfId="35029" xr:uid="{4D77CEB0-D145-41D8-98EE-4F122EDD459C}"/>
    <cellStyle name="Normal 2 4 2 3 3 2 3 5" xfId="9725" xr:uid="{00000000-0005-0000-0000-0000302B0000}"/>
    <cellStyle name="Normal 2 4 2 3 3 2 3 6" xfId="26595" xr:uid="{E139EB86-F900-41C8-B281-B1F4F59B84DC}"/>
    <cellStyle name="Normal 2 4 2 3 3 2 4" xfId="1613" xr:uid="{00000000-0005-0000-0000-0000312B0000}"/>
    <cellStyle name="Normal 2 4 2 3 3 2 4 2" xfId="3843" xr:uid="{00000000-0005-0000-0000-0000322B0000}"/>
    <cellStyle name="Normal 2 4 2 3 3 2 4 2 2" xfId="8066" xr:uid="{00000000-0005-0000-0000-0000332B0000}"/>
    <cellStyle name="Normal 2 4 2 3 3 2 4 2 2 2" xfId="24936" xr:uid="{00000000-0005-0000-0000-0000342B0000}"/>
    <cellStyle name="Normal 2 4 2 3 3 2 4 2 2 2 2" xfId="41804" xr:uid="{863C5C29-DB64-4FB5-AFB1-7806DABBA97D}"/>
    <cellStyle name="Normal 2 4 2 3 3 2 4 2 2 3" xfId="16501" xr:uid="{00000000-0005-0000-0000-0000352B0000}"/>
    <cellStyle name="Normal 2 4 2 3 3 2 4 2 2 4" xfId="33370" xr:uid="{A261A745-2024-4BA4-ACE9-E07DA5D30F1E}"/>
    <cellStyle name="Normal 2 4 2 3 3 2 4 2 3" xfId="20718" xr:uid="{00000000-0005-0000-0000-0000362B0000}"/>
    <cellStyle name="Normal 2 4 2 3 3 2 4 2 3 2" xfId="37587" xr:uid="{BF2DD2C4-09EE-4379-83C0-8CE8A972433E}"/>
    <cellStyle name="Normal 2 4 2 3 3 2 4 2 4" xfId="12283" xr:uid="{00000000-0005-0000-0000-0000372B0000}"/>
    <cellStyle name="Normal 2 4 2 3 3 2 4 2 5" xfId="29153" xr:uid="{68223C2F-BF74-47D6-AE3E-CA9658412890}"/>
    <cellStyle name="Normal 2 4 2 3 3 2 4 3" xfId="5921" xr:uid="{00000000-0005-0000-0000-0000382B0000}"/>
    <cellStyle name="Normal 2 4 2 3 3 2 4 3 2" xfId="22791" xr:uid="{00000000-0005-0000-0000-0000392B0000}"/>
    <cellStyle name="Normal 2 4 2 3 3 2 4 3 2 2" xfId="39659" xr:uid="{9C44A76F-2328-496C-A082-EB6D1F73760B}"/>
    <cellStyle name="Normal 2 4 2 3 3 2 4 3 3" xfId="14356" xr:uid="{00000000-0005-0000-0000-00003A2B0000}"/>
    <cellStyle name="Normal 2 4 2 3 3 2 4 3 4" xfId="31225" xr:uid="{E57E4C80-6EFD-43FF-B01A-312296ECA500}"/>
    <cellStyle name="Normal 2 4 2 3 3 2 4 4" xfId="18573" xr:uid="{00000000-0005-0000-0000-00003B2B0000}"/>
    <cellStyle name="Normal 2 4 2 3 3 2 4 4 2" xfId="35442" xr:uid="{C4C60310-2146-4E99-8344-378CF7BE8829}"/>
    <cellStyle name="Normal 2 4 2 3 3 2 4 5" xfId="10138" xr:uid="{00000000-0005-0000-0000-00003C2B0000}"/>
    <cellStyle name="Normal 2 4 2 3 3 2 4 6" xfId="27008" xr:uid="{C938E801-232F-464E-A5FB-A37A15BE0B4D}"/>
    <cellStyle name="Normal 2 4 2 3 3 2 5" xfId="2027" xr:uid="{00000000-0005-0000-0000-00003D2B0000}"/>
    <cellStyle name="Normal 2 4 2 3 3 2 5 2" xfId="4256" xr:uid="{00000000-0005-0000-0000-00003E2B0000}"/>
    <cellStyle name="Normal 2 4 2 3 3 2 5 2 2" xfId="8479" xr:uid="{00000000-0005-0000-0000-00003F2B0000}"/>
    <cellStyle name="Normal 2 4 2 3 3 2 5 2 2 2" xfId="25349" xr:uid="{00000000-0005-0000-0000-0000402B0000}"/>
    <cellStyle name="Normal 2 4 2 3 3 2 5 2 2 2 2" xfId="42217" xr:uid="{F74F2DA9-C940-466E-ABB0-11EB3E114AD5}"/>
    <cellStyle name="Normal 2 4 2 3 3 2 5 2 2 3" xfId="16914" xr:uid="{00000000-0005-0000-0000-0000412B0000}"/>
    <cellStyle name="Normal 2 4 2 3 3 2 5 2 2 4" xfId="33783" xr:uid="{437D4701-CBCC-4AF5-B0B7-4E7D7BE3EE95}"/>
    <cellStyle name="Normal 2 4 2 3 3 2 5 2 3" xfId="21131" xr:uid="{00000000-0005-0000-0000-0000422B0000}"/>
    <cellStyle name="Normal 2 4 2 3 3 2 5 2 3 2" xfId="38000" xr:uid="{A7B563B5-029A-4E0A-8A62-78A644DF6851}"/>
    <cellStyle name="Normal 2 4 2 3 3 2 5 2 4" xfId="12696" xr:uid="{00000000-0005-0000-0000-0000432B0000}"/>
    <cellStyle name="Normal 2 4 2 3 3 2 5 2 5" xfId="29566" xr:uid="{0BC6530B-3AB2-4257-965F-DCA5FF3DB263}"/>
    <cellStyle name="Normal 2 4 2 3 3 2 5 3" xfId="6334" xr:uid="{00000000-0005-0000-0000-0000442B0000}"/>
    <cellStyle name="Normal 2 4 2 3 3 2 5 3 2" xfId="23204" xr:uid="{00000000-0005-0000-0000-0000452B0000}"/>
    <cellStyle name="Normal 2 4 2 3 3 2 5 3 2 2" xfId="40072" xr:uid="{604BE912-821B-4945-819E-52D93CF6313C}"/>
    <cellStyle name="Normal 2 4 2 3 3 2 5 3 3" xfId="14769" xr:uid="{00000000-0005-0000-0000-0000462B0000}"/>
    <cellStyle name="Normal 2 4 2 3 3 2 5 3 4" xfId="31638" xr:uid="{63A48CF5-920D-406C-B7F8-F027797297B6}"/>
    <cellStyle name="Normal 2 4 2 3 3 2 5 4" xfId="18986" xr:uid="{00000000-0005-0000-0000-0000472B0000}"/>
    <cellStyle name="Normal 2 4 2 3 3 2 5 4 2" xfId="35855" xr:uid="{77B8143D-899C-4A22-A9FF-99F8DE92D8AD}"/>
    <cellStyle name="Normal 2 4 2 3 3 2 5 5" xfId="10551" xr:uid="{00000000-0005-0000-0000-0000482B0000}"/>
    <cellStyle name="Normal 2 4 2 3 3 2 5 6" xfId="27421" xr:uid="{845D0886-90A0-4863-9440-AEE43EF4CFE5}"/>
    <cellStyle name="Normal 2 4 2 3 3 2 6" xfId="2463" xr:uid="{00000000-0005-0000-0000-0000492B0000}"/>
    <cellStyle name="Normal 2 4 2 3 3 2 6 2" xfId="6747" xr:uid="{00000000-0005-0000-0000-00004A2B0000}"/>
    <cellStyle name="Normal 2 4 2 3 3 2 6 2 2" xfId="23617" xr:uid="{00000000-0005-0000-0000-00004B2B0000}"/>
    <cellStyle name="Normal 2 4 2 3 3 2 6 2 2 2" xfId="40485" xr:uid="{D8C1512B-A595-4AD5-B0CF-3A805EE6CC45}"/>
    <cellStyle name="Normal 2 4 2 3 3 2 6 2 3" xfId="15182" xr:uid="{00000000-0005-0000-0000-00004C2B0000}"/>
    <cellStyle name="Normal 2 4 2 3 3 2 6 2 4" xfId="32051" xr:uid="{DA237EAF-7BA0-4963-90D2-11575FB432CF}"/>
    <cellStyle name="Normal 2 4 2 3 3 2 6 3" xfId="19399" xr:uid="{00000000-0005-0000-0000-00004D2B0000}"/>
    <cellStyle name="Normal 2 4 2 3 3 2 6 3 2" xfId="36268" xr:uid="{A64CE51F-A265-4E02-97D0-F21DA34FBB7B}"/>
    <cellStyle name="Normal 2 4 2 3 3 2 6 4" xfId="10964" xr:uid="{00000000-0005-0000-0000-00004E2B0000}"/>
    <cellStyle name="Normal 2 4 2 3 3 2 6 5" xfId="27834" xr:uid="{1CF561C7-2940-4E1B-A34C-4A1C7D89FED5}"/>
    <cellStyle name="Normal 2 4 2 3 3 2 7" xfId="4681" xr:uid="{00000000-0005-0000-0000-00004F2B0000}"/>
    <cellStyle name="Normal 2 4 2 3 3 2 7 2" xfId="21551" xr:uid="{00000000-0005-0000-0000-0000502B0000}"/>
    <cellStyle name="Normal 2 4 2 3 3 2 7 2 2" xfId="38419" xr:uid="{5A62A2E9-C766-4A32-A3B3-73CFE82F14BE}"/>
    <cellStyle name="Normal 2 4 2 3 3 2 7 3" xfId="13116" xr:uid="{00000000-0005-0000-0000-0000512B0000}"/>
    <cellStyle name="Normal 2 4 2 3 3 2 7 4" xfId="29985" xr:uid="{B11F27DA-2543-4325-84B0-7C0D91E13C9C}"/>
    <cellStyle name="Normal 2 4 2 3 3 2 8" xfId="17333" xr:uid="{00000000-0005-0000-0000-0000522B0000}"/>
    <cellStyle name="Normal 2 4 2 3 3 2 8 2" xfId="34202" xr:uid="{3996633B-0CCD-4E78-B582-EC6ACC3D6B24}"/>
    <cellStyle name="Normal 2 4 2 3 3 2 9" xfId="8898" xr:uid="{00000000-0005-0000-0000-0000532B0000}"/>
    <cellStyle name="Normal 2 4 2 3 3 3" xfId="777" xr:uid="{00000000-0005-0000-0000-0000542B0000}"/>
    <cellStyle name="Normal 2 4 2 3 3 3 2" xfId="3016" xr:uid="{00000000-0005-0000-0000-0000552B0000}"/>
    <cellStyle name="Normal 2 4 2 3 3 3 2 2" xfId="7239" xr:uid="{00000000-0005-0000-0000-0000562B0000}"/>
    <cellStyle name="Normal 2 4 2 3 3 3 2 2 2" xfId="24109" xr:uid="{00000000-0005-0000-0000-0000572B0000}"/>
    <cellStyle name="Normal 2 4 2 3 3 3 2 2 2 2" xfId="40977" xr:uid="{7A45FD2B-BEC1-473B-B736-42A7A8DF71F2}"/>
    <cellStyle name="Normal 2 4 2 3 3 3 2 2 3" xfId="15674" xr:uid="{00000000-0005-0000-0000-0000582B0000}"/>
    <cellStyle name="Normal 2 4 2 3 3 3 2 2 4" xfId="32543" xr:uid="{4B1B3F69-9831-4BDF-B968-7A847F5DCBA5}"/>
    <cellStyle name="Normal 2 4 2 3 3 3 2 3" xfId="19891" xr:uid="{00000000-0005-0000-0000-0000592B0000}"/>
    <cellStyle name="Normal 2 4 2 3 3 3 2 3 2" xfId="36760" xr:uid="{22E2149A-A4E5-473B-9A63-632E44FF2FD7}"/>
    <cellStyle name="Normal 2 4 2 3 3 3 2 4" xfId="11456" xr:uid="{00000000-0005-0000-0000-00005A2B0000}"/>
    <cellStyle name="Normal 2 4 2 3 3 3 2 5" xfId="28326" xr:uid="{DDBFE1C8-4F4A-4E32-B5A3-34469BAEF402}"/>
    <cellStyle name="Normal 2 4 2 3 3 3 3" xfId="5094" xr:uid="{00000000-0005-0000-0000-00005B2B0000}"/>
    <cellStyle name="Normal 2 4 2 3 3 3 3 2" xfId="21964" xr:uid="{00000000-0005-0000-0000-00005C2B0000}"/>
    <cellStyle name="Normal 2 4 2 3 3 3 3 2 2" xfId="38832" xr:uid="{A231154E-0064-4B80-B46B-EF8657495A2A}"/>
    <cellStyle name="Normal 2 4 2 3 3 3 3 3" xfId="13529" xr:uid="{00000000-0005-0000-0000-00005D2B0000}"/>
    <cellStyle name="Normal 2 4 2 3 3 3 3 4" xfId="30398" xr:uid="{BA2A5719-35BA-4593-9704-5F91113F5F4D}"/>
    <cellStyle name="Normal 2 4 2 3 3 3 4" xfId="17746" xr:uid="{00000000-0005-0000-0000-00005E2B0000}"/>
    <cellStyle name="Normal 2 4 2 3 3 3 4 2" xfId="34615" xr:uid="{50F477B4-B808-429B-A976-CD32F400BC65}"/>
    <cellStyle name="Normal 2 4 2 3 3 3 5" xfId="9311" xr:uid="{00000000-0005-0000-0000-00005F2B0000}"/>
    <cellStyle name="Normal 2 4 2 3 3 3 6" xfId="26181" xr:uid="{4D671E57-361E-4C3C-AD7C-11DE8393ECF7}"/>
    <cellStyle name="Normal 2 4 2 3 3 4" xfId="1199" xr:uid="{00000000-0005-0000-0000-0000602B0000}"/>
    <cellStyle name="Normal 2 4 2 3 3 4 2" xfId="3429" xr:uid="{00000000-0005-0000-0000-0000612B0000}"/>
    <cellStyle name="Normal 2 4 2 3 3 4 2 2" xfId="7652" xr:uid="{00000000-0005-0000-0000-0000622B0000}"/>
    <cellStyle name="Normal 2 4 2 3 3 4 2 2 2" xfId="24522" xr:uid="{00000000-0005-0000-0000-0000632B0000}"/>
    <cellStyle name="Normal 2 4 2 3 3 4 2 2 2 2" xfId="41390" xr:uid="{225EA7C8-BC14-4843-9104-6C4065CAC742}"/>
    <cellStyle name="Normal 2 4 2 3 3 4 2 2 3" xfId="16087" xr:uid="{00000000-0005-0000-0000-0000642B0000}"/>
    <cellStyle name="Normal 2 4 2 3 3 4 2 2 4" xfId="32956" xr:uid="{A2FE3AA4-E064-4DAC-8403-A0107963C391}"/>
    <cellStyle name="Normal 2 4 2 3 3 4 2 3" xfId="20304" xr:uid="{00000000-0005-0000-0000-0000652B0000}"/>
    <cellStyle name="Normal 2 4 2 3 3 4 2 3 2" xfId="37173" xr:uid="{6A7BE80E-A379-43F0-8DA5-571541665B72}"/>
    <cellStyle name="Normal 2 4 2 3 3 4 2 4" xfId="11869" xr:uid="{00000000-0005-0000-0000-0000662B0000}"/>
    <cellStyle name="Normal 2 4 2 3 3 4 2 5" xfId="28739" xr:uid="{00C8FF56-C0CC-405E-86B1-13709840001A}"/>
    <cellStyle name="Normal 2 4 2 3 3 4 3" xfId="5507" xr:uid="{00000000-0005-0000-0000-0000672B0000}"/>
    <cellStyle name="Normal 2 4 2 3 3 4 3 2" xfId="22377" xr:uid="{00000000-0005-0000-0000-0000682B0000}"/>
    <cellStyle name="Normal 2 4 2 3 3 4 3 2 2" xfId="39245" xr:uid="{D4ED94D0-D0C7-4756-BF79-96CC3900FEDF}"/>
    <cellStyle name="Normal 2 4 2 3 3 4 3 3" xfId="13942" xr:uid="{00000000-0005-0000-0000-0000692B0000}"/>
    <cellStyle name="Normal 2 4 2 3 3 4 3 4" xfId="30811" xr:uid="{FD555D3A-2049-43D3-89B8-04057BCE757F}"/>
    <cellStyle name="Normal 2 4 2 3 3 4 4" xfId="18159" xr:uid="{00000000-0005-0000-0000-00006A2B0000}"/>
    <cellStyle name="Normal 2 4 2 3 3 4 4 2" xfId="35028" xr:uid="{C3708DF4-D706-4AD4-A852-6FD07B5365E6}"/>
    <cellStyle name="Normal 2 4 2 3 3 4 5" xfId="9724" xr:uid="{00000000-0005-0000-0000-00006B2B0000}"/>
    <cellStyle name="Normal 2 4 2 3 3 4 6" xfId="26594" xr:uid="{CAD91F00-DC4E-40F5-A9E6-DE09D88C10DB}"/>
    <cellStyle name="Normal 2 4 2 3 3 5" xfId="1612" xr:uid="{00000000-0005-0000-0000-00006C2B0000}"/>
    <cellStyle name="Normal 2 4 2 3 3 5 2" xfId="3842" xr:uid="{00000000-0005-0000-0000-00006D2B0000}"/>
    <cellStyle name="Normal 2 4 2 3 3 5 2 2" xfId="8065" xr:uid="{00000000-0005-0000-0000-00006E2B0000}"/>
    <cellStyle name="Normal 2 4 2 3 3 5 2 2 2" xfId="24935" xr:uid="{00000000-0005-0000-0000-00006F2B0000}"/>
    <cellStyle name="Normal 2 4 2 3 3 5 2 2 2 2" xfId="41803" xr:uid="{E1904806-CBE7-468A-950D-CA8D98B113D4}"/>
    <cellStyle name="Normal 2 4 2 3 3 5 2 2 3" xfId="16500" xr:uid="{00000000-0005-0000-0000-0000702B0000}"/>
    <cellStyle name="Normal 2 4 2 3 3 5 2 2 4" xfId="33369" xr:uid="{5F14AC21-40A6-4AA1-BF7D-9E674556A6EB}"/>
    <cellStyle name="Normal 2 4 2 3 3 5 2 3" xfId="20717" xr:uid="{00000000-0005-0000-0000-0000712B0000}"/>
    <cellStyle name="Normal 2 4 2 3 3 5 2 3 2" xfId="37586" xr:uid="{EEBC5FE6-806B-461A-896C-E0AD0CF6C7C9}"/>
    <cellStyle name="Normal 2 4 2 3 3 5 2 4" xfId="12282" xr:uid="{00000000-0005-0000-0000-0000722B0000}"/>
    <cellStyle name="Normal 2 4 2 3 3 5 2 5" xfId="29152" xr:uid="{81FE0A34-C146-4A88-A8E8-9A20302FAA73}"/>
    <cellStyle name="Normal 2 4 2 3 3 5 3" xfId="5920" xr:uid="{00000000-0005-0000-0000-0000732B0000}"/>
    <cellStyle name="Normal 2 4 2 3 3 5 3 2" xfId="22790" xr:uid="{00000000-0005-0000-0000-0000742B0000}"/>
    <cellStyle name="Normal 2 4 2 3 3 5 3 2 2" xfId="39658" xr:uid="{CFA7888A-10FE-407E-A1DE-28D7635C4F85}"/>
    <cellStyle name="Normal 2 4 2 3 3 5 3 3" xfId="14355" xr:uid="{00000000-0005-0000-0000-0000752B0000}"/>
    <cellStyle name="Normal 2 4 2 3 3 5 3 4" xfId="31224" xr:uid="{98563587-6F2C-43EF-A880-3D4FF091FF3D}"/>
    <cellStyle name="Normal 2 4 2 3 3 5 4" xfId="18572" xr:uid="{00000000-0005-0000-0000-0000762B0000}"/>
    <cellStyle name="Normal 2 4 2 3 3 5 4 2" xfId="35441" xr:uid="{92F7452F-871B-4848-BAED-40E8A043BF5E}"/>
    <cellStyle name="Normal 2 4 2 3 3 5 5" xfId="10137" xr:uid="{00000000-0005-0000-0000-0000772B0000}"/>
    <cellStyle name="Normal 2 4 2 3 3 5 6" xfId="27007" xr:uid="{6C15BC37-0518-4150-B0C8-9396727CD361}"/>
    <cellStyle name="Normal 2 4 2 3 3 6" xfId="2026" xr:uid="{00000000-0005-0000-0000-0000782B0000}"/>
    <cellStyle name="Normal 2 4 2 3 3 6 2" xfId="4255" xr:uid="{00000000-0005-0000-0000-0000792B0000}"/>
    <cellStyle name="Normal 2 4 2 3 3 6 2 2" xfId="8478" xr:uid="{00000000-0005-0000-0000-00007A2B0000}"/>
    <cellStyle name="Normal 2 4 2 3 3 6 2 2 2" xfId="25348" xr:uid="{00000000-0005-0000-0000-00007B2B0000}"/>
    <cellStyle name="Normal 2 4 2 3 3 6 2 2 2 2" xfId="42216" xr:uid="{D3213FE4-DC20-4540-B0C6-2CA93B78050B}"/>
    <cellStyle name="Normal 2 4 2 3 3 6 2 2 3" xfId="16913" xr:uid="{00000000-0005-0000-0000-00007C2B0000}"/>
    <cellStyle name="Normal 2 4 2 3 3 6 2 2 4" xfId="33782" xr:uid="{FF0F100B-347C-4AA3-A99C-9DCA8F9947BA}"/>
    <cellStyle name="Normal 2 4 2 3 3 6 2 3" xfId="21130" xr:uid="{00000000-0005-0000-0000-00007D2B0000}"/>
    <cellStyle name="Normal 2 4 2 3 3 6 2 3 2" xfId="37999" xr:uid="{D1B07E82-12B5-4CAE-BE0D-5D4939FDD05F}"/>
    <cellStyle name="Normal 2 4 2 3 3 6 2 4" xfId="12695" xr:uid="{00000000-0005-0000-0000-00007E2B0000}"/>
    <cellStyle name="Normal 2 4 2 3 3 6 2 5" xfId="29565" xr:uid="{AC7192F3-F695-4EC9-9A95-09537EA37357}"/>
    <cellStyle name="Normal 2 4 2 3 3 6 3" xfId="6333" xr:uid="{00000000-0005-0000-0000-00007F2B0000}"/>
    <cellStyle name="Normal 2 4 2 3 3 6 3 2" xfId="23203" xr:uid="{00000000-0005-0000-0000-0000802B0000}"/>
    <cellStyle name="Normal 2 4 2 3 3 6 3 2 2" xfId="40071" xr:uid="{46D53EC3-DF65-4481-B463-992910F52F3E}"/>
    <cellStyle name="Normal 2 4 2 3 3 6 3 3" xfId="14768" xr:uid="{00000000-0005-0000-0000-0000812B0000}"/>
    <cellStyle name="Normal 2 4 2 3 3 6 3 4" xfId="31637" xr:uid="{C9453CE4-5207-4AF8-A870-E082F1B9A410}"/>
    <cellStyle name="Normal 2 4 2 3 3 6 4" xfId="18985" xr:uid="{00000000-0005-0000-0000-0000822B0000}"/>
    <cellStyle name="Normal 2 4 2 3 3 6 4 2" xfId="35854" xr:uid="{CECC9150-31E3-4613-8545-D5B51C49FB75}"/>
    <cellStyle name="Normal 2 4 2 3 3 6 5" xfId="10550" xr:uid="{00000000-0005-0000-0000-0000832B0000}"/>
    <cellStyle name="Normal 2 4 2 3 3 6 6" xfId="27420" xr:uid="{770DF38D-F67E-4892-963C-06990207ED77}"/>
    <cellStyle name="Normal 2 4 2 3 3 7" xfId="2462" xr:uid="{00000000-0005-0000-0000-0000842B0000}"/>
    <cellStyle name="Normal 2 4 2 3 3 7 2" xfId="6746" xr:uid="{00000000-0005-0000-0000-0000852B0000}"/>
    <cellStyle name="Normal 2 4 2 3 3 7 2 2" xfId="23616" xr:uid="{00000000-0005-0000-0000-0000862B0000}"/>
    <cellStyle name="Normal 2 4 2 3 3 7 2 2 2" xfId="40484" xr:uid="{A76E6DD2-2606-4280-9947-C57CD1B1F49B}"/>
    <cellStyle name="Normal 2 4 2 3 3 7 2 3" xfId="15181" xr:uid="{00000000-0005-0000-0000-0000872B0000}"/>
    <cellStyle name="Normal 2 4 2 3 3 7 2 4" xfId="32050" xr:uid="{ABB1393E-2DCA-4670-9650-1157D15D25C3}"/>
    <cellStyle name="Normal 2 4 2 3 3 7 3" xfId="19398" xr:uid="{00000000-0005-0000-0000-0000882B0000}"/>
    <cellStyle name="Normal 2 4 2 3 3 7 3 2" xfId="36267" xr:uid="{F6CA3D68-92A6-4030-B55D-F6FD358F05AE}"/>
    <cellStyle name="Normal 2 4 2 3 3 7 4" xfId="10963" xr:uid="{00000000-0005-0000-0000-0000892B0000}"/>
    <cellStyle name="Normal 2 4 2 3 3 7 5" xfId="27833" xr:uid="{12FB658B-B1BB-46D0-ABFB-F12F946C38AA}"/>
    <cellStyle name="Normal 2 4 2 3 3 8" xfId="4680" xr:uid="{00000000-0005-0000-0000-00008A2B0000}"/>
    <cellStyle name="Normal 2 4 2 3 3 8 2" xfId="21550" xr:uid="{00000000-0005-0000-0000-00008B2B0000}"/>
    <cellStyle name="Normal 2 4 2 3 3 8 2 2" xfId="38418" xr:uid="{E806EF0D-EC97-422E-8442-73371CC3C14A}"/>
    <cellStyle name="Normal 2 4 2 3 3 8 3" xfId="13115" xr:uid="{00000000-0005-0000-0000-00008C2B0000}"/>
    <cellStyle name="Normal 2 4 2 3 3 8 4" xfId="29984" xr:uid="{D21BBD0B-239B-430C-8F88-F60AC3B079B5}"/>
    <cellStyle name="Normal 2 4 2 3 3 9" xfId="17332" xr:uid="{00000000-0005-0000-0000-00008D2B0000}"/>
    <cellStyle name="Normal 2 4 2 3 3 9 2" xfId="34201" xr:uid="{0174A40B-4B75-4757-BDC0-C8DF9BFFEED9}"/>
    <cellStyle name="Normal 2 4 2 3 4" xfId="288" xr:uid="{00000000-0005-0000-0000-00008E2B0000}"/>
    <cellStyle name="Normal 2 4 2 3 4 10" xfId="25769" xr:uid="{A41A0B03-6551-40A0-975C-F23DFF528DCA}"/>
    <cellStyle name="Normal 2 4 2 3 4 2" xfId="779" xr:uid="{00000000-0005-0000-0000-00008F2B0000}"/>
    <cellStyle name="Normal 2 4 2 3 4 2 2" xfId="3018" xr:uid="{00000000-0005-0000-0000-0000902B0000}"/>
    <cellStyle name="Normal 2 4 2 3 4 2 2 2" xfId="7241" xr:uid="{00000000-0005-0000-0000-0000912B0000}"/>
    <cellStyle name="Normal 2 4 2 3 4 2 2 2 2" xfId="24111" xr:uid="{00000000-0005-0000-0000-0000922B0000}"/>
    <cellStyle name="Normal 2 4 2 3 4 2 2 2 2 2" xfId="40979" xr:uid="{08365C94-6508-4A60-A079-361BCBA55B6E}"/>
    <cellStyle name="Normal 2 4 2 3 4 2 2 2 3" xfId="15676" xr:uid="{00000000-0005-0000-0000-0000932B0000}"/>
    <cellStyle name="Normal 2 4 2 3 4 2 2 2 4" xfId="32545" xr:uid="{3D937A08-38B6-49F4-86D4-476C557EEFA3}"/>
    <cellStyle name="Normal 2 4 2 3 4 2 2 3" xfId="19893" xr:uid="{00000000-0005-0000-0000-0000942B0000}"/>
    <cellStyle name="Normal 2 4 2 3 4 2 2 3 2" xfId="36762" xr:uid="{2D1778D7-667F-482D-8E1B-FCCB9902961E}"/>
    <cellStyle name="Normal 2 4 2 3 4 2 2 4" xfId="11458" xr:uid="{00000000-0005-0000-0000-0000952B0000}"/>
    <cellStyle name="Normal 2 4 2 3 4 2 2 5" xfId="28328" xr:uid="{476741A9-D68F-46DA-BA45-DC6E0E15649E}"/>
    <cellStyle name="Normal 2 4 2 3 4 2 3" xfId="5096" xr:uid="{00000000-0005-0000-0000-0000962B0000}"/>
    <cellStyle name="Normal 2 4 2 3 4 2 3 2" xfId="21966" xr:uid="{00000000-0005-0000-0000-0000972B0000}"/>
    <cellStyle name="Normal 2 4 2 3 4 2 3 2 2" xfId="38834" xr:uid="{9B8AC4C1-C380-4D78-B684-4325C9A23CF5}"/>
    <cellStyle name="Normal 2 4 2 3 4 2 3 3" xfId="13531" xr:uid="{00000000-0005-0000-0000-0000982B0000}"/>
    <cellStyle name="Normal 2 4 2 3 4 2 3 4" xfId="30400" xr:uid="{D0BDAB8C-B3DA-409B-88B4-EE1434326CDE}"/>
    <cellStyle name="Normal 2 4 2 3 4 2 4" xfId="17748" xr:uid="{00000000-0005-0000-0000-0000992B0000}"/>
    <cellStyle name="Normal 2 4 2 3 4 2 4 2" xfId="34617" xr:uid="{C25CCFAE-2199-449C-8E40-9D7B06D06E7D}"/>
    <cellStyle name="Normal 2 4 2 3 4 2 5" xfId="9313" xr:uid="{00000000-0005-0000-0000-00009A2B0000}"/>
    <cellStyle name="Normal 2 4 2 3 4 2 6" xfId="26183" xr:uid="{EF70BBA6-CCF8-43D5-BB8A-DFFF15674E3F}"/>
    <cellStyle name="Normal 2 4 2 3 4 3" xfId="1201" xr:uid="{00000000-0005-0000-0000-00009B2B0000}"/>
    <cellStyle name="Normal 2 4 2 3 4 3 2" xfId="3431" xr:uid="{00000000-0005-0000-0000-00009C2B0000}"/>
    <cellStyle name="Normal 2 4 2 3 4 3 2 2" xfId="7654" xr:uid="{00000000-0005-0000-0000-00009D2B0000}"/>
    <cellStyle name="Normal 2 4 2 3 4 3 2 2 2" xfId="24524" xr:uid="{00000000-0005-0000-0000-00009E2B0000}"/>
    <cellStyle name="Normal 2 4 2 3 4 3 2 2 2 2" xfId="41392" xr:uid="{5634C44A-FDB7-415A-8863-7EA1A950D108}"/>
    <cellStyle name="Normal 2 4 2 3 4 3 2 2 3" xfId="16089" xr:uid="{00000000-0005-0000-0000-00009F2B0000}"/>
    <cellStyle name="Normal 2 4 2 3 4 3 2 2 4" xfId="32958" xr:uid="{43C50743-7DA3-4CA5-AB79-812F24E6E9A4}"/>
    <cellStyle name="Normal 2 4 2 3 4 3 2 3" xfId="20306" xr:uid="{00000000-0005-0000-0000-0000A02B0000}"/>
    <cellStyle name="Normal 2 4 2 3 4 3 2 3 2" xfId="37175" xr:uid="{2E960FA6-7069-4191-BE6A-B7584983394D}"/>
    <cellStyle name="Normal 2 4 2 3 4 3 2 4" xfId="11871" xr:uid="{00000000-0005-0000-0000-0000A12B0000}"/>
    <cellStyle name="Normal 2 4 2 3 4 3 2 5" xfId="28741" xr:uid="{E29793F4-08FC-476D-A80F-7DFDC024DC81}"/>
    <cellStyle name="Normal 2 4 2 3 4 3 3" xfId="5509" xr:uid="{00000000-0005-0000-0000-0000A22B0000}"/>
    <cellStyle name="Normal 2 4 2 3 4 3 3 2" xfId="22379" xr:uid="{00000000-0005-0000-0000-0000A32B0000}"/>
    <cellStyle name="Normal 2 4 2 3 4 3 3 2 2" xfId="39247" xr:uid="{931CD712-2FB9-4D1B-BBB8-42CFE75E3466}"/>
    <cellStyle name="Normal 2 4 2 3 4 3 3 3" xfId="13944" xr:uid="{00000000-0005-0000-0000-0000A42B0000}"/>
    <cellStyle name="Normal 2 4 2 3 4 3 3 4" xfId="30813" xr:uid="{7724137E-A486-4ED3-B868-DDD09C7B06FF}"/>
    <cellStyle name="Normal 2 4 2 3 4 3 4" xfId="18161" xr:uid="{00000000-0005-0000-0000-0000A52B0000}"/>
    <cellStyle name="Normal 2 4 2 3 4 3 4 2" xfId="35030" xr:uid="{5C7F2D0E-6D15-4738-9F2E-352FB2824D21}"/>
    <cellStyle name="Normal 2 4 2 3 4 3 5" xfId="9726" xr:uid="{00000000-0005-0000-0000-0000A62B0000}"/>
    <cellStyle name="Normal 2 4 2 3 4 3 6" xfId="26596" xr:uid="{C66AAE2C-3F0A-4987-A642-548777547F04}"/>
    <cellStyle name="Normal 2 4 2 3 4 4" xfId="1614" xr:uid="{00000000-0005-0000-0000-0000A72B0000}"/>
    <cellStyle name="Normal 2 4 2 3 4 4 2" xfId="3844" xr:uid="{00000000-0005-0000-0000-0000A82B0000}"/>
    <cellStyle name="Normal 2 4 2 3 4 4 2 2" xfId="8067" xr:uid="{00000000-0005-0000-0000-0000A92B0000}"/>
    <cellStyle name="Normal 2 4 2 3 4 4 2 2 2" xfId="24937" xr:uid="{00000000-0005-0000-0000-0000AA2B0000}"/>
    <cellStyle name="Normal 2 4 2 3 4 4 2 2 2 2" xfId="41805" xr:uid="{D56C44B6-E722-4ABA-8C64-85ABA02F4FE8}"/>
    <cellStyle name="Normal 2 4 2 3 4 4 2 2 3" xfId="16502" xr:uid="{00000000-0005-0000-0000-0000AB2B0000}"/>
    <cellStyle name="Normal 2 4 2 3 4 4 2 2 4" xfId="33371" xr:uid="{9F5DAB42-FE65-4106-9702-F53E3796290F}"/>
    <cellStyle name="Normal 2 4 2 3 4 4 2 3" xfId="20719" xr:uid="{00000000-0005-0000-0000-0000AC2B0000}"/>
    <cellStyle name="Normal 2 4 2 3 4 4 2 3 2" xfId="37588" xr:uid="{F20CE7BC-8647-4A3D-B5A6-590FB37D5C34}"/>
    <cellStyle name="Normal 2 4 2 3 4 4 2 4" xfId="12284" xr:uid="{00000000-0005-0000-0000-0000AD2B0000}"/>
    <cellStyle name="Normal 2 4 2 3 4 4 2 5" xfId="29154" xr:uid="{21EFFC22-9B3A-4389-BBB5-B31C836469F9}"/>
    <cellStyle name="Normal 2 4 2 3 4 4 3" xfId="5922" xr:uid="{00000000-0005-0000-0000-0000AE2B0000}"/>
    <cellStyle name="Normal 2 4 2 3 4 4 3 2" xfId="22792" xr:uid="{00000000-0005-0000-0000-0000AF2B0000}"/>
    <cellStyle name="Normal 2 4 2 3 4 4 3 2 2" xfId="39660" xr:uid="{71F66A05-1BB7-4A10-8894-79A222CFBE0C}"/>
    <cellStyle name="Normal 2 4 2 3 4 4 3 3" xfId="14357" xr:uid="{00000000-0005-0000-0000-0000B02B0000}"/>
    <cellStyle name="Normal 2 4 2 3 4 4 3 4" xfId="31226" xr:uid="{AC17046E-A214-47A4-BF5F-A9BCD3238277}"/>
    <cellStyle name="Normal 2 4 2 3 4 4 4" xfId="18574" xr:uid="{00000000-0005-0000-0000-0000B12B0000}"/>
    <cellStyle name="Normal 2 4 2 3 4 4 4 2" xfId="35443" xr:uid="{E3CDA5D1-1A14-4AD9-8E94-C0D9502947B0}"/>
    <cellStyle name="Normal 2 4 2 3 4 4 5" xfId="10139" xr:uid="{00000000-0005-0000-0000-0000B22B0000}"/>
    <cellStyle name="Normal 2 4 2 3 4 4 6" xfId="27009" xr:uid="{72ED4DCC-43FC-4EEE-9C65-9D4CAE8237A3}"/>
    <cellStyle name="Normal 2 4 2 3 4 5" xfId="2028" xr:uid="{00000000-0005-0000-0000-0000B32B0000}"/>
    <cellStyle name="Normal 2 4 2 3 4 5 2" xfId="4257" xr:uid="{00000000-0005-0000-0000-0000B42B0000}"/>
    <cellStyle name="Normal 2 4 2 3 4 5 2 2" xfId="8480" xr:uid="{00000000-0005-0000-0000-0000B52B0000}"/>
    <cellStyle name="Normal 2 4 2 3 4 5 2 2 2" xfId="25350" xr:uid="{00000000-0005-0000-0000-0000B62B0000}"/>
    <cellStyle name="Normal 2 4 2 3 4 5 2 2 2 2" xfId="42218" xr:uid="{4973E16B-56E2-416B-8C41-3FA76C8B0504}"/>
    <cellStyle name="Normal 2 4 2 3 4 5 2 2 3" xfId="16915" xr:uid="{00000000-0005-0000-0000-0000B72B0000}"/>
    <cellStyle name="Normal 2 4 2 3 4 5 2 2 4" xfId="33784" xr:uid="{D046E921-0D25-4C58-ACD1-E98C6E751CF9}"/>
    <cellStyle name="Normal 2 4 2 3 4 5 2 3" xfId="21132" xr:uid="{00000000-0005-0000-0000-0000B82B0000}"/>
    <cellStyle name="Normal 2 4 2 3 4 5 2 3 2" xfId="38001" xr:uid="{C1693708-8A40-460E-92C4-550B89A94A7C}"/>
    <cellStyle name="Normal 2 4 2 3 4 5 2 4" xfId="12697" xr:uid="{00000000-0005-0000-0000-0000B92B0000}"/>
    <cellStyle name="Normal 2 4 2 3 4 5 2 5" xfId="29567" xr:uid="{DAA4EAD7-F51B-462D-A9D0-3E5F43AE06EE}"/>
    <cellStyle name="Normal 2 4 2 3 4 5 3" xfId="6335" xr:uid="{00000000-0005-0000-0000-0000BA2B0000}"/>
    <cellStyle name="Normal 2 4 2 3 4 5 3 2" xfId="23205" xr:uid="{00000000-0005-0000-0000-0000BB2B0000}"/>
    <cellStyle name="Normal 2 4 2 3 4 5 3 2 2" xfId="40073" xr:uid="{988C8614-0ADD-4000-857D-3E709B8C677A}"/>
    <cellStyle name="Normal 2 4 2 3 4 5 3 3" xfId="14770" xr:uid="{00000000-0005-0000-0000-0000BC2B0000}"/>
    <cellStyle name="Normal 2 4 2 3 4 5 3 4" xfId="31639" xr:uid="{49E47DFA-05C2-4383-87A9-52EC58445FC7}"/>
    <cellStyle name="Normal 2 4 2 3 4 5 4" xfId="18987" xr:uid="{00000000-0005-0000-0000-0000BD2B0000}"/>
    <cellStyle name="Normal 2 4 2 3 4 5 4 2" xfId="35856" xr:uid="{B24565BA-742C-46E2-8207-580CD345751F}"/>
    <cellStyle name="Normal 2 4 2 3 4 5 5" xfId="10552" xr:uid="{00000000-0005-0000-0000-0000BE2B0000}"/>
    <cellStyle name="Normal 2 4 2 3 4 5 6" xfId="27422" xr:uid="{6D08EBFF-2049-459F-AFB7-7290079DA2B8}"/>
    <cellStyle name="Normal 2 4 2 3 4 6" xfId="2464" xr:uid="{00000000-0005-0000-0000-0000BF2B0000}"/>
    <cellStyle name="Normal 2 4 2 3 4 6 2" xfId="6748" xr:uid="{00000000-0005-0000-0000-0000C02B0000}"/>
    <cellStyle name="Normal 2 4 2 3 4 6 2 2" xfId="23618" xr:uid="{00000000-0005-0000-0000-0000C12B0000}"/>
    <cellStyle name="Normal 2 4 2 3 4 6 2 2 2" xfId="40486" xr:uid="{C1C838D7-9D4A-40E6-A4CA-E1A3560F3993}"/>
    <cellStyle name="Normal 2 4 2 3 4 6 2 3" xfId="15183" xr:uid="{00000000-0005-0000-0000-0000C22B0000}"/>
    <cellStyle name="Normal 2 4 2 3 4 6 2 4" xfId="32052" xr:uid="{44AFEFC5-3EB1-46C7-B48C-3E87852EB91F}"/>
    <cellStyle name="Normal 2 4 2 3 4 6 3" xfId="19400" xr:uid="{00000000-0005-0000-0000-0000C32B0000}"/>
    <cellStyle name="Normal 2 4 2 3 4 6 3 2" xfId="36269" xr:uid="{06A3CCC5-6D52-4AE3-B8DA-A2B063959A1A}"/>
    <cellStyle name="Normal 2 4 2 3 4 6 4" xfId="10965" xr:uid="{00000000-0005-0000-0000-0000C42B0000}"/>
    <cellStyle name="Normal 2 4 2 3 4 6 5" xfId="27835" xr:uid="{8DDB75AB-D1E2-4DFD-B54F-D87F1D1E3C20}"/>
    <cellStyle name="Normal 2 4 2 3 4 7" xfId="4682" xr:uid="{00000000-0005-0000-0000-0000C52B0000}"/>
    <cellStyle name="Normal 2 4 2 3 4 7 2" xfId="21552" xr:uid="{00000000-0005-0000-0000-0000C62B0000}"/>
    <cellStyle name="Normal 2 4 2 3 4 7 2 2" xfId="38420" xr:uid="{EF09C41A-342A-4290-BB0A-18FFC184CA91}"/>
    <cellStyle name="Normal 2 4 2 3 4 7 3" xfId="13117" xr:uid="{00000000-0005-0000-0000-0000C72B0000}"/>
    <cellStyle name="Normal 2 4 2 3 4 7 4" xfId="29986" xr:uid="{0A65DD1D-7333-453F-B338-91DE82A71266}"/>
    <cellStyle name="Normal 2 4 2 3 4 8" xfId="17334" xr:uid="{00000000-0005-0000-0000-0000C82B0000}"/>
    <cellStyle name="Normal 2 4 2 3 4 8 2" xfId="34203" xr:uid="{CE2A8106-817B-4F02-94AF-4287B63A7F34}"/>
    <cellStyle name="Normal 2 4 2 3 4 9" xfId="8899" xr:uid="{00000000-0005-0000-0000-0000C92B0000}"/>
    <cellStyle name="Normal 2 4 2 3 5" xfId="772" xr:uid="{00000000-0005-0000-0000-0000CA2B0000}"/>
    <cellStyle name="Normal 2 4 2 3 5 2" xfId="3011" xr:uid="{00000000-0005-0000-0000-0000CB2B0000}"/>
    <cellStyle name="Normal 2 4 2 3 5 2 2" xfId="7234" xr:uid="{00000000-0005-0000-0000-0000CC2B0000}"/>
    <cellStyle name="Normal 2 4 2 3 5 2 2 2" xfId="24104" xr:uid="{00000000-0005-0000-0000-0000CD2B0000}"/>
    <cellStyle name="Normal 2 4 2 3 5 2 2 2 2" xfId="40972" xr:uid="{252F066B-E1EB-4E5D-A732-3B8FAC394C32}"/>
    <cellStyle name="Normal 2 4 2 3 5 2 2 3" xfId="15669" xr:uid="{00000000-0005-0000-0000-0000CE2B0000}"/>
    <cellStyle name="Normal 2 4 2 3 5 2 2 4" xfId="32538" xr:uid="{7BED58B8-F10E-48B8-BA7B-5E2C585475D0}"/>
    <cellStyle name="Normal 2 4 2 3 5 2 3" xfId="19886" xr:uid="{00000000-0005-0000-0000-0000CF2B0000}"/>
    <cellStyle name="Normal 2 4 2 3 5 2 3 2" xfId="36755" xr:uid="{2AAB848F-7349-4D94-8177-1C4A2C6D3BD3}"/>
    <cellStyle name="Normal 2 4 2 3 5 2 4" xfId="11451" xr:uid="{00000000-0005-0000-0000-0000D02B0000}"/>
    <cellStyle name="Normal 2 4 2 3 5 2 5" xfId="28321" xr:uid="{8295765E-635A-441A-9808-E91693D262D7}"/>
    <cellStyle name="Normal 2 4 2 3 5 3" xfId="5089" xr:uid="{00000000-0005-0000-0000-0000D12B0000}"/>
    <cellStyle name="Normal 2 4 2 3 5 3 2" xfId="21959" xr:uid="{00000000-0005-0000-0000-0000D22B0000}"/>
    <cellStyle name="Normal 2 4 2 3 5 3 2 2" xfId="38827" xr:uid="{FD3D8AD0-76C7-4D45-A45A-CF43EF392C08}"/>
    <cellStyle name="Normal 2 4 2 3 5 3 3" xfId="13524" xr:uid="{00000000-0005-0000-0000-0000D32B0000}"/>
    <cellStyle name="Normal 2 4 2 3 5 3 4" xfId="30393" xr:uid="{C7EB1D68-1F34-4F8E-BE5C-E4163F08B4B3}"/>
    <cellStyle name="Normal 2 4 2 3 5 4" xfId="17741" xr:uid="{00000000-0005-0000-0000-0000D42B0000}"/>
    <cellStyle name="Normal 2 4 2 3 5 4 2" xfId="34610" xr:uid="{1E2B7FAB-75B5-4A3B-8A4E-1111D2A3BD91}"/>
    <cellStyle name="Normal 2 4 2 3 5 5" xfId="9306" xr:uid="{00000000-0005-0000-0000-0000D52B0000}"/>
    <cellStyle name="Normal 2 4 2 3 5 6" xfId="26176" xr:uid="{DE212FEA-F6CB-46D4-8B57-2A7A4824647A}"/>
    <cellStyle name="Normal 2 4 2 3 6" xfId="1194" xr:uid="{00000000-0005-0000-0000-0000D62B0000}"/>
    <cellStyle name="Normal 2 4 2 3 6 2" xfId="3424" xr:uid="{00000000-0005-0000-0000-0000D72B0000}"/>
    <cellStyle name="Normal 2 4 2 3 6 2 2" xfId="7647" xr:uid="{00000000-0005-0000-0000-0000D82B0000}"/>
    <cellStyle name="Normal 2 4 2 3 6 2 2 2" xfId="24517" xr:uid="{00000000-0005-0000-0000-0000D92B0000}"/>
    <cellStyle name="Normal 2 4 2 3 6 2 2 2 2" xfId="41385" xr:uid="{5E70917C-96E8-43DE-9EA1-51ECB0653636}"/>
    <cellStyle name="Normal 2 4 2 3 6 2 2 3" xfId="16082" xr:uid="{00000000-0005-0000-0000-0000DA2B0000}"/>
    <cellStyle name="Normal 2 4 2 3 6 2 2 4" xfId="32951" xr:uid="{A55BCF38-2011-4E80-953B-0C7209B6D08C}"/>
    <cellStyle name="Normal 2 4 2 3 6 2 3" xfId="20299" xr:uid="{00000000-0005-0000-0000-0000DB2B0000}"/>
    <cellStyle name="Normal 2 4 2 3 6 2 3 2" xfId="37168" xr:uid="{8C73CB77-145E-42A5-8EA8-BBF49033599C}"/>
    <cellStyle name="Normal 2 4 2 3 6 2 4" xfId="11864" xr:uid="{00000000-0005-0000-0000-0000DC2B0000}"/>
    <cellStyle name="Normal 2 4 2 3 6 2 5" xfId="28734" xr:uid="{3937E5FA-6928-4B36-8743-7F24A2131516}"/>
    <cellStyle name="Normal 2 4 2 3 6 3" xfId="5502" xr:uid="{00000000-0005-0000-0000-0000DD2B0000}"/>
    <cellStyle name="Normal 2 4 2 3 6 3 2" xfId="22372" xr:uid="{00000000-0005-0000-0000-0000DE2B0000}"/>
    <cellStyle name="Normal 2 4 2 3 6 3 2 2" xfId="39240" xr:uid="{1027B7D9-5353-4E63-8DCB-28C1245A3DAC}"/>
    <cellStyle name="Normal 2 4 2 3 6 3 3" xfId="13937" xr:uid="{00000000-0005-0000-0000-0000DF2B0000}"/>
    <cellStyle name="Normal 2 4 2 3 6 3 4" xfId="30806" xr:uid="{2122CA8D-36E7-468E-90AF-ACD391C40B6D}"/>
    <cellStyle name="Normal 2 4 2 3 6 4" xfId="18154" xr:uid="{00000000-0005-0000-0000-0000E02B0000}"/>
    <cellStyle name="Normal 2 4 2 3 6 4 2" xfId="35023" xr:uid="{0B2A5AF6-B5F9-40CE-A486-896D79648CE2}"/>
    <cellStyle name="Normal 2 4 2 3 6 5" xfId="9719" xr:uid="{00000000-0005-0000-0000-0000E12B0000}"/>
    <cellStyle name="Normal 2 4 2 3 6 6" xfId="26589" xr:uid="{A98E24C5-26CD-4D03-86B4-79D6DF0CBD4B}"/>
    <cellStyle name="Normal 2 4 2 3 7" xfId="1607" xr:uid="{00000000-0005-0000-0000-0000E22B0000}"/>
    <cellStyle name="Normal 2 4 2 3 7 2" xfId="3837" xr:uid="{00000000-0005-0000-0000-0000E32B0000}"/>
    <cellStyle name="Normal 2 4 2 3 7 2 2" xfId="8060" xr:uid="{00000000-0005-0000-0000-0000E42B0000}"/>
    <cellStyle name="Normal 2 4 2 3 7 2 2 2" xfId="24930" xr:uid="{00000000-0005-0000-0000-0000E52B0000}"/>
    <cellStyle name="Normal 2 4 2 3 7 2 2 2 2" xfId="41798" xr:uid="{0E734216-A71A-4870-8C74-F5A29D761AC1}"/>
    <cellStyle name="Normal 2 4 2 3 7 2 2 3" xfId="16495" xr:uid="{00000000-0005-0000-0000-0000E62B0000}"/>
    <cellStyle name="Normal 2 4 2 3 7 2 2 4" xfId="33364" xr:uid="{775C7A09-8BDF-46CE-8719-550C95A88809}"/>
    <cellStyle name="Normal 2 4 2 3 7 2 3" xfId="20712" xr:uid="{00000000-0005-0000-0000-0000E72B0000}"/>
    <cellStyle name="Normal 2 4 2 3 7 2 3 2" xfId="37581" xr:uid="{7879EC8B-BA93-467A-AFAD-08733F1FA2B7}"/>
    <cellStyle name="Normal 2 4 2 3 7 2 4" xfId="12277" xr:uid="{00000000-0005-0000-0000-0000E82B0000}"/>
    <cellStyle name="Normal 2 4 2 3 7 2 5" xfId="29147" xr:uid="{78DD74C8-0B0F-400B-8C91-0744AE206C47}"/>
    <cellStyle name="Normal 2 4 2 3 7 3" xfId="5915" xr:uid="{00000000-0005-0000-0000-0000E92B0000}"/>
    <cellStyle name="Normal 2 4 2 3 7 3 2" xfId="22785" xr:uid="{00000000-0005-0000-0000-0000EA2B0000}"/>
    <cellStyle name="Normal 2 4 2 3 7 3 2 2" xfId="39653" xr:uid="{8130167A-E42E-4D5A-AF55-381127C142E6}"/>
    <cellStyle name="Normal 2 4 2 3 7 3 3" xfId="14350" xr:uid="{00000000-0005-0000-0000-0000EB2B0000}"/>
    <cellStyle name="Normal 2 4 2 3 7 3 4" xfId="31219" xr:uid="{6997A29E-7F23-43F6-A0D6-694C6E8FA5A2}"/>
    <cellStyle name="Normal 2 4 2 3 7 4" xfId="18567" xr:uid="{00000000-0005-0000-0000-0000EC2B0000}"/>
    <cellStyle name="Normal 2 4 2 3 7 4 2" xfId="35436" xr:uid="{FE328EA3-7A7E-4731-8C12-80146BFFC7F5}"/>
    <cellStyle name="Normal 2 4 2 3 7 5" xfId="10132" xr:uid="{00000000-0005-0000-0000-0000ED2B0000}"/>
    <cellStyle name="Normal 2 4 2 3 7 6" xfId="27002" xr:uid="{BC00C9DE-671C-4997-8395-C5085B9D335C}"/>
    <cellStyle name="Normal 2 4 2 3 8" xfId="2021" xr:uid="{00000000-0005-0000-0000-0000EE2B0000}"/>
    <cellStyle name="Normal 2 4 2 3 8 2" xfId="4250" xr:uid="{00000000-0005-0000-0000-0000EF2B0000}"/>
    <cellStyle name="Normal 2 4 2 3 8 2 2" xfId="8473" xr:uid="{00000000-0005-0000-0000-0000F02B0000}"/>
    <cellStyle name="Normal 2 4 2 3 8 2 2 2" xfId="25343" xr:uid="{00000000-0005-0000-0000-0000F12B0000}"/>
    <cellStyle name="Normal 2 4 2 3 8 2 2 2 2" xfId="42211" xr:uid="{1CE2452E-0881-4CFB-8317-5B23AF43465F}"/>
    <cellStyle name="Normal 2 4 2 3 8 2 2 3" xfId="16908" xr:uid="{00000000-0005-0000-0000-0000F22B0000}"/>
    <cellStyle name="Normal 2 4 2 3 8 2 2 4" xfId="33777" xr:uid="{023AAE88-F92F-4695-B38B-5A66DFE0E34F}"/>
    <cellStyle name="Normal 2 4 2 3 8 2 3" xfId="21125" xr:uid="{00000000-0005-0000-0000-0000F32B0000}"/>
    <cellStyle name="Normal 2 4 2 3 8 2 3 2" xfId="37994" xr:uid="{70ABAE33-34EC-4E5E-A126-BD1380E7EBE6}"/>
    <cellStyle name="Normal 2 4 2 3 8 2 4" xfId="12690" xr:uid="{00000000-0005-0000-0000-0000F42B0000}"/>
    <cellStyle name="Normal 2 4 2 3 8 2 5" xfId="29560" xr:uid="{EE8FF2E7-51E4-4695-9126-C652497E57C9}"/>
    <cellStyle name="Normal 2 4 2 3 8 3" xfId="6328" xr:uid="{00000000-0005-0000-0000-0000F52B0000}"/>
    <cellStyle name="Normal 2 4 2 3 8 3 2" xfId="23198" xr:uid="{00000000-0005-0000-0000-0000F62B0000}"/>
    <cellStyle name="Normal 2 4 2 3 8 3 2 2" xfId="40066" xr:uid="{862F2A60-A72E-4001-BE82-257530588592}"/>
    <cellStyle name="Normal 2 4 2 3 8 3 3" xfId="14763" xr:uid="{00000000-0005-0000-0000-0000F72B0000}"/>
    <cellStyle name="Normal 2 4 2 3 8 3 4" xfId="31632" xr:uid="{8FAF8E65-9966-4DA2-A7B4-E8521A16BB40}"/>
    <cellStyle name="Normal 2 4 2 3 8 4" xfId="18980" xr:uid="{00000000-0005-0000-0000-0000F82B0000}"/>
    <cellStyle name="Normal 2 4 2 3 8 4 2" xfId="35849" xr:uid="{F15722C4-976A-4B5D-BA3F-359E0D0C3EE8}"/>
    <cellStyle name="Normal 2 4 2 3 8 5" xfId="10545" xr:uid="{00000000-0005-0000-0000-0000F92B0000}"/>
    <cellStyle name="Normal 2 4 2 3 8 6" xfId="27415" xr:uid="{CB9D0CCD-DA18-4536-9CA1-736BD3A06040}"/>
    <cellStyle name="Normal 2 4 2 3 9" xfId="2457" xr:uid="{00000000-0005-0000-0000-0000FA2B0000}"/>
    <cellStyle name="Normal 2 4 2 3 9 2" xfId="6741" xr:uid="{00000000-0005-0000-0000-0000FB2B0000}"/>
    <cellStyle name="Normal 2 4 2 3 9 2 2" xfId="23611" xr:uid="{00000000-0005-0000-0000-0000FC2B0000}"/>
    <cellStyle name="Normal 2 4 2 3 9 2 2 2" xfId="40479" xr:uid="{8D67A2B6-A22D-48D4-9667-7A56AAF31FCB}"/>
    <cellStyle name="Normal 2 4 2 3 9 2 3" xfId="15176" xr:uid="{00000000-0005-0000-0000-0000FD2B0000}"/>
    <cellStyle name="Normal 2 4 2 3 9 2 4" xfId="32045" xr:uid="{07CB9BE4-63E2-4F50-B4C6-0FE4EC90DB66}"/>
    <cellStyle name="Normal 2 4 2 3 9 3" xfId="19393" xr:uid="{00000000-0005-0000-0000-0000FE2B0000}"/>
    <cellStyle name="Normal 2 4 2 3 9 3 2" xfId="36262" xr:uid="{D2AC8907-BED5-46CB-ACD6-0BD3F1EA77C9}"/>
    <cellStyle name="Normal 2 4 2 3 9 4" xfId="10958" xr:uid="{00000000-0005-0000-0000-0000FF2B0000}"/>
    <cellStyle name="Normal 2 4 2 3 9 5" xfId="27828" xr:uid="{B572C0E8-EA29-4413-9422-3AEA913CBB6A}"/>
    <cellStyle name="Normal 2 4 2 4" xfId="289" xr:uid="{00000000-0005-0000-0000-0000002C0000}"/>
    <cellStyle name="Normal 2 4 2 4 10" xfId="17335" xr:uid="{00000000-0005-0000-0000-0000012C0000}"/>
    <cellStyle name="Normal 2 4 2 4 10 2" xfId="34204" xr:uid="{AB8A157C-CF7B-4650-859D-EB76C78BA786}"/>
    <cellStyle name="Normal 2 4 2 4 11" xfId="8900" xr:uid="{00000000-0005-0000-0000-0000022C0000}"/>
    <cellStyle name="Normal 2 4 2 4 12" xfId="25770" xr:uid="{50A549EB-D115-4A69-9974-AD6AC2541CFC}"/>
    <cellStyle name="Normal 2 4 2 4 2" xfId="290" xr:uid="{00000000-0005-0000-0000-0000032C0000}"/>
    <cellStyle name="Normal 2 4 2 4 2 10" xfId="8901" xr:uid="{00000000-0005-0000-0000-0000042C0000}"/>
    <cellStyle name="Normal 2 4 2 4 2 11" xfId="25771" xr:uid="{C9AF351E-FA8F-484D-935B-87057730AD70}"/>
    <cellStyle name="Normal 2 4 2 4 2 2" xfId="291" xr:uid="{00000000-0005-0000-0000-0000052C0000}"/>
    <cellStyle name="Normal 2 4 2 4 2 2 10" xfId="25772" xr:uid="{B2EC5BC0-2D9F-4B07-9568-0EA31B29380B}"/>
    <cellStyle name="Normal 2 4 2 4 2 2 2" xfId="782" xr:uid="{00000000-0005-0000-0000-0000062C0000}"/>
    <cellStyle name="Normal 2 4 2 4 2 2 2 2" xfId="3021" xr:uid="{00000000-0005-0000-0000-0000072C0000}"/>
    <cellStyle name="Normal 2 4 2 4 2 2 2 2 2" xfId="7244" xr:uid="{00000000-0005-0000-0000-0000082C0000}"/>
    <cellStyle name="Normal 2 4 2 4 2 2 2 2 2 2" xfId="24114" xr:uid="{00000000-0005-0000-0000-0000092C0000}"/>
    <cellStyle name="Normal 2 4 2 4 2 2 2 2 2 2 2" xfId="40982" xr:uid="{F6DEBD47-C422-42D0-87DE-198474E2340E}"/>
    <cellStyle name="Normal 2 4 2 4 2 2 2 2 2 3" xfId="15679" xr:uid="{00000000-0005-0000-0000-00000A2C0000}"/>
    <cellStyle name="Normal 2 4 2 4 2 2 2 2 2 4" xfId="32548" xr:uid="{B9952002-EEAC-42D2-8264-202E46BF1CFD}"/>
    <cellStyle name="Normal 2 4 2 4 2 2 2 2 3" xfId="19896" xr:uid="{00000000-0005-0000-0000-00000B2C0000}"/>
    <cellStyle name="Normal 2 4 2 4 2 2 2 2 3 2" xfId="36765" xr:uid="{23FD55D3-E6F1-4617-B6E5-9F4D59368C06}"/>
    <cellStyle name="Normal 2 4 2 4 2 2 2 2 4" xfId="11461" xr:uid="{00000000-0005-0000-0000-00000C2C0000}"/>
    <cellStyle name="Normal 2 4 2 4 2 2 2 2 5" xfId="28331" xr:uid="{553013E1-46F8-47E2-A38C-1DD12C248573}"/>
    <cellStyle name="Normal 2 4 2 4 2 2 2 3" xfId="5099" xr:uid="{00000000-0005-0000-0000-00000D2C0000}"/>
    <cellStyle name="Normal 2 4 2 4 2 2 2 3 2" xfId="21969" xr:uid="{00000000-0005-0000-0000-00000E2C0000}"/>
    <cellStyle name="Normal 2 4 2 4 2 2 2 3 2 2" xfId="38837" xr:uid="{68BD2394-4984-4EB9-92EA-FA7B92B3F6B8}"/>
    <cellStyle name="Normal 2 4 2 4 2 2 2 3 3" xfId="13534" xr:uid="{00000000-0005-0000-0000-00000F2C0000}"/>
    <cellStyle name="Normal 2 4 2 4 2 2 2 3 4" xfId="30403" xr:uid="{58880F1D-D664-4728-9B46-87FD56BA73BA}"/>
    <cellStyle name="Normal 2 4 2 4 2 2 2 4" xfId="17751" xr:uid="{00000000-0005-0000-0000-0000102C0000}"/>
    <cellStyle name="Normal 2 4 2 4 2 2 2 4 2" xfId="34620" xr:uid="{29AC7830-D1F9-4148-93A4-035F28930172}"/>
    <cellStyle name="Normal 2 4 2 4 2 2 2 5" xfId="9316" xr:uid="{00000000-0005-0000-0000-0000112C0000}"/>
    <cellStyle name="Normal 2 4 2 4 2 2 2 6" xfId="26186" xr:uid="{790FD73E-CE4C-4333-91D0-51B028F87B91}"/>
    <cellStyle name="Normal 2 4 2 4 2 2 3" xfId="1204" xr:uid="{00000000-0005-0000-0000-0000122C0000}"/>
    <cellStyle name="Normal 2 4 2 4 2 2 3 2" xfId="3434" xr:uid="{00000000-0005-0000-0000-0000132C0000}"/>
    <cellStyle name="Normal 2 4 2 4 2 2 3 2 2" xfId="7657" xr:uid="{00000000-0005-0000-0000-0000142C0000}"/>
    <cellStyle name="Normal 2 4 2 4 2 2 3 2 2 2" xfId="24527" xr:uid="{00000000-0005-0000-0000-0000152C0000}"/>
    <cellStyle name="Normal 2 4 2 4 2 2 3 2 2 2 2" xfId="41395" xr:uid="{C57C70DA-A337-4755-B8DD-30D5DF12BE6E}"/>
    <cellStyle name="Normal 2 4 2 4 2 2 3 2 2 3" xfId="16092" xr:uid="{00000000-0005-0000-0000-0000162C0000}"/>
    <cellStyle name="Normal 2 4 2 4 2 2 3 2 2 4" xfId="32961" xr:uid="{6264F0D8-6C11-4638-8463-9610D4202F8D}"/>
    <cellStyle name="Normal 2 4 2 4 2 2 3 2 3" xfId="20309" xr:uid="{00000000-0005-0000-0000-0000172C0000}"/>
    <cellStyle name="Normal 2 4 2 4 2 2 3 2 3 2" xfId="37178" xr:uid="{B2282472-9F17-46FD-AE0F-8868128539EE}"/>
    <cellStyle name="Normal 2 4 2 4 2 2 3 2 4" xfId="11874" xr:uid="{00000000-0005-0000-0000-0000182C0000}"/>
    <cellStyle name="Normal 2 4 2 4 2 2 3 2 5" xfId="28744" xr:uid="{5F074526-91F3-47E7-9A3E-4FF8ECC93306}"/>
    <cellStyle name="Normal 2 4 2 4 2 2 3 3" xfId="5512" xr:uid="{00000000-0005-0000-0000-0000192C0000}"/>
    <cellStyle name="Normal 2 4 2 4 2 2 3 3 2" xfId="22382" xr:uid="{00000000-0005-0000-0000-00001A2C0000}"/>
    <cellStyle name="Normal 2 4 2 4 2 2 3 3 2 2" xfId="39250" xr:uid="{5E1BC547-38AB-4C95-AC63-C45B46D220F5}"/>
    <cellStyle name="Normal 2 4 2 4 2 2 3 3 3" xfId="13947" xr:uid="{00000000-0005-0000-0000-00001B2C0000}"/>
    <cellStyle name="Normal 2 4 2 4 2 2 3 3 4" xfId="30816" xr:uid="{2A79E9A1-B0DD-4A48-8729-E7B86004CEA4}"/>
    <cellStyle name="Normal 2 4 2 4 2 2 3 4" xfId="18164" xr:uid="{00000000-0005-0000-0000-00001C2C0000}"/>
    <cellStyle name="Normal 2 4 2 4 2 2 3 4 2" xfId="35033" xr:uid="{E05AAB8B-AD36-44E5-A4AC-40AA98693068}"/>
    <cellStyle name="Normal 2 4 2 4 2 2 3 5" xfId="9729" xr:uid="{00000000-0005-0000-0000-00001D2C0000}"/>
    <cellStyle name="Normal 2 4 2 4 2 2 3 6" xfId="26599" xr:uid="{5485CBBF-1596-4BA0-B7A0-563CD807B094}"/>
    <cellStyle name="Normal 2 4 2 4 2 2 4" xfId="1617" xr:uid="{00000000-0005-0000-0000-00001E2C0000}"/>
    <cellStyle name="Normal 2 4 2 4 2 2 4 2" xfId="3847" xr:uid="{00000000-0005-0000-0000-00001F2C0000}"/>
    <cellStyle name="Normal 2 4 2 4 2 2 4 2 2" xfId="8070" xr:uid="{00000000-0005-0000-0000-0000202C0000}"/>
    <cellStyle name="Normal 2 4 2 4 2 2 4 2 2 2" xfId="24940" xr:uid="{00000000-0005-0000-0000-0000212C0000}"/>
    <cellStyle name="Normal 2 4 2 4 2 2 4 2 2 2 2" xfId="41808" xr:uid="{7B5633A8-6881-4038-B4C9-104280507675}"/>
    <cellStyle name="Normal 2 4 2 4 2 2 4 2 2 3" xfId="16505" xr:uid="{00000000-0005-0000-0000-0000222C0000}"/>
    <cellStyle name="Normal 2 4 2 4 2 2 4 2 2 4" xfId="33374" xr:uid="{DBD8A72F-9954-4471-96FA-E27A3DC145BA}"/>
    <cellStyle name="Normal 2 4 2 4 2 2 4 2 3" xfId="20722" xr:uid="{00000000-0005-0000-0000-0000232C0000}"/>
    <cellStyle name="Normal 2 4 2 4 2 2 4 2 3 2" xfId="37591" xr:uid="{55E8BDB8-93E4-4420-ADE2-3603F00AB167}"/>
    <cellStyle name="Normal 2 4 2 4 2 2 4 2 4" xfId="12287" xr:uid="{00000000-0005-0000-0000-0000242C0000}"/>
    <cellStyle name="Normal 2 4 2 4 2 2 4 2 5" xfId="29157" xr:uid="{BCBD5A53-46E7-48CD-95E3-126DC764B786}"/>
    <cellStyle name="Normal 2 4 2 4 2 2 4 3" xfId="5925" xr:uid="{00000000-0005-0000-0000-0000252C0000}"/>
    <cellStyle name="Normal 2 4 2 4 2 2 4 3 2" xfId="22795" xr:uid="{00000000-0005-0000-0000-0000262C0000}"/>
    <cellStyle name="Normal 2 4 2 4 2 2 4 3 2 2" xfId="39663" xr:uid="{226015E2-4275-4BAA-BBE4-3F9788C14F24}"/>
    <cellStyle name="Normal 2 4 2 4 2 2 4 3 3" xfId="14360" xr:uid="{00000000-0005-0000-0000-0000272C0000}"/>
    <cellStyle name="Normal 2 4 2 4 2 2 4 3 4" xfId="31229" xr:uid="{77B185A8-9EB5-426F-B91F-17A8FBA05DD1}"/>
    <cellStyle name="Normal 2 4 2 4 2 2 4 4" xfId="18577" xr:uid="{00000000-0005-0000-0000-0000282C0000}"/>
    <cellStyle name="Normal 2 4 2 4 2 2 4 4 2" xfId="35446" xr:uid="{9D8D4D1B-F5F1-4468-95CE-4EDA890F31CF}"/>
    <cellStyle name="Normal 2 4 2 4 2 2 4 5" xfId="10142" xr:uid="{00000000-0005-0000-0000-0000292C0000}"/>
    <cellStyle name="Normal 2 4 2 4 2 2 4 6" xfId="27012" xr:uid="{414382AA-6826-49AD-A9BB-5BD09F7E00AB}"/>
    <cellStyle name="Normal 2 4 2 4 2 2 5" xfId="2031" xr:uid="{00000000-0005-0000-0000-00002A2C0000}"/>
    <cellStyle name="Normal 2 4 2 4 2 2 5 2" xfId="4260" xr:uid="{00000000-0005-0000-0000-00002B2C0000}"/>
    <cellStyle name="Normal 2 4 2 4 2 2 5 2 2" xfId="8483" xr:uid="{00000000-0005-0000-0000-00002C2C0000}"/>
    <cellStyle name="Normal 2 4 2 4 2 2 5 2 2 2" xfId="25353" xr:uid="{00000000-0005-0000-0000-00002D2C0000}"/>
    <cellStyle name="Normal 2 4 2 4 2 2 5 2 2 2 2" xfId="42221" xr:uid="{9779FEEA-FA41-458F-947C-33E087563515}"/>
    <cellStyle name="Normal 2 4 2 4 2 2 5 2 2 3" xfId="16918" xr:uid="{00000000-0005-0000-0000-00002E2C0000}"/>
    <cellStyle name="Normal 2 4 2 4 2 2 5 2 2 4" xfId="33787" xr:uid="{D17E0786-AC05-41C3-8DFB-2A2B3CDF8816}"/>
    <cellStyle name="Normal 2 4 2 4 2 2 5 2 3" xfId="21135" xr:uid="{00000000-0005-0000-0000-00002F2C0000}"/>
    <cellStyle name="Normal 2 4 2 4 2 2 5 2 3 2" xfId="38004" xr:uid="{0FFB61EF-A65D-461E-B45D-9B2DA181A773}"/>
    <cellStyle name="Normal 2 4 2 4 2 2 5 2 4" xfId="12700" xr:uid="{00000000-0005-0000-0000-0000302C0000}"/>
    <cellStyle name="Normal 2 4 2 4 2 2 5 2 5" xfId="29570" xr:uid="{ABA5AB2D-E384-48CA-919F-AD00172C5422}"/>
    <cellStyle name="Normal 2 4 2 4 2 2 5 3" xfId="6338" xr:uid="{00000000-0005-0000-0000-0000312C0000}"/>
    <cellStyle name="Normal 2 4 2 4 2 2 5 3 2" xfId="23208" xr:uid="{00000000-0005-0000-0000-0000322C0000}"/>
    <cellStyle name="Normal 2 4 2 4 2 2 5 3 2 2" xfId="40076" xr:uid="{079073DA-6C93-4685-AF13-A5CDBC0A6182}"/>
    <cellStyle name="Normal 2 4 2 4 2 2 5 3 3" xfId="14773" xr:uid="{00000000-0005-0000-0000-0000332C0000}"/>
    <cellStyle name="Normal 2 4 2 4 2 2 5 3 4" xfId="31642" xr:uid="{B36EDEC7-472D-443C-9906-F606A86D2C91}"/>
    <cellStyle name="Normal 2 4 2 4 2 2 5 4" xfId="18990" xr:uid="{00000000-0005-0000-0000-0000342C0000}"/>
    <cellStyle name="Normal 2 4 2 4 2 2 5 4 2" xfId="35859" xr:uid="{FF5D0203-440F-477C-9206-029731453B32}"/>
    <cellStyle name="Normal 2 4 2 4 2 2 5 5" xfId="10555" xr:uid="{00000000-0005-0000-0000-0000352C0000}"/>
    <cellStyle name="Normal 2 4 2 4 2 2 5 6" xfId="27425" xr:uid="{6C7BA7D4-189D-4E7A-85B7-75467F85C369}"/>
    <cellStyle name="Normal 2 4 2 4 2 2 6" xfId="2467" xr:uid="{00000000-0005-0000-0000-0000362C0000}"/>
    <cellStyle name="Normal 2 4 2 4 2 2 6 2" xfId="6751" xr:uid="{00000000-0005-0000-0000-0000372C0000}"/>
    <cellStyle name="Normal 2 4 2 4 2 2 6 2 2" xfId="23621" xr:uid="{00000000-0005-0000-0000-0000382C0000}"/>
    <cellStyle name="Normal 2 4 2 4 2 2 6 2 2 2" xfId="40489" xr:uid="{DEEEF22F-25B5-45B0-85AB-725BC6A9260D}"/>
    <cellStyle name="Normal 2 4 2 4 2 2 6 2 3" xfId="15186" xr:uid="{00000000-0005-0000-0000-0000392C0000}"/>
    <cellStyle name="Normal 2 4 2 4 2 2 6 2 4" xfId="32055" xr:uid="{0F37027F-E26F-4DCA-9C5D-BEBE435D7BB6}"/>
    <cellStyle name="Normal 2 4 2 4 2 2 6 3" xfId="19403" xr:uid="{00000000-0005-0000-0000-00003A2C0000}"/>
    <cellStyle name="Normal 2 4 2 4 2 2 6 3 2" xfId="36272" xr:uid="{C359C7E2-A637-4508-8842-999251ADDCB1}"/>
    <cellStyle name="Normal 2 4 2 4 2 2 6 4" xfId="10968" xr:uid="{00000000-0005-0000-0000-00003B2C0000}"/>
    <cellStyle name="Normal 2 4 2 4 2 2 6 5" xfId="27838" xr:uid="{7CB0F279-BFD7-487B-BD3D-585BBBE8F161}"/>
    <cellStyle name="Normal 2 4 2 4 2 2 7" xfId="4685" xr:uid="{00000000-0005-0000-0000-00003C2C0000}"/>
    <cellStyle name="Normal 2 4 2 4 2 2 7 2" xfId="21555" xr:uid="{00000000-0005-0000-0000-00003D2C0000}"/>
    <cellStyle name="Normal 2 4 2 4 2 2 7 2 2" xfId="38423" xr:uid="{3B69649F-84DE-4F08-80DD-D6F12D2027A5}"/>
    <cellStyle name="Normal 2 4 2 4 2 2 7 3" xfId="13120" xr:uid="{00000000-0005-0000-0000-00003E2C0000}"/>
    <cellStyle name="Normal 2 4 2 4 2 2 7 4" xfId="29989" xr:uid="{EA4D09F5-4295-41C0-A562-C97CAD2470A6}"/>
    <cellStyle name="Normal 2 4 2 4 2 2 8" xfId="17337" xr:uid="{00000000-0005-0000-0000-00003F2C0000}"/>
    <cellStyle name="Normal 2 4 2 4 2 2 8 2" xfId="34206" xr:uid="{8E975A96-75BC-4A0E-97A7-7E1FB75678A2}"/>
    <cellStyle name="Normal 2 4 2 4 2 2 9" xfId="8902" xr:uid="{00000000-0005-0000-0000-0000402C0000}"/>
    <cellStyle name="Normal 2 4 2 4 2 3" xfId="781" xr:uid="{00000000-0005-0000-0000-0000412C0000}"/>
    <cellStyle name="Normal 2 4 2 4 2 3 2" xfId="3020" xr:uid="{00000000-0005-0000-0000-0000422C0000}"/>
    <cellStyle name="Normal 2 4 2 4 2 3 2 2" xfId="7243" xr:uid="{00000000-0005-0000-0000-0000432C0000}"/>
    <cellStyle name="Normal 2 4 2 4 2 3 2 2 2" xfId="24113" xr:uid="{00000000-0005-0000-0000-0000442C0000}"/>
    <cellStyle name="Normal 2 4 2 4 2 3 2 2 2 2" xfId="40981" xr:uid="{60997032-979A-4AD9-B1B3-71BEB0127628}"/>
    <cellStyle name="Normal 2 4 2 4 2 3 2 2 3" xfId="15678" xr:uid="{00000000-0005-0000-0000-0000452C0000}"/>
    <cellStyle name="Normal 2 4 2 4 2 3 2 2 4" xfId="32547" xr:uid="{CB2B1041-1E31-462D-83E6-FD3EF4371FF0}"/>
    <cellStyle name="Normal 2 4 2 4 2 3 2 3" xfId="19895" xr:uid="{00000000-0005-0000-0000-0000462C0000}"/>
    <cellStyle name="Normal 2 4 2 4 2 3 2 3 2" xfId="36764" xr:uid="{6E0CCC88-0948-4F95-8258-E8134ED251F2}"/>
    <cellStyle name="Normal 2 4 2 4 2 3 2 4" xfId="11460" xr:uid="{00000000-0005-0000-0000-0000472C0000}"/>
    <cellStyle name="Normal 2 4 2 4 2 3 2 5" xfId="28330" xr:uid="{FC7AE569-AAFE-4902-9213-1A6B73BDDAD6}"/>
    <cellStyle name="Normal 2 4 2 4 2 3 3" xfId="5098" xr:uid="{00000000-0005-0000-0000-0000482C0000}"/>
    <cellStyle name="Normal 2 4 2 4 2 3 3 2" xfId="21968" xr:uid="{00000000-0005-0000-0000-0000492C0000}"/>
    <cellStyle name="Normal 2 4 2 4 2 3 3 2 2" xfId="38836" xr:uid="{657C48BB-0F6D-4F00-BEF8-E622EB8CB3DF}"/>
    <cellStyle name="Normal 2 4 2 4 2 3 3 3" xfId="13533" xr:uid="{00000000-0005-0000-0000-00004A2C0000}"/>
    <cellStyle name="Normal 2 4 2 4 2 3 3 4" xfId="30402" xr:uid="{B2FF69D4-AB30-494B-AB8A-6D238BDD3AC5}"/>
    <cellStyle name="Normal 2 4 2 4 2 3 4" xfId="17750" xr:uid="{00000000-0005-0000-0000-00004B2C0000}"/>
    <cellStyle name="Normal 2 4 2 4 2 3 4 2" xfId="34619" xr:uid="{08B9BC03-AFD0-4E90-A088-BFC2F57A19C8}"/>
    <cellStyle name="Normal 2 4 2 4 2 3 5" xfId="9315" xr:uid="{00000000-0005-0000-0000-00004C2C0000}"/>
    <cellStyle name="Normal 2 4 2 4 2 3 6" xfId="26185" xr:uid="{1B1EDF82-00F7-464D-8975-65594B35D483}"/>
    <cellStyle name="Normal 2 4 2 4 2 4" xfId="1203" xr:uid="{00000000-0005-0000-0000-00004D2C0000}"/>
    <cellStyle name="Normal 2 4 2 4 2 4 2" xfId="3433" xr:uid="{00000000-0005-0000-0000-00004E2C0000}"/>
    <cellStyle name="Normal 2 4 2 4 2 4 2 2" xfId="7656" xr:uid="{00000000-0005-0000-0000-00004F2C0000}"/>
    <cellStyle name="Normal 2 4 2 4 2 4 2 2 2" xfId="24526" xr:uid="{00000000-0005-0000-0000-0000502C0000}"/>
    <cellStyle name="Normal 2 4 2 4 2 4 2 2 2 2" xfId="41394" xr:uid="{EE6CFABC-C52D-469A-BFC5-832F5EC8B361}"/>
    <cellStyle name="Normal 2 4 2 4 2 4 2 2 3" xfId="16091" xr:uid="{00000000-0005-0000-0000-0000512C0000}"/>
    <cellStyle name="Normal 2 4 2 4 2 4 2 2 4" xfId="32960" xr:uid="{23985994-C22E-48DA-8C07-1381E3437D81}"/>
    <cellStyle name="Normal 2 4 2 4 2 4 2 3" xfId="20308" xr:uid="{00000000-0005-0000-0000-0000522C0000}"/>
    <cellStyle name="Normal 2 4 2 4 2 4 2 3 2" xfId="37177" xr:uid="{B7EF1370-A2C8-4EC7-8DC7-C4346DF27742}"/>
    <cellStyle name="Normal 2 4 2 4 2 4 2 4" xfId="11873" xr:uid="{00000000-0005-0000-0000-0000532C0000}"/>
    <cellStyle name="Normal 2 4 2 4 2 4 2 5" xfId="28743" xr:uid="{EB1A3DEA-B7DA-43E2-ABCF-B1E0BB4829C0}"/>
    <cellStyle name="Normal 2 4 2 4 2 4 3" xfId="5511" xr:uid="{00000000-0005-0000-0000-0000542C0000}"/>
    <cellStyle name="Normal 2 4 2 4 2 4 3 2" xfId="22381" xr:uid="{00000000-0005-0000-0000-0000552C0000}"/>
    <cellStyle name="Normal 2 4 2 4 2 4 3 2 2" xfId="39249" xr:uid="{CE12DFA0-AD02-413C-98B0-5A5ADF0AB287}"/>
    <cellStyle name="Normal 2 4 2 4 2 4 3 3" xfId="13946" xr:uid="{00000000-0005-0000-0000-0000562C0000}"/>
    <cellStyle name="Normal 2 4 2 4 2 4 3 4" xfId="30815" xr:uid="{A680CED6-27E0-4616-BAAB-4073173E4DB2}"/>
    <cellStyle name="Normal 2 4 2 4 2 4 4" xfId="18163" xr:uid="{00000000-0005-0000-0000-0000572C0000}"/>
    <cellStyle name="Normal 2 4 2 4 2 4 4 2" xfId="35032" xr:uid="{A802C1B8-E638-44E2-A59A-C36BF823F696}"/>
    <cellStyle name="Normal 2 4 2 4 2 4 5" xfId="9728" xr:uid="{00000000-0005-0000-0000-0000582C0000}"/>
    <cellStyle name="Normal 2 4 2 4 2 4 6" xfId="26598" xr:uid="{6B7BB7A1-1C94-4A7D-9555-D15D0027ADF5}"/>
    <cellStyle name="Normal 2 4 2 4 2 5" xfId="1616" xr:uid="{00000000-0005-0000-0000-0000592C0000}"/>
    <cellStyle name="Normal 2 4 2 4 2 5 2" xfId="3846" xr:uid="{00000000-0005-0000-0000-00005A2C0000}"/>
    <cellStyle name="Normal 2 4 2 4 2 5 2 2" xfId="8069" xr:uid="{00000000-0005-0000-0000-00005B2C0000}"/>
    <cellStyle name="Normal 2 4 2 4 2 5 2 2 2" xfId="24939" xr:uid="{00000000-0005-0000-0000-00005C2C0000}"/>
    <cellStyle name="Normal 2 4 2 4 2 5 2 2 2 2" xfId="41807" xr:uid="{EEF1F199-F700-4697-A0BA-0644990A95B8}"/>
    <cellStyle name="Normal 2 4 2 4 2 5 2 2 3" xfId="16504" xr:uid="{00000000-0005-0000-0000-00005D2C0000}"/>
    <cellStyle name="Normal 2 4 2 4 2 5 2 2 4" xfId="33373" xr:uid="{EB62D5D6-EC29-476C-9C0D-60DD4849A079}"/>
    <cellStyle name="Normal 2 4 2 4 2 5 2 3" xfId="20721" xr:uid="{00000000-0005-0000-0000-00005E2C0000}"/>
    <cellStyle name="Normal 2 4 2 4 2 5 2 3 2" xfId="37590" xr:uid="{A7EB795D-C5BA-40D2-AFDC-1B52EDC64D45}"/>
    <cellStyle name="Normal 2 4 2 4 2 5 2 4" xfId="12286" xr:uid="{00000000-0005-0000-0000-00005F2C0000}"/>
    <cellStyle name="Normal 2 4 2 4 2 5 2 5" xfId="29156" xr:uid="{09757007-7FFD-4A74-A308-7CA557987297}"/>
    <cellStyle name="Normal 2 4 2 4 2 5 3" xfId="5924" xr:uid="{00000000-0005-0000-0000-0000602C0000}"/>
    <cellStyle name="Normal 2 4 2 4 2 5 3 2" xfId="22794" xr:uid="{00000000-0005-0000-0000-0000612C0000}"/>
    <cellStyle name="Normal 2 4 2 4 2 5 3 2 2" xfId="39662" xr:uid="{717EDC61-DF4C-4B4A-97F4-7D0F499309AF}"/>
    <cellStyle name="Normal 2 4 2 4 2 5 3 3" xfId="14359" xr:uid="{00000000-0005-0000-0000-0000622C0000}"/>
    <cellStyle name="Normal 2 4 2 4 2 5 3 4" xfId="31228" xr:uid="{5C52E98C-9B03-4FF8-9D4D-52F8C7260083}"/>
    <cellStyle name="Normal 2 4 2 4 2 5 4" xfId="18576" xr:uid="{00000000-0005-0000-0000-0000632C0000}"/>
    <cellStyle name="Normal 2 4 2 4 2 5 4 2" xfId="35445" xr:uid="{7F836D76-484C-4DBC-A48B-ECC2AF40EF72}"/>
    <cellStyle name="Normal 2 4 2 4 2 5 5" xfId="10141" xr:uid="{00000000-0005-0000-0000-0000642C0000}"/>
    <cellStyle name="Normal 2 4 2 4 2 5 6" xfId="27011" xr:uid="{CB6152F0-F85E-4217-851A-7B512973786F}"/>
    <cellStyle name="Normal 2 4 2 4 2 6" xfId="2030" xr:uid="{00000000-0005-0000-0000-0000652C0000}"/>
    <cellStyle name="Normal 2 4 2 4 2 6 2" xfId="4259" xr:uid="{00000000-0005-0000-0000-0000662C0000}"/>
    <cellStyle name="Normal 2 4 2 4 2 6 2 2" xfId="8482" xr:uid="{00000000-0005-0000-0000-0000672C0000}"/>
    <cellStyle name="Normal 2 4 2 4 2 6 2 2 2" xfId="25352" xr:uid="{00000000-0005-0000-0000-0000682C0000}"/>
    <cellStyle name="Normal 2 4 2 4 2 6 2 2 2 2" xfId="42220" xr:uid="{99334C1E-7581-4761-948E-1C027F9FFB0E}"/>
    <cellStyle name="Normal 2 4 2 4 2 6 2 2 3" xfId="16917" xr:uid="{00000000-0005-0000-0000-0000692C0000}"/>
    <cellStyle name="Normal 2 4 2 4 2 6 2 2 4" xfId="33786" xr:uid="{A6C3AE44-129F-43C7-BC6E-E8B610D993F6}"/>
    <cellStyle name="Normal 2 4 2 4 2 6 2 3" xfId="21134" xr:uid="{00000000-0005-0000-0000-00006A2C0000}"/>
    <cellStyle name="Normal 2 4 2 4 2 6 2 3 2" xfId="38003" xr:uid="{B6CA3095-F293-4100-A04D-2EDF26315100}"/>
    <cellStyle name="Normal 2 4 2 4 2 6 2 4" xfId="12699" xr:uid="{00000000-0005-0000-0000-00006B2C0000}"/>
    <cellStyle name="Normal 2 4 2 4 2 6 2 5" xfId="29569" xr:uid="{BACDF226-E5A7-4E6E-9C6B-A8CC6509913D}"/>
    <cellStyle name="Normal 2 4 2 4 2 6 3" xfId="6337" xr:uid="{00000000-0005-0000-0000-00006C2C0000}"/>
    <cellStyle name="Normal 2 4 2 4 2 6 3 2" xfId="23207" xr:uid="{00000000-0005-0000-0000-00006D2C0000}"/>
    <cellStyle name="Normal 2 4 2 4 2 6 3 2 2" xfId="40075" xr:uid="{E593429E-8072-421B-B466-6B24B726F8A5}"/>
    <cellStyle name="Normal 2 4 2 4 2 6 3 3" xfId="14772" xr:uid="{00000000-0005-0000-0000-00006E2C0000}"/>
    <cellStyle name="Normal 2 4 2 4 2 6 3 4" xfId="31641" xr:uid="{DD6BC06B-2EFD-400E-8718-8CDB48420AE2}"/>
    <cellStyle name="Normal 2 4 2 4 2 6 4" xfId="18989" xr:uid="{00000000-0005-0000-0000-00006F2C0000}"/>
    <cellStyle name="Normal 2 4 2 4 2 6 4 2" xfId="35858" xr:uid="{1607F6DE-D14B-4B63-BC79-06404CD7B53F}"/>
    <cellStyle name="Normal 2 4 2 4 2 6 5" xfId="10554" xr:uid="{00000000-0005-0000-0000-0000702C0000}"/>
    <cellStyle name="Normal 2 4 2 4 2 6 6" xfId="27424" xr:uid="{3A60E178-DEF4-4CBE-9EFE-B647F60B9C6F}"/>
    <cellStyle name="Normal 2 4 2 4 2 7" xfId="2466" xr:uid="{00000000-0005-0000-0000-0000712C0000}"/>
    <cellStyle name="Normal 2 4 2 4 2 7 2" xfId="6750" xr:uid="{00000000-0005-0000-0000-0000722C0000}"/>
    <cellStyle name="Normal 2 4 2 4 2 7 2 2" xfId="23620" xr:uid="{00000000-0005-0000-0000-0000732C0000}"/>
    <cellStyle name="Normal 2 4 2 4 2 7 2 2 2" xfId="40488" xr:uid="{C894C1DA-00BA-46B1-96EA-9950F07EDB43}"/>
    <cellStyle name="Normal 2 4 2 4 2 7 2 3" xfId="15185" xr:uid="{00000000-0005-0000-0000-0000742C0000}"/>
    <cellStyle name="Normal 2 4 2 4 2 7 2 4" xfId="32054" xr:uid="{729F91B6-0B4A-4737-9629-CE03C882936D}"/>
    <cellStyle name="Normal 2 4 2 4 2 7 3" xfId="19402" xr:uid="{00000000-0005-0000-0000-0000752C0000}"/>
    <cellStyle name="Normal 2 4 2 4 2 7 3 2" xfId="36271" xr:uid="{3C16EB5C-6A42-448D-8E00-DE1F9EA88D40}"/>
    <cellStyle name="Normal 2 4 2 4 2 7 4" xfId="10967" xr:uid="{00000000-0005-0000-0000-0000762C0000}"/>
    <cellStyle name="Normal 2 4 2 4 2 7 5" xfId="27837" xr:uid="{5939C9BA-23F8-4358-8099-C27477CFA339}"/>
    <cellStyle name="Normal 2 4 2 4 2 8" xfId="4684" xr:uid="{00000000-0005-0000-0000-0000772C0000}"/>
    <cellStyle name="Normal 2 4 2 4 2 8 2" xfId="21554" xr:uid="{00000000-0005-0000-0000-0000782C0000}"/>
    <cellStyle name="Normal 2 4 2 4 2 8 2 2" xfId="38422" xr:uid="{31D03DD6-9A31-45B5-95CC-B8D84B217E1A}"/>
    <cellStyle name="Normal 2 4 2 4 2 8 3" xfId="13119" xr:uid="{00000000-0005-0000-0000-0000792C0000}"/>
    <cellStyle name="Normal 2 4 2 4 2 8 4" xfId="29988" xr:uid="{37FCBB34-4493-4D5A-974C-A94349A2451F}"/>
    <cellStyle name="Normal 2 4 2 4 2 9" xfId="17336" xr:uid="{00000000-0005-0000-0000-00007A2C0000}"/>
    <cellStyle name="Normal 2 4 2 4 2 9 2" xfId="34205" xr:uid="{6A156B78-EAF4-4B98-B6DA-8D444698F8EE}"/>
    <cellStyle name="Normal 2 4 2 4 3" xfId="292" xr:uid="{00000000-0005-0000-0000-00007B2C0000}"/>
    <cellStyle name="Normal 2 4 2 4 3 10" xfId="25773" xr:uid="{87B8CCD3-3935-4789-878B-D6140903B0E7}"/>
    <cellStyle name="Normal 2 4 2 4 3 2" xfId="783" xr:uid="{00000000-0005-0000-0000-00007C2C0000}"/>
    <cellStyle name="Normal 2 4 2 4 3 2 2" xfId="3022" xr:uid="{00000000-0005-0000-0000-00007D2C0000}"/>
    <cellStyle name="Normal 2 4 2 4 3 2 2 2" xfId="7245" xr:uid="{00000000-0005-0000-0000-00007E2C0000}"/>
    <cellStyle name="Normal 2 4 2 4 3 2 2 2 2" xfId="24115" xr:uid="{00000000-0005-0000-0000-00007F2C0000}"/>
    <cellStyle name="Normal 2 4 2 4 3 2 2 2 2 2" xfId="40983" xr:uid="{3850FCB9-4238-4BB7-ABDA-FCCA17151F73}"/>
    <cellStyle name="Normal 2 4 2 4 3 2 2 2 3" xfId="15680" xr:uid="{00000000-0005-0000-0000-0000802C0000}"/>
    <cellStyle name="Normal 2 4 2 4 3 2 2 2 4" xfId="32549" xr:uid="{F9F39CE9-ED71-406C-9EB6-06C326D7972F}"/>
    <cellStyle name="Normal 2 4 2 4 3 2 2 3" xfId="19897" xr:uid="{00000000-0005-0000-0000-0000812C0000}"/>
    <cellStyle name="Normal 2 4 2 4 3 2 2 3 2" xfId="36766" xr:uid="{393A61F7-A8FC-4309-B37C-C34568CF7785}"/>
    <cellStyle name="Normal 2 4 2 4 3 2 2 4" xfId="11462" xr:uid="{00000000-0005-0000-0000-0000822C0000}"/>
    <cellStyle name="Normal 2 4 2 4 3 2 2 5" xfId="28332" xr:uid="{71099F02-D82A-4E31-AE1A-0B2BB5FF9FB7}"/>
    <cellStyle name="Normal 2 4 2 4 3 2 3" xfId="5100" xr:uid="{00000000-0005-0000-0000-0000832C0000}"/>
    <cellStyle name="Normal 2 4 2 4 3 2 3 2" xfId="21970" xr:uid="{00000000-0005-0000-0000-0000842C0000}"/>
    <cellStyle name="Normal 2 4 2 4 3 2 3 2 2" xfId="38838" xr:uid="{ABEB7D87-F3B2-4486-9206-BD0EC1B64073}"/>
    <cellStyle name="Normal 2 4 2 4 3 2 3 3" xfId="13535" xr:uid="{00000000-0005-0000-0000-0000852C0000}"/>
    <cellStyle name="Normal 2 4 2 4 3 2 3 4" xfId="30404" xr:uid="{B4812CF1-05A9-4908-A4C9-945AD39C6C22}"/>
    <cellStyle name="Normal 2 4 2 4 3 2 4" xfId="17752" xr:uid="{00000000-0005-0000-0000-0000862C0000}"/>
    <cellStyle name="Normal 2 4 2 4 3 2 4 2" xfId="34621" xr:uid="{AF66CBEE-07F5-47A2-9C1E-813DA6F64792}"/>
    <cellStyle name="Normal 2 4 2 4 3 2 5" xfId="9317" xr:uid="{00000000-0005-0000-0000-0000872C0000}"/>
    <cellStyle name="Normal 2 4 2 4 3 2 6" xfId="26187" xr:uid="{38E7ADF6-A74F-4342-B4F7-780B84812288}"/>
    <cellStyle name="Normal 2 4 2 4 3 3" xfId="1205" xr:uid="{00000000-0005-0000-0000-0000882C0000}"/>
    <cellStyle name="Normal 2 4 2 4 3 3 2" xfId="3435" xr:uid="{00000000-0005-0000-0000-0000892C0000}"/>
    <cellStyle name="Normal 2 4 2 4 3 3 2 2" xfId="7658" xr:uid="{00000000-0005-0000-0000-00008A2C0000}"/>
    <cellStyle name="Normal 2 4 2 4 3 3 2 2 2" xfId="24528" xr:uid="{00000000-0005-0000-0000-00008B2C0000}"/>
    <cellStyle name="Normal 2 4 2 4 3 3 2 2 2 2" xfId="41396" xr:uid="{B36BC9F7-47BF-4A05-836E-1E2CE663FF70}"/>
    <cellStyle name="Normal 2 4 2 4 3 3 2 2 3" xfId="16093" xr:uid="{00000000-0005-0000-0000-00008C2C0000}"/>
    <cellStyle name="Normal 2 4 2 4 3 3 2 2 4" xfId="32962" xr:uid="{D3EF0B71-B509-4F6F-9C22-5733A1739BEE}"/>
    <cellStyle name="Normal 2 4 2 4 3 3 2 3" xfId="20310" xr:uid="{00000000-0005-0000-0000-00008D2C0000}"/>
    <cellStyle name="Normal 2 4 2 4 3 3 2 3 2" xfId="37179" xr:uid="{CCAD4E88-4706-4DF7-A6F6-6225E4001917}"/>
    <cellStyle name="Normal 2 4 2 4 3 3 2 4" xfId="11875" xr:uid="{00000000-0005-0000-0000-00008E2C0000}"/>
    <cellStyle name="Normal 2 4 2 4 3 3 2 5" xfId="28745" xr:uid="{867AA5DC-B621-4055-BA5E-83D45A0DB2FC}"/>
    <cellStyle name="Normal 2 4 2 4 3 3 3" xfId="5513" xr:uid="{00000000-0005-0000-0000-00008F2C0000}"/>
    <cellStyle name="Normal 2 4 2 4 3 3 3 2" xfId="22383" xr:uid="{00000000-0005-0000-0000-0000902C0000}"/>
    <cellStyle name="Normal 2 4 2 4 3 3 3 2 2" xfId="39251" xr:uid="{8844C99D-F381-49A5-9D52-04F4A62B73CC}"/>
    <cellStyle name="Normal 2 4 2 4 3 3 3 3" xfId="13948" xr:uid="{00000000-0005-0000-0000-0000912C0000}"/>
    <cellStyle name="Normal 2 4 2 4 3 3 3 4" xfId="30817" xr:uid="{E43D4DB7-3ABF-40F8-A485-314A8B66A11E}"/>
    <cellStyle name="Normal 2 4 2 4 3 3 4" xfId="18165" xr:uid="{00000000-0005-0000-0000-0000922C0000}"/>
    <cellStyle name="Normal 2 4 2 4 3 3 4 2" xfId="35034" xr:uid="{79759235-CECD-449F-8182-B5E0A1E8BD09}"/>
    <cellStyle name="Normal 2 4 2 4 3 3 5" xfId="9730" xr:uid="{00000000-0005-0000-0000-0000932C0000}"/>
    <cellStyle name="Normal 2 4 2 4 3 3 6" xfId="26600" xr:uid="{72CA69CA-3821-47C8-ABDB-A2F13DA5C20C}"/>
    <cellStyle name="Normal 2 4 2 4 3 4" xfId="1618" xr:uid="{00000000-0005-0000-0000-0000942C0000}"/>
    <cellStyle name="Normal 2 4 2 4 3 4 2" xfId="3848" xr:uid="{00000000-0005-0000-0000-0000952C0000}"/>
    <cellStyle name="Normal 2 4 2 4 3 4 2 2" xfId="8071" xr:uid="{00000000-0005-0000-0000-0000962C0000}"/>
    <cellStyle name="Normal 2 4 2 4 3 4 2 2 2" xfId="24941" xr:uid="{00000000-0005-0000-0000-0000972C0000}"/>
    <cellStyle name="Normal 2 4 2 4 3 4 2 2 2 2" xfId="41809" xr:uid="{4743B62D-D8F4-412D-BA41-9DB5562DDA8F}"/>
    <cellStyle name="Normal 2 4 2 4 3 4 2 2 3" xfId="16506" xr:uid="{00000000-0005-0000-0000-0000982C0000}"/>
    <cellStyle name="Normal 2 4 2 4 3 4 2 2 4" xfId="33375" xr:uid="{8373ED82-1E62-4F38-954C-81E62A6D1D1E}"/>
    <cellStyle name="Normal 2 4 2 4 3 4 2 3" xfId="20723" xr:uid="{00000000-0005-0000-0000-0000992C0000}"/>
    <cellStyle name="Normal 2 4 2 4 3 4 2 3 2" xfId="37592" xr:uid="{E380D179-FC60-4D49-A151-D3BAEE4407B0}"/>
    <cellStyle name="Normal 2 4 2 4 3 4 2 4" xfId="12288" xr:uid="{00000000-0005-0000-0000-00009A2C0000}"/>
    <cellStyle name="Normal 2 4 2 4 3 4 2 5" xfId="29158" xr:uid="{AB15C096-4857-40C3-A620-82B8E1FB733E}"/>
    <cellStyle name="Normal 2 4 2 4 3 4 3" xfId="5926" xr:uid="{00000000-0005-0000-0000-00009B2C0000}"/>
    <cellStyle name="Normal 2 4 2 4 3 4 3 2" xfId="22796" xr:uid="{00000000-0005-0000-0000-00009C2C0000}"/>
    <cellStyle name="Normal 2 4 2 4 3 4 3 2 2" xfId="39664" xr:uid="{35A7DA35-7D8E-47FE-83C2-BCA72CD4CF75}"/>
    <cellStyle name="Normal 2 4 2 4 3 4 3 3" xfId="14361" xr:uid="{00000000-0005-0000-0000-00009D2C0000}"/>
    <cellStyle name="Normal 2 4 2 4 3 4 3 4" xfId="31230" xr:uid="{BBF16E19-8C37-446B-8D62-7713940BA1EF}"/>
    <cellStyle name="Normal 2 4 2 4 3 4 4" xfId="18578" xr:uid="{00000000-0005-0000-0000-00009E2C0000}"/>
    <cellStyle name="Normal 2 4 2 4 3 4 4 2" xfId="35447" xr:uid="{0EAFF1A4-F257-45FE-B1E6-9B31C83BED21}"/>
    <cellStyle name="Normal 2 4 2 4 3 4 5" xfId="10143" xr:uid="{00000000-0005-0000-0000-00009F2C0000}"/>
    <cellStyle name="Normal 2 4 2 4 3 4 6" xfId="27013" xr:uid="{D5EEAE8F-7F51-408B-A76A-878360BC3249}"/>
    <cellStyle name="Normal 2 4 2 4 3 5" xfId="2032" xr:uid="{00000000-0005-0000-0000-0000A02C0000}"/>
    <cellStyle name="Normal 2 4 2 4 3 5 2" xfId="4261" xr:uid="{00000000-0005-0000-0000-0000A12C0000}"/>
    <cellStyle name="Normal 2 4 2 4 3 5 2 2" xfId="8484" xr:uid="{00000000-0005-0000-0000-0000A22C0000}"/>
    <cellStyle name="Normal 2 4 2 4 3 5 2 2 2" xfId="25354" xr:uid="{00000000-0005-0000-0000-0000A32C0000}"/>
    <cellStyle name="Normal 2 4 2 4 3 5 2 2 2 2" xfId="42222" xr:uid="{5C8AE09A-8D2E-42DA-9BA6-176BE193C46B}"/>
    <cellStyle name="Normal 2 4 2 4 3 5 2 2 3" xfId="16919" xr:uid="{00000000-0005-0000-0000-0000A42C0000}"/>
    <cellStyle name="Normal 2 4 2 4 3 5 2 2 4" xfId="33788" xr:uid="{7534F9CA-E088-4A0C-B523-6AA039DC955A}"/>
    <cellStyle name="Normal 2 4 2 4 3 5 2 3" xfId="21136" xr:uid="{00000000-0005-0000-0000-0000A52C0000}"/>
    <cellStyle name="Normal 2 4 2 4 3 5 2 3 2" xfId="38005" xr:uid="{5EF04DDD-2C92-474E-9BF1-FED16294FC25}"/>
    <cellStyle name="Normal 2 4 2 4 3 5 2 4" xfId="12701" xr:uid="{00000000-0005-0000-0000-0000A62C0000}"/>
    <cellStyle name="Normal 2 4 2 4 3 5 2 5" xfId="29571" xr:uid="{BC7C8A7F-D318-4477-8D25-3A4EFF3D13D9}"/>
    <cellStyle name="Normal 2 4 2 4 3 5 3" xfId="6339" xr:uid="{00000000-0005-0000-0000-0000A72C0000}"/>
    <cellStyle name="Normal 2 4 2 4 3 5 3 2" xfId="23209" xr:uid="{00000000-0005-0000-0000-0000A82C0000}"/>
    <cellStyle name="Normal 2 4 2 4 3 5 3 2 2" xfId="40077" xr:uid="{CB63AED7-59FD-4AAF-9213-FA3D55E2E8D3}"/>
    <cellStyle name="Normal 2 4 2 4 3 5 3 3" xfId="14774" xr:uid="{00000000-0005-0000-0000-0000A92C0000}"/>
    <cellStyle name="Normal 2 4 2 4 3 5 3 4" xfId="31643" xr:uid="{F83D0ECB-EC77-4EB8-8AFF-F635BE07D958}"/>
    <cellStyle name="Normal 2 4 2 4 3 5 4" xfId="18991" xr:uid="{00000000-0005-0000-0000-0000AA2C0000}"/>
    <cellStyle name="Normal 2 4 2 4 3 5 4 2" xfId="35860" xr:uid="{3698E00A-7049-4656-A13C-3AA0F5A6D69F}"/>
    <cellStyle name="Normal 2 4 2 4 3 5 5" xfId="10556" xr:uid="{00000000-0005-0000-0000-0000AB2C0000}"/>
    <cellStyle name="Normal 2 4 2 4 3 5 6" xfId="27426" xr:uid="{195DB7EF-3F43-4A0B-B28D-D9BF38EFDB64}"/>
    <cellStyle name="Normal 2 4 2 4 3 6" xfId="2468" xr:uid="{00000000-0005-0000-0000-0000AC2C0000}"/>
    <cellStyle name="Normal 2 4 2 4 3 6 2" xfId="6752" xr:uid="{00000000-0005-0000-0000-0000AD2C0000}"/>
    <cellStyle name="Normal 2 4 2 4 3 6 2 2" xfId="23622" xr:uid="{00000000-0005-0000-0000-0000AE2C0000}"/>
    <cellStyle name="Normal 2 4 2 4 3 6 2 2 2" xfId="40490" xr:uid="{096D6502-B979-4F43-8038-841C1E43969C}"/>
    <cellStyle name="Normal 2 4 2 4 3 6 2 3" xfId="15187" xr:uid="{00000000-0005-0000-0000-0000AF2C0000}"/>
    <cellStyle name="Normal 2 4 2 4 3 6 2 4" xfId="32056" xr:uid="{9245550C-149D-42DA-BACA-AAB2D19C20D7}"/>
    <cellStyle name="Normal 2 4 2 4 3 6 3" xfId="19404" xr:uid="{00000000-0005-0000-0000-0000B02C0000}"/>
    <cellStyle name="Normal 2 4 2 4 3 6 3 2" xfId="36273" xr:uid="{FF73FB33-74A7-4C64-AE6E-8680B2C5EBA7}"/>
    <cellStyle name="Normal 2 4 2 4 3 6 4" xfId="10969" xr:uid="{00000000-0005-0000-0000-0000B12C0000}"/>
    <cellStyle name="Normal 2 4 2 4 3 6 5" xfId="27839" xr:uid="{1C0DCE83-8B4D-4910-8902-862663DABE9D}"/>
    <cellStyle name="Normal 2 4 2 4 3 7" xfId="4686" xr:uid="{00000000-0005-0000-0000-0000B22C0000}"/>
    <cellStyle name="Normal 2 4 2 4 3 7 2" xfId="21556" xr:uid="{00000000-0005-0000-0000-0000B32C0000}"/>
    <cellStyle name="Normal 2 4 2 4 3 7 2 2" xfId="38424" xr:uid="{59B2FD4F-F937-4A9B-993B-4884230F53B3}"/>
    <cellStyle name="Normal 2 4 2 4 3 7 3" xfId="13121" xr:uid="{00000000-0005-0000-0000-0000B42C0000}"/>
    <cellStyle name="Normal 2 4 2 4 3 7 4" xfId="29990" xr:uid="{6BD59574-1E92-4FB0-8991-68E58FDA14CE}"/>
    <cellStyle name="Normal 2 4 2 4 3 8" xfId="17338" xr:uid="{00000000-0005-0000-0000-0000B52C0000}"/>
    <cellStyle name="Normal 2 4 2 4 3 8 2" xfId="34207" xr:uid="{B18E3BBB-D717-4949-AB34-648204398E85}"/>
    <cellStyle name="Normal 2 4 2 4 3 9" xfId="8903" xr:uid="{00000000-0005-0000-0000-0000B62C0000}"/>
    <cellStyle name="Normal 2 4 2 4 4" xfId="780" xr:uid="{00000000-0005-0000-0000-0000B72C0000}"/>
    <cellStyle name="Normal 2 4 2 4 4 2" xfId="3019" xr:uid="{00000000-0005-0000-0000-0000B82C0000}"/>
    <cellStyle name="Normal 2 4 2 4 4 2 2" xfId="7242" xr:uid="{00000000-0005-0000-0000-0000B92C0000}"/>
    <cellStyle name="Normal 2 4 2 4 4 2 2 2" xfId="24112" xr:uid="{00000000-0005-0000-0000-0000BA2C0000}"/>
    <cellStyle name="Normal 2 4 2 4 4 2 2 2 2" xfId="40980" xr:uid="{EA19FA47-D44A-4342-B417-99305433A73A}"/>
    <cellStyle name="Normal 2 4 2 4 4 2 2 3" xfId="15677" xr:uid="{00000000-0005-0000-0000-0000BB2C0000}"/>
    <cellStyle name="Normal 2 4 2 4 4 2 2 4" xfId="32546" xr:uid="{78A1D21A-3F88-4AC7-A5E5-939B3BEF096E}"/>
    <cellStyle name="Normal 2 4 2 4 4 2 3" xfId="19894" xr:uid="{00000000-0005-0000-0000-0000BC2C0000}"/>
    <cellStyle name="Normal 2 4 2 4 4 2 3 2" xfId="36763" xr:uid="{17C34884-923C-4FC9-99C0-77960743E2A6}"/>
    <cellStyle name="Normal 2 4 2 4 4 2 4" xfId="11459" xr:uid="{00000000-0005-0000-0000-0000BD2C0000}"/>
    <cellStyle name="Normal 2 4 2 4 4 2 5" xfId="28329" xr:uid="{94C01AC3-D3B2-4231-B636-294134ABF0F3}"/>
    <cellStyle name="Normal 2 4 2 4 4 3" xfId="5097" xr:uid="{00000000-0005-0000-0000-0000BE2C0000}"/>
    <cellStyle name="Normal 2 4 2 4 4 3 2" xfId="21967" xr:uid="{00000000-0005-0000-0000-0000BF2C0000}"/>
    <cellStyle name="Normal 2 4 2 4 4 3 2 2" xfId="38835" xr:uid="{CA063A33-D09E-47E3-AB65-5295D6A153DD}"/>
    <cellStyle name="Normal 2 4 2 4 4 3 3" xfId="13532" xr:uid="{00000000-0005-0000-0000-0000C02C0000}"/>
    <cellStyle name="Normal 2 4 2 4 4 3 4" xfId="30401" xr:uid="{0EC68C38-E125-4991-B9E2-E6C477438603}"/>
    <cellStyle name="Normal 2 4 2 4 4 4" xfId="17749" xr:uid="{00000000-0005-0000-0000-0000C12C0000}"/>
    <cellStyle name="Normal 2 4 2 4 4 4 2" xfId="34618" xr:uid="{E572B4E5-411B-4E09-803F-9E8246391E9A}"/>
    <cellStyle name="Normal 2 4 2 4 4 5" xfId="9314" xr:uid="{00000000-0005-0000-0000-0000C22C0000}"/>
    <cellStyle name="Normal 2 4 2 4 4 6" xfId="26184" xr:uid="{04EB9273-75D7-4AF0-88EC-CCB5DCDF0F14}"/>
    <cellStyle name="Normal 2 4 2 4 5" xfId="1202" xr:uid="{00000000-0005-0000-0000-0000C32C0000}"/>
    <cellStyle name="Normal 2 4 2 4 5 2" xfId="3432" xr:uid="{00000000-0005-0000-0000-0000C42C0000}"/>
    <cellStyle name="Normal 2 4 2 4 5 2 2" xfId="7655" xr:uid="{00000000-0005-0000-0000-0000C52C0000}"/>
    <cellStyle name="Normal 2 4 2 4 5 2 2 2" xfId="24525" xr:uid="{00000000-0005-0000-0000-0000C62C0000}"/>
    <cellStyle name="Normal 2 4 2 4 5 2 2 2 2" xfId="41393" xr:uid="{84369E3E-6FAA-4A50-881F-3913C91A1999}"/>
    <cellStyle name="Normal 2 4 2 4 5 2 2 3" xfId="16090" xr:uid="{00000000-0005-0000-0000-0000C72C0000}"/>
    <cellStyle name="Normal 2 4 2 4 5 2 2 4" xfId="32959" xr:uid="{20FC7DDE-A91A-484F-A639-86A4F134689B}"/>
    <cellStyle name="Normal 2 4 2 4 5 2 3" xfId="20307" xr:uid="{00000000-0005-0000-0000-0000C82C0000}"/>
    <cellStyle name="Normal 2 4 2 4 5 2 3 2" xfId="37176" xr:uid="{7941A0EF-5FD1-4213-BA19-D4172CBB27E1}"/>
    <cellStyle name="Normal 2 4 2 4 5 2 4" xfId="11872" xr:uid="{00000000-0005-0000-0000-0000C92C0000}"/>
    <cellStyle name="Normal 2 4 2 4 5 2 5" xfId="28742" xr:uid="{6D202DFE-928E-4A56-A098-273BAFD521BB}"/>
    <cellStyle name="Normal 2 4 2 4 5 3" xfId="5510" xr:uid="{00000000-0005-0000-0000-0000CA2C0000}"/>
    <cellStyle name="Normal 2 4 2 4 5 3 2" xfId="22380" xr:uid="{00000000-0005-0000-0000-0000CB2C0000}"/>
    <cellStyle name="Normal 2 4 2 4 5 3 2 2" xfId="39248" xr:uid="{E44161D2-DF28-44CB-9AA8-1B2F5EFC47BF}"/>
    <cellStyle name="Normal 2 4 2 4 5 3 3" xfId="13945" xr:uid="{00000000-0005-0000-0000-0000CC2C0000}"/>
    <cellStyle name="Normal 2 4 2 4 5 3 4" xfId="30814" xr:uid="{A36EEF7F-748A-45D2-80CB-BB146D3569ED}"/>
    <cellStyle name="Normal 2 4 2 4 5 4" xfId="18162" xr:uid="{00000000-0005-0000-0000-0000CD2C0000}"/>
    <cellStyle name="Normal 2 4 2 4 5 4 2" xfId="35031" xr:uid="{7DA1C27B-A353-4CD2-A327-3580CE4152FB}"/>
    <cellStyle name="Normal 2 4 2 4 5 5" xfId="9727" xr:uid="{00000000-0005-0000-0000-0000CE2C0000}"/>
    <cellStyle name="Normal 2 4 2 4 5 6" xfId="26597" xr:uid="{BAB2A433-9820-4A96-B7D1-711ED7DE181D}"/>
    <cellStyle name="Normal 2 4 2 4 6" xfId="1615" xr:uid="{00000000-0005-0000-0000-0000CF2C0000}"/>
    <cellStyle name="Normal 2 4 2 4 6 2" xfId="3845" xr:uid="{00000000-0005-0000-0000-0000D02C0000}"/>
    <cellStyle name="Normal 2 4 2 4 6 2 2" xfId="8068" xr:uid="{00000000-0005-0000-0000-0000D12C0000}"/>
    <cellStyle name="Normal 2 4 2 4 6 2 2 2" xfId="24938" xr:uid="{00000000-0005-0000-0000-0000D22C0000}"/>
    <cellStyle name="Normal 2 4 2 4 6 2 2 2 2" xfId="41806" xr:uid="{9CFE46BF-32D0-4885-82CE-FAC43F48B61F}"/>
    <cellStyle name="Normal 2 4 2 4 6 2 2 3" xfId="16503" xr:uid="{00000000-0005-0000-0000-0000D32C0000}"/>
    <cellStyle name="Normal 2 4 2 4 6 2 2 4" xfId="33372" xr:uid="{1D08A047-DF2B-4999-B586-C8C71C5AF162}"/>
    <cellStyle name="Normal 2 4 2 4 6 2 3" xfId="20720" xr:uid="{00000000-0005-0000-0000-0000D42C0000}"/>
    <cellStyle name="Normal 2 4 2 4 6 2 3 2" xfId="37589" xr:uid="{D8749D34-BD14-4D9C-BAE7-F00D38B4CC06}"/>
    <cellStyle name="Normal 2 4 2 4 6 2 4" xfId="12285" xr:uid="{00000000-0005-0000-0000-0000D52C0000}"/>
    <cellStyle name="Normal 2 4 2 4 6 2 5" xfId="29155" xr:uid="{D678394A-D157-4636-AC06-0F611F7DA7EF}"/>
    <cellStyle name="Normal 2 4 2 4 6 3" xfId="5923" xr:uid="{00000000-0005-0000-0000-0000D62C0000}"/>
    <cellStyle name="Normal 2 4 2 4 6 3 2" xfId="22793" xr:uid="{00000000-0005-0000-0000-0000D72C0000}"/>
    <cellStyle name="Normal 2 4 2 4 6 3 2 2" xfId="39661" xr:uid="{C3D6DFC3-BF6D-4DE7-A8A5-E81165B772D4}"/>
    <cellStyle name="Normal 2 4 2 4 6 3 3" xfId="14358" xr:uid="{00000000-0005-0000-0000-0000D82C0000}"/>
    <cellStyle name="Normal 2 4 2 4 6 3 4" xfId="31227" xr:uid="{88BB8745-755F-48DA-9D7C-5A7C6228C37D}"/>
    <cellStyle name="Normal 2 4 2 4 6 4" xfId="18575" xr:uid="{00000000-0005-0000-0000-0000D92C0000}"/>
    <cellStyle name="Normal 2 4 2 4 6 4 2" xfId="35444" xr:uid="{58117FDC-9D2F-48FF-82C5-F558A05441E1}"/>
    <cellStyle name="Normal 2 4 2 4 6 5" xfId="10140" xr:uid="{00000000-0005-0000-0000-0000DA2C0000}"/>
    <cellStyle name="Normal 2 4 2 4 6 6" xfId="27010" xr:uid="{45CC63D8-CA67-4D93-A3AD-81055FFD1E75}"/>
    <cellStyle name="Normal 2 4 2 4 7" xfId="2029" xr:uid="{00000000-0005-0000-0000-0000DB2C0000}"/>
    <cellStyle name="Normal 2 4 2 4 7 2" xfId="4258" xr:uid="{00000000-0005-0000-0000-0000DC2C0000}"/>
    <cellStyle name="Normal 2 4 2 4 7 2 2" xfId="8481" xr:uid="{00000000-0005-0000-0000-0000DD2C0000}"/>
    <cellStyle name="Normal 2 4 2 4 7 2 2 2" xfId="25351" xr:uid="{00000000-0005-0000-0000-0000DE2C0000}"/>
    <cellStyle name="Normal 2 4 2 4 7 2 2 2 2" xfId="42219" xr:uid="{3B02F6E2-50BE-4C0F-9AF8-083C72D613A6}"/>
    <cellStyle name="Normal 2 4 2 4 7 2 2 3" xfId="16916" xr:uid="{00000000-0005-0000-0000-0000DF2C0000}"/>
    <cellStyle name="Normal 2 4 2 4 7 2 2 4" xfId="33785" xr:uid="{0D869396-0F25-44B7-88BB-E167890A2F81}"/>
    <cellStyle name="Normal 2 4 2 4 7 2 3" xfId="21133" xr:uid="{00000000-0005-0000-0000-0000E02C0000}"/>
    <cellStyle name="Normal 2 4 2 4 7 2 3 2" xfId="38002" xr:uid="{FB9D9753-2CEA-4056-9D48-E9080C798435}"/>
    <cellStyle name="Normal 2 4 2 4 7 2 4" xfId="12698" xr:uid="{00000000-0005-0000-0000-0000E12C0000}"/>
    <cellStyle name="Normal 2 4 2 4 7 2 5" xfId="29568" xr:uid="{23E09A07-D20A-4CFD-AF60-C8EDD194D86A}"/>
    <cellStyle name="Normal 2 4 2 4 7 3" xfId="6336" xr:uid="{00000000-0005-0000-0000-0000E22C0000}"/>
    <cellStyle name="Normal 2 4 2 4 7 3 2" xfId="23206" xr:uid="{00000000-0005-0000-0000-0000E32C0000}"/>
    <cellStyle name="Normal 2 4 2 4 7 3 2 2" xfId="40074" xr:uid="{A57B3E02-631E-4CCD-B2D0-F0CC98F0A28A}"/>
    <cellStyle name="Normal 2 4 2 4 7 3 3" xfId="14771" xr:uid="{00000000-0005-0000-0000-0000E42C0000}"/>
    <cellStyle name="Normal 2 4 2 4 7 3 4" xfId="31640" xr:uid="{334F1C38-1B82-499D-B45B-14946361AC95}"/>
    <cellStyle name="Normal 2 4 2 4 7 4" xfId="18988" xr:uid="{00000000-0005-0000-0000-0000E52C0000}"/>
    <cellStyle name="Normal 2 4 2 4 7 4 2" xfId="35857" xr:uid="{85886E73-66BA-44FB-B6C1-53B2EF2E5EB9}"/>
    <cellStyle name="Normal 2 4 2 4 7 5" xfId="10553" xr:uid="{00000000-0005-0000-0000-0000E62C0000}"/>
    <cellStyle name="Normal 2 4 2 4 7 6" xfId="27423" xr:uid="{9B6DDBEF-DE70-4C82-B369-73F49484B583}"/>
    <cellStyle name="Normal 2 4 2 4 8" xfId="2465" xr:uid="{00000000-0005-0000-0000-0000E72C0000}"/>
    <cellStyle name="Normal 2 4 2 4 8 2" xfId="6749" xr:uid="{00000000-0005-0000-0000-0000E82C0000}"/>
    <cellStyle name="Normal 2 4 2 4 8 2 2" xfId="23619" xr:uid="{00000000-0005-0000-0000-0000E92C0000}"/>
    <cellStyle name="Normal 2 4 2 4 8 2 2 2" xfId="40487" xr:uid="{D8A9AA32-82B5-42A9-8760-BCAA25B7310B}"/>
    <cellStyle name="Normal 2 4 2 4 8 2 3" xfId="15184" xr:uid="{00000000-0005-0000-0000-0000EA2C0000}"/>
    <cellStyle name="Normal 2 4 2 4 8 2 4" xfId="32053" xr:uid="{14BB524B-C5F4-4069-892D-388D4D1C7811}"/>
    <cellStyle name="Normal 2 4 2 4 8 3" xfId="19401" xr:uid="{00000000-0005-0000-0000-0000EB2C0000}"/>
    <cellStyle name="Normal 2 4 2 4 8 3 2" xfId="36270" xr:uid="{17E4A495-2117-44FA-8ABF-48619DD8EA77}"/>
    <cellStyle name="Normal 2 4 2 4 8 4" xfId="10966" xr:uid="{00000000-0005-0000-0000-0000EC2C0000}"/>
    <cellStyle name="Normal 2 4 2 4 8 5" xfId="27836" xr:uid="{FA2FEFB0-2173-476B-8A79-B4214D785323}"/>
    <cellStyle name="Normal 2 4 2 4 9" xfId="4683" xr:uid="{00000000-0005-0000-0000-0000ED2C0000}"/>
    <cellStyle name="Normal 2 4 2 4 9 2" xfId="21553" xr:uid="{00000000-0005-0000-0000-0000EE2C0000}"/>
    <cellStyle name="Normal 2 4 2 4 9 2 2" xfId="38421" xr:uid="{F3FBFD40-3273-4330-8AC1-2D5EA949BE37}"/>
    <cellStyle name="Normal 2 4 2 4 9 3" xfId="13118" xr:uid="{00000000-0005-0000-0000-0000EF2C0000}"/>
    <cellStyle name="Normal 2 4 2 4 9 4" xfId="29987" xr:uid="{012DA5B9-34A3-49C7-9571-4119FD7E8E46}"/>
    <cellStyle name="Normal 2 4 2 5" xfId="293" xr:uid="{00000000-0005-0000-0000-0000F02C0000}"/>
    <cellStyle name="Normal 2 4 2 5 10" xfId="8904" xr:uid="{00000000-0005-0000-0000-0000F12C0000}"/>
    <cellStyle name="Normal 2 4 2 5 11" xfId="25774" xr:uid="{0DE88CE6-4A2A-4E2C-9D41-6C9A1312D374}"/>
    <cellStyle name="Normal 2 4 2 5 2" xfId="294" xr:uid="{00000000-0005-0000-0000-0000F22C0000}"/>
    <cellStyle name="Normal 2 4 2 5 2 10" xfId="25775" xr:uid="{BA4100C0-6C42-4FDB-B084-B5B86C3722CE}"/>
    <cellStyle name="Normal 2 4 2 5 2 2" xfId="785" xr:uid="{00000000-0005-0000-0000-0000F32C0000}"/>
    <cellStyle name="Normal 2 4 2 5 2 2 2" xfId="3024" xr:uid="{00000000-0005-0000-0000-0000F42C0000}"/>
    <cellStyle name="Normal 2 4 2 5 2 2 2 2" xfId="7247" xr:uid="{00000000-0005-0000-0000-0000F52C0000}"/>
    <cellStyle name="Normal 2 4 2 5 2 2 2 2 2" xfId="24117" xr:uid="{00000000-0005-0000-0000-0000F62C0000}"/>
    <cellStyle name="Normal 2 4 2 5 2 2 2 2 2 2" xfId="40985" xr:uid="{39EB556C-16B1-416C-BB38-5A24BF6D0C5C}"/>
    <cellStyle name="Normal 2 4 2 5 2 2 2 2 3" xfId="15682" xr:uid="{00000000-0005-0000-0000-0000F72C0000}"/>
    <cellStyle name="Normal 2 4 2 5 2 2 2 2 4" xfId="32551" xr:uid="{BAA7AF47-A9BE-40F8-A1C2-EC44AD64C73D}"/>
    <cellStyle name="Normal 2 4 2 5 2 2 2 3" xfId="19899" xr:uid="{00000000-0005-0000-0000-0000F82C0000}"/>
    <cellStyle name="Normal 2 4 2 5 2 2 2 3 2" xfId="36768" xr:uid="{32E0DA85-E9AF-4225-BD71-924675F06803}"/>
    <cellStyle name="Normal 2 4 2 5 2 2 2 4" xfId="11464" xr:uid="{00000000-0005-0000-0000-0000F92C0000}"/>
    <cellStyle name="Normal 2 4 2 5 2 2 2 5" xfId="28334" xr:uid="{D98ED062-3B11-4684-B43A-BE4B0876B5CE}"/>
    <cellStyle name="Normal 2 4 2 5 2 2 3" xfId="5102" xr:uid="{00000000-0005-0000-0000-0000FA2C0000}"/>
    <cellStyle name="Normal 2 4 2 5 2 2 3 2" xfId="21972" xr:uid="{00000000-0005-0000-0000-0000FB2C0000}"/>
    <cellStyle name="Normal 2 4 2 5 2 2 3 2 2" xfId="38840" xr:uid="{7A47481F-5FDE-4D0C-9FF3-FDAE8B332D06}"/>
    <cellStyle name="Normal 2 4 2 5 2 2 3 3" xfId="13537" xr:uid="{00000000-0005-0000-0000-0000FC2C0000}"/>
    <cellStyle name="Normal 2 4 2 5 2 2 3 4" xfId="30406" xr:uid="{AC1E9B62-198A-4947-8B14-D9E11DFE74AD}"/>
    <cellStyle name="Normal 2 4 2 5 2 2 4" xfId="17754" xr:uid="{00000000-0005-0000-0000-0000FD2C0000}"/>
    <cellStyle name="Normal 2 4 2 5 2 2 4 2" xfId="34623" xr:uid="{9D343971-BE85-44C2-A100-C099EF12DC97}"/>
    <cellStyle name="Normal 2 4 2 5 2 2 5" xfId="9319" xr:uid="{00000000-0005-0000-0000-0000FE2C0000}"/>
    <cellStyle name="Normal 2 4 2 5 2 2 6" xfId="26189" xr:uid="{F653DF8D-36FF-42BF-986E-BE88499138B4}"/>
    <cellStyle name="Normal 2 4 2 5 2 3" xfId="1207" xr:uid="{00000000-0005-0000-0000-0000FF2C0000}"/>
    <cellStyle name="Normal 2 4 2 5 2 3 2" xfId="3437" xr:uid="{00000000-0005-0000-0000-0000002D0000}"/>
    <cellStyle name="Normal 2 4 2 5 2 3 2 2" xfId="7660" xr:uid="{00000000-0005-0000-0000-0000012D0000}"/>
    <cellStyle name="Normal 2 4 2 5 2 3 2 2 2" xfId="24530" xr:uid="{00000000-0005-0000-0000-0000022D0000}"/>
    <cellStyle name="Normal 2 4 2 5 2 3 2 2 2 2" xfId="41398" xr:uid="{F8FE3C99-DDD2-4078-B7FE-A474CAD651E6}"/>
    <cellStyle name="Normal 2 4 2 5 2 3 2 2 3" xfId="16095" xr:uid="{00000000-0005-0000-0000-0000032D0000}"/>
    <cellStyle name="Normal 2 4 2 5 2 3 2 2 4" xfId="32964" xr:uid="{05145BAE-3D5F-4C3B-923D-3AD093301F8F}"/>
    <cellStyle name="Normal 2 4 2 5 2 3 2 3" xfId="20312" xr:uid="{00000000-0005-0000-0000-0000042D0000}"/>
    <cellStyle name="Normal 2 4 2 5 2 3 2 3 2" xfId="37181" xr:uid="{0F4DC231-B6DD-46A0-841C-F8EA189DC2A1}"/>
    <cellStyle name="Normal 2 4 2 5 2 3 2 4" xfId="11877" xr:uid="{00000000-0005-0000-0000-0000052D0000}"/>
    <cellStyle name="Normal 2 4 2 5 2 3 2 5" xfId="28747" xr:uid="{7E1F78BC-B024-4DF6-806E-67984C4A1708}"/>
    <cellStyle name="Normal 2 4 2 5 2 3 3" xfId="5515" xr:uid="{00000000-0005-0000-0000-0000062D0000}"/>
    <cellStyle name="Normal 2 4 2 5 2 3 3 2" xfId="22385" xr:uid="{00000000-0005-0000-0000-0000072D0000}"/>
    <cellStyle name="Normal 2 4 2 5 2 3 3 2 2" xfId="39253" xr:uid="{C1E24ACC-6BAB-410E-883E-C37F7DC04FD6}"/>
    <cellStyle name="Normal 2 4 2 5 2 3 3 3" xfId="13950" xr:uid="{00000000-0005-0000-0000-0000082D0000}"/>
    <cellStyle name="Normal 2 4 2 5 2 3 3 4" xfId="30819" xr:uid="{355743CE-BBAD-428F-B5C4-87CFF24E0117}"/>
    <cellStyle name="Normal 2 4 2 5 2 3 4" xfId="18167" xr:uid="{00000000-0005-0000-0000-0000092D0000}"/>
    <cellStyle name="Normal 2 4 2 5 2 3 4 2" xfId="35036" xr:uid="{F5227DCB-0F5B-412B-AA41-985BB950D817}"/>
    <cellStyle name="Normal 2 4 2 5 2 3 5" xfId="9732" xr:uid="{00000000-0005-0000-0000-00000A2D0000}"/>
    <cellStyle name="Normal 2 4 2 5 2 3 6" xfId="26602" xr:uid="{1263A995-9DEC-4BF2-A1A0-D5A571C52669}"/>
    <cellStyle name="Normal 2 4 2 5 2 4" xfId="1620" xr:uid="{00000000-0005-0000-0000-00000B2D0000}"/>
    <cellStyle name="Normal 2 4 2 5 2 4 2" xfId="3850" xr:uid="{00000000-0005-0000-0000-00000C2D0000}"/>
    <cellStyle name="Normal 2 4 2 5 2 4 2 2" xfId="8073" xr:uid="{00000000-0005-0000-0000-00000D2D0000}"/>
    <cellStyle name="Normal 2 4 2 5 2 4 2 2 2" xfId="24943" xr:uid="{00000000-0005-0000-0000-00000E2D0000}"/>
    <cellStyle name="Normal 2 4 2 5 2 4 2 2 2 2" xfId="41811" xr:uid="{6F8617DC-E8ED-4A97-86B8-05C76E353DB8}"/>
    <cellStyle name="Normal 2 4 2 5 2 4 2 2 3" xfId="16508" xr:uid="{00000000-0005-0000-0000-00000F2D0000}"/>
    <cellStyle name="Normal 2 4 2 5 2 4 2 2 4" xfId="33377" xr:uid="{154482B2-77F7-4CC5-8727-DA7AD6B6AF79}"/>
    <cellStyle name="Normal 2 4 2 5 2 4 2 3" xfId="20725" xr:uid="{00000000-0005-0000-0000-0000102D0000}"/>
    <cellStyle name="Normal 2 4 2 5 2 4 2 3 2" xfId="37594" xr:uid="{C8981DBC-773B-44CF-A8BD-16450EB4E45A}"/>
    <cellStyle name="Normal 2 4 2 5 2 4 2 4" xfId="12290" xr:uid="{00000000-0005-0000-0000-0000112D0000}"/>
    <cellStyle name="Normal 2 4 2 5 2 4 2 5" xfId="29160" xr:uid="{11BCBD1A-EE3A-434D-A460-F8DF8719D98C}"/>
    <cellStyle name="Normal 2 4 2 5 2 4 3" xfId="5928" xr:uid="{00000000-0005-0000-0000-0000122D0000}"/>
    <cellStyle name="Normal 2 4 2 5 2 4 3 2" xfId="22798" xr:uid="{00000000-0005-0000-0000-0000132D0000}"/>
    <cellStyle name="Normal 2 4 2 5 2 4 3 2 2" xfId="39666" xr:uid="{68C5158B-4278-436C-850A-90091DCF57C0}"/>
    <cellStyle name="Normal 2 4 2 5 2 4 3 3" xfId="14363" xr:uid="{00000000-0005-0000-0000-0000142D0000}"/>
    <cellStyle name="Normal 2 4 2 5 2 4 3 4" xfId="31232" xr:uid="{28DE9158-B213-45BE-9747-D2195059ADB5}"/>
    <cellStyle name="Normal 2 4 2 5 2 4 4" xfId="18580" xr:uid="{00000000-0005-0000-0000-0000152D0000}"/>
    <cellStyle name="Normal 2 4 2 5 2 4 4 2" xfId="35449" xr:uid="{28F2E036-EB24-48CB-9B63-E7994BF00FDE}"/>
    <cellStyle name="Normal 2 4 2 5 2 4 5" xfId="10145" xr:uid="{00000000-0005-0000-0000-0000162D0000}"/>
    <cellStyle name="Normal 2 4 2 5 2 4 6" xfId="27015" xr:uid="{CC9DB19E-FBA4-4E58-9186-BF0144E12C14}"/>
    <cellStyle name="Normal 2 4 2 5 2 5" xfId="2034" xr:uid="{00000000-0005-0000-0000-0000172D0000}"/>
    <cellStyle name="Normal 2 4 2 5 2 5 2" xfId="4263" xr:uid="{00000000-0005-0000-0000-0000182D0000}"/>
    <cellStyle name="Normal 2 4 2 5 2 5 2 2" xfId="8486" xr:uid="{00000000-0005-0000-0000-0000192D0000}"/>
    <cellStyle name="Normal 2 4 2 5 2 5 2 2 2" xfId="25356" xr:uid="{00000000-0005-0000-0000-00001A2D0000}"/>
    <cellStyle name="Normal 2 4 2 5 2 5 2 2 2 2" xfId="42224" xr:uid="{07C16316-4D35-4AC5-9951-4531973B7B61}"/>
    <cellStyle name="Normal 2 4 2 5 2 5 2 2 3" xfId="16921" xr:uid="{00000000-0005-0000-0000-00001B2D0000}"/>
    <cellStyle name="Normal 2 4 2 5 2 5 2 2 4" xfId="33790" xr:uid="{AD32DB60-C50F-479B-8BFC-8B125ECD036E}"/>
    <cellStyle name="Normal 2 4 2 5 2 5 2 3" xfId="21138" xr:uid="{00000000-0005-0000-0000-00001C2D0000}"/>
    <cellStyle name="Normal 2 4 2 5 2 5 2 3 2" xfId="38007" xr:uid="{C492D163-ACF3-4746-8ADB-19A713C705BF}"/>
    <cellStyle name="Normal 2 4 2 5 2 5 2 4" xfId="12703" xr:uid="{00000000-0005-0000-0000-00001D2D0000}"/>
    <cellStyle name="Normal 2 4 2 5 2 5 2 5" xfId="29573" xr:uid="{EBDBC208-5999-4A97-B321-76FABB0FFA34}"/>
    <cellStyle name="Normal 2 4 2 5 2 5 3" xfId="6341" xr:uid="{00000000-0005-0000-0000-00001E2D0000}"/>
    <cellStyle name="Normal 2 4 2 5 2 5 3 2" xfId="23211" xr:uid="{00000000-0005-0000-0000-00001F2D0000}"/>
    <cellStyle name="Normal 2 4 2 5 2 5 3 2 2" xfId="40079" xr:uid="{57F5A1FC-CCBF-48B0-9A50-88213276EB15}"/>
    <cellStyle name="Normal 2 4 2 5 2 5 3 3" xfId="14776" xr:uid="{00000000-0005-0000-0000-0000202D0000}"/>
    <cellStyle name="Normal 2 4 2 5 2 5 3 4" xfId="31645" xr:uid="{96D37331-AEBA-48CD-905A-11A08B040857}"/>
    <cellStyle name="Normal 2 4 2 5 2 5 4" xfId="18993" xr:uid="{00000000-0005-0000-0000-0000212D0000}"/>
    <cellStyle name="Normal 2 4 2 5 2 5 4 2" xfId="35862" xr:uid="{D5FACBA4-1D0D-4260-B5F3-A16CC58D9A75}"/>
    <cellStyle name="Normal 2 4 2 5 2 5 5" xfId="10558" xr:uid="{00000000-0005-0000-0000-0000222D0000}"/>
    <cellStyle name="Normal 2 4 2 5 2 5 6" xfId="27428" xr:uid="{10F2DE8A-510D-411B-9DB3-A788BEED965B}"/>
    <cellStyle name="Normal 2 4 2 5 2 6" xfId="2470" xr:uid="{00000000-0005-0000-0000-0000232D0000}"/>
    <cellStyle name="Normal 2 4 2 5 2 6 2" xfId="6754" xr:uid="{00000000-0005-0000-0000-0000242D0000}"/>
    <cellStyle name="Normal 2 4 2 5 2 6 2 2" xfId="23624" xr:uid="{00000000-0005-0000-0000-0000252D0000}"/>
    <cellStyle name="Normal 2 4 2 5 2 6 2 2 2" xfId="40492" xr:uid="{17E8A617-CFD2-4F9E-A5BB-FDF3A30D4E11}"/>
    <cellStyle name="Normal 2 4 2 5 2 6 2 3" xfId="15189" xr:uid="{00000000-0005-0000-0000-0000262D0000}"/>
    <cellStyle name="Normal 2 4 2 5 2 6 2 4" xfId="32058" xr:uid="{954AEAF6-BEB0-4968-83D5-929C539ED95A}"/>
    <cellStyle name="Normal 2 4 2 5 2 6 3" xfId="19406" xr:uid="{00000000-0005-0000-0000-0000272D0000}"/>
    <cellStyle name="Normal 2 4 2 5 2 6 3 2" xfId="36275" xr:uid="{76800951-1FB5-4038-83DA-BA8872E8ABB4}"/>
    <cellStyle name="Normal 2 4 2 5 2 6 4" xfId="10971" xr:uid="{00000000-0005-0000-0000-0000282D0000}"/>
    <cellStyle name="Normal 2 4 2 5 2 6 5" xfId="27841" xr:uid="{C6CA0668-0F77-4409-9EEA-DDE0DBF400C4}"/>
    <cellStyle name="Normal 2 4 2 5 2 7" xfId="4688" xr:uid="{00000000-0005-0000-0000-0000292D0000}"/>
    <cellStyle name="Normal 2 4 2 5 2 7 2" xfId="21558" xr:uid="{00000000-0005-0000-0000-00002A2D0000}"/>
    <cellStyle name="Normal 2 4 2 5 2 7 2 2" xfId="38426" xr:uid="{48137A24-919B-4A61-A8CC-B967BE51F54D}"/>
    <cellStyle name="Normal 2 4 2 5 2 7 3" xfId="13123" xr:uid="{00000000-0005-0000-0000-00002B2D0000}"/>
    <cellStyle name="Normal 2 4 2 5 2 7 4" xfId="29992" xr:uid="{EF821B4F-F5FB-47A3-AC34-0DD8A730409F}"/>
    <cellStyle name="Normal 2 4 2 5 2 8" xfId="17340" xr:uid="{00000000-0005-0000-0000-00002C2D0000}"/>
    <cellStyle name="Normal 2 4 2 5 2 8 2" xfId="34209" xr:uid="{9F90BFF5-CAE1-4D5E-A5C1-1DB703EA799C}"/>
    <cellStyle name="Normal 2 4 2 5 2 9" xfId="8905" xr:uid="{00000000-0005-0000-0000-00002D2D0000}"/>
    <cellStyle name="Normal 2 4 2 5 3" xfId="784" xr:uid="{00000000-0005-0000-0000-00002E2D0000}"/>
    <cellStyle name="Normal 2 4 2 5 3 2" xfId="3023" xr:uid="{00000000-0005-0000-0000-00002F2D0000}"/>
    <cellStyle name="Normal 2 4 2 5 3 2 2" xfId="7246" xr:uid="{00000000-0005-0000-0000-0000302D0000}"/>
    <cellStyle name="Normal 2 4 2 5 3 2 2 2" xfId="24116" xr:uid="{00000000-0005-0000-0000-0000312D0000}"/>
    <cellStyle name="Normal 2 4 2 5 3 2 2 2 2" xfId="40984" xr:uid="{4843B783-201F-4D4D-92F6-139B9EE928F7}"/>
    <cellStyle name="Normal 2 4 2 5 3 2 2 3" xfId="15681" xr:uid="{00000000-0005-0000-0000-0000322D0000}"/>
    <cellStyle name="Normal 2 4 2 5 3 2 2 4" xfId="32550" xr:uid="{E8D5DFA2-8B84-4C4F-86F7-6B787822BB87}"/>
    <cellStyle name="Normal 2 4 2 5 3 2 3" xfId="19898" xr:uid="{00000000-0005-0000-0000-0000332D0000}"/>
    <cellStyle name="Normal 2 4 2 5 3 2 3 2" xfId="36767" xr:uid="{EA06A07C-782F-4A75-99F3-18D907A58D52}"/>
    <cellStyle name="Normal 2 4 2 5 3 2 4" xfId="11463" xr:uid="{00000000-0005-0000-0000-0000342D0000}"/>
    <cellStyle name="Normal 2 4 2 5 3 2 5" xfId="28333" xr:uid="{81F5BE8D-F263-4334-8D90-51C95E012F08}"/>
    <cellStyle name="Normal 2 4 2 5 3 3" xfId="5101" xr:uid="{00000000-0005-0000-0000-0000352D0000}"/>
    <cellStyle name="Normal 2 4 2 5 3 3 2" xfId="21971" xr:uid="{00000000-0005-0000-0000-0000362D0000}"/>
    <cellStyle name="Normal 2 4 2 5 3 3 2 2" xfId="38839" xr:uid="{7C7C8804-E9B0-4780-B7CE-59B79DC04D46}"/>
    <cellStyle name="Normal 2 4 2 5 3 3 3" xfId="13536" xr:uid="{00000000-0005-0000-0000-0000372D0000}"/>
    <cellStyle name="Normal 2 4 2 5 3 3 4" xfId="30405" xr:uid="{AE551112-1F74-448D-8978-8BAD59D772F6}"/>
    <cellStyle name="Normal 2 4 2 5 3 4" xfId="17753" xr:uid="{00000000-0005-0000-0000-0000382D0000}"/>
    <cellStyle name="Normal 2 4 2 5 3 4 2" xfId="34622" xr:uid="{1597A1F7-BE28-40E6-9CD7-1BA7686FA699}"/>
    <cellStyle name="Normal 2 4 2 5 3 5" xfId="9318" xr:uid="{00000000-0005-0000-0000-0000392D0000}"/>
    <cellStyle name="Normal 2 4 2 5 3 6" xfId="26188" xr:uid="{98E87848-E2CE-4B30-ADE8-6AB654A52F9C}"/>
    <cellStyle name="Normal 2 4 2 5 4" xfId="1206" xr:uid="{00000000-0005-0000-0000-00003A2D0000}"/>
    <cellStyle name="Normal 2 4 2 5 4 2" xfId="3436" xr:uid="{00000000-0005-0000-0000-00003B2D0000}"/>
    <cellStyle name="Normal 2 4 2 5 4 2 2" xfId="7659" xr:uid="{00000000-0005-0000-0000-00003C2D0000}"/>
    <cellStyle name="Normal 2 4 2 5 4 2 2 2" xfId="24529" xr:uid="{00000000-0005-0000-0000-00003D2D0000}"/>
    <cellStyle name="Normal 2 4 2 5 4 2 2 2 2" xfId="41397" xr:uid="{49F439E7-434D-4227-93F9-4BDE819DD010}"/>
    <cellStyle name="Normal 2 4 2 5 4 2 2 3" xfId="16094" xr:uid="{00000000-0005-0000-0000-00003E2D0000}"/>
    <cellStyle name="Normal 2 4 2 5 4 2 2 4" xfId="32963" xr:uid="{A7211768-1525-44EB-B736-67C2D66A0B7B}"/>
    <cellStyle name="Normal 2 4 2 5 4 2 3" xfId="20311" xr:uid="{00000000-0005-0000-0000-00003F2D0000}"/>
    <cellStyle name="Normal 2 4 2 5 4 2 3 2" xfId="37180" xr:uid="{2B3D6963-094F-4365-92B1-FDD58C42D11D}"/>
    <cellStyle name="Normal 2 4 2 5 4 2 4" xfId="11876" xr:uid="{00000000-0005-0000-0000-0000402D0000}"/>
    <cellStyle name="Normal 2 4 2 5 4 2 5" xfId="28746" xr:uid="{B06CEFB6-8288-4FCB-A00D-E00BB6F3E3BD}"/>
    <cellStyle name="Normal 2 4 2 5 4 3" xfId="5514" xr:uid="{00000000-0005-0000-0000-0000412D0000}"/>
    <cellStyle name="Normal 2 4 2 5 4 3 2" xfId="22384" xr:uid="{00000000-0005-0000-0000-0000422D0000}"/>
    <cellStyle name="Normal 2 4 2 5 4 3 2 2" xfId="39252" xr:uid="{27A77A02-AD5E-4199-9FEF-A0B6DC4D37D4}"/>
    <cellStyle name="Normal 2 4 2 5 4 3 3" xfId="13949" xr:uid="{00000000-0005-0000-0000-0000432D0000}"/>
    <cellStyle name="Normal 2 4 2 5 4 3 4" xfId="30818" xr:uid="{06873D92-881D-47D7-996C-C3B7D6846D5F}"/>
    <cellStyle name="Normal 2 4 2 5 4 4" xfId="18166" xr:uid="{00000000-0005-0000-0000-0000442D0000}"/>
    <cellStyle name="Normal 2 4 2 5 4 4 2" xfId="35035" xr:uid="{3931C1AA-763B-4454-AE95-84690098C0E0}"/>
    <cellStyle name="Normal 2 4 2 5 4 5" xfId="9731" xr:uid="{00000000-0005-0000-0000-0000452D0000}"/>
    <cellStyle name="Normal 2 4 2 5 4 6" xfId="26601" xr:uid="{6DBA873E-9EAD-4F44-B3FB-11EBE396302B}"/>
    <cellStyle name="Normal 2 4 2 5 5" xfId="1619" xr:uid="{00000000-0005-0000-0000-0000462D0000}"/>
    <cellStyle name="Normal 2 4 2 5 5 2" xfId="3849" xr:uid="{00000000-0005-0000-0000-0000472D0000}"/>
    <cellStyle name="Normal 2 4 2 5 5 2 2" xfId="8072" xr:uid="{00000000-0005-0000-0000-0000482D0000}"/>
    <cellStyle name="Normal 2 4 2 5 5 2 2 2" xfId="24942" xr:uid="{00000000-0005-0000-0000-0000492D0000}"/>
    <cellStyle name="Normal 2 4 2 5 5 2 2 2 2" xfId="41810" xr:uid="{83E2A8C5-927E-4E7C-8287-B619550011EB}"/>
    <cellStyle name="Normal 2 4 2 5 5 2 2 3" xfId="16507" xr:uid="{00000000-0005-0000-0000-00004A2D0000}"/>
    <cellStyle name="Normal 2 4 2 5 5 2 2 4" xfId="33376" xr:uid="{05A10AED-CE42-4F8B-A4AA-A860266EBB64}"/>
    <cellStyle name="Normal 2 4 2 5 5 2 3" xfId="20724" xr:uid="{00000000-0005-0000-0000-00004B2D0000}"/>
    <cellStyle name="Normal 2 4 2 5 5 2 3 2" xfId="37593" xr:uid="{7336BF7A-1C15-49D0-B1D2-17B2E944D932}"/>
    <cellStyle name="Normal 2 4 2 5 5 2 4" xfId="12289" xr:uid="{00000000-0005-0000-0000-00004C2D0000}"/>
    <cellStyle name="Normal 2 4 2 5 5 2 5" xfId="29159" xr:uid="{DF44274F-7683-43D5-9500-D242429100A7}"/>
    <cellStyle name="Normal 2 4 2 5 5 3" xfId="5927" xr:uid="{00000000-0005-0000-0000-00004D2D0000}"/>
    <cellStyle name="Normal 2 4 2 5 5 3 2" xfId="22797" xr:uid="{00000000-0005-0000-0000-00004E2D0000}"/>
    <cellStyle name="Normal 2 4 2 5 5 3 2 2" xfId="39665" xr:uid="{2C849A71-3A5F-4361-8FE5-592BB117DE62}"/>
    <cellStyle name="Normal 2 4 2 5 5 3 3" xfId="14362" xr:uid="{00000000-0005-0000-0000-00004F2D0000}"/>
    <cellStyle name="Normal 2 4 2 5 5 3 4" xfId="31231" xr:uid="{7D5721A8-DB48-4CB2-8664-4DBC25316109}"/>
    <cellStyle name="Normal 2 4 2 5 5 4" xfId="18579" xr:uid="{00000000-0005-0000-0000-0000502D0000}"/>
    <cellStyle name="Normal 2 4 2 5 5 4 2" xfId="35448" xr:uid="{44156C18-6F00-4CCD-A958-45A25D2343C2}"/>
    <cellStyle name="Normal 2 4 2 5 5 5" xfId="10144" xr:uid="{00000000-0005-0000-0000-0000512D0000}"/>
    <cellStyle name="Normal 2 4 2 5 5 6" xfId="27014" xr:uid="{F045AD76-99EC-49BC-985D-84D7ABC125AE}"/>
    <cellStyle name="Normal 2 4 2 5 6" xfId="2033" xr:uid="{00000000-0005-0000-0000-0000522D0000}"/>
    <cellStyle name="Normal 2 4 2 5 6 2" xfId="4262" xr:uid="{00000000-0005-0000-0000-0000532D0000}"/>
    <cellStyle name="Normal 2 4 2 5 6 2 2" xfId="8485" xr:uid="{00000000-0005-0000-0000-0000542D0000}"/>
    <cellStyle name="Normal 2 4 2 5 6 2 2 2" xfId="25355" xr:uid="{00000000-0005-0000-0000-0000552D0000}"/>
    <cellStyle name="Normal 2 4 2 5 6 2 2 2 2" xfId="42223" xr:uid="{A10760E6-56BE-4994-B4C1-63D37A6BB890}"/>
    <cellStyle name="Normal 2 4 2 5 6 2 2 3" xfId="16920" xr:uid="{00000000-0005-0000-0000-0000562D0000}"/>
    <cellStyle name="Normal 2 4 2 5 6 2 2 4" xfId="33789" xr:uid="{56A02E05-487D-4F45-B892-B92A3DF62136}"/>
    <cellStyle name="Normal 2 4 2 5 6 2 3" xfId="21137" xr:uid="{00000000-0005-0000-0000-0000572D0000}"/>
    <cellStyle name="Normal 2 4 2 5 6 2 3 2" xfId="38006" xr:uid="{FD4BBA6D-4465-47EE-A5FD-43EC6C6B4CA0}"/>
    <cellStyle name="Normal 2 4 2 5 6 2 4" xfId="12702" xr:uid="{00000000-0005-0000-0000-0000582D0000}"/>
    <cellStyle name="Normal 2 4 2 5 6 2 5" xfId="29572" xr:uid="{EC8FF61A-2CFB-4661-8B69-2A201FA22BD0}"/>
    <cellStyle name="Normal 2 4 2 5 6 3" xfId="6340" xr:uid="{00000000-0005-0000-0000-0000592D0000}"/>
    <cellStyle name="Normal 2 4 2 5 6 3 2" xfId="23210" xr:uid="{00000000-0005-0000-0000-00005A2D0000}"/>
    <cellStyle name="Normal 2 4 2 5 6 3 2 2" xfId="40078" xr:uid="{B9112D1A-78D0-4699-B88D-AD8D82435E65}"/>
    <cellStyle name="Normal 2 4 2 5 6 3 3" xfId="14775" xr:uid="{00000000-0005-0000-0000-00005B2D0000}"/>
    <cellStyle name="Normal 2 4 2 5 6 3 4" xfId="31644" xr:uid="{B58AB82A-2C25-49BD-B061-732260F9F8EF}"/>
    <cellStyle name="Normal 2 4 2 5 6 4" xfId="18992" xr:uid="{00000000-0005-0000-0000-00005C2D0000}"/>
    <cellStyle name="Normal 2 4 2 5 6 4 2" xfId="35861" xr:uid="{67A768C2-D757-4728-837A-15E87D0B3B95}"/>
    <cellStyle name="Normal 2 4 2 5 6 5" xfId="10557" xr:uid="{00000000-0005-0000-0000-00005D2D0000}"/>
    <cellStyle name="Normal 2 4 2 5 6 6" xfId="27427" xr:uid="{F9011ED3-6BD8-4558-A86C-66F094A53051}"/>
    <cellStyle name="Normal 2 4 2 5 7" xfId="2469" xr:uid="{00000000-0005-0000-0000-00005E2D0000}"/>
    <cellStyle name="Normal 2 4 2 5 7 2" xfId="6753" xr:uid="{00000000-0005-0000-0000-00005F2D0000}"/>
    <cellStyle name="Normal 2 4 2 5 7 2 2" xfId="23623" xr:uid="{00000000-0005-0000-0000-0000602D0000}"/>
    <cellStyle name="Normal 2 4 2 5 7 2 2 2" xfId="40491" xr:uid="{E4B82E41-3397-4134-BF28-2484708DA2C0}"/>
    <cellStyle name="Normal 2 4 2 5 7 2 3" xfId="15188" xr:uid="{00000000-0005-0000-0000-0000612D0000}"/>
    <cellStyle name="Normal 2 4 2 5 7 2 4" xfId="32057" xr:uid="{CE46C66C-2FF3-48CC-B9E2-3224C71C3C4B}"/>
    <cellStyle name="Normal 2 4 2 5 7 3" xfId="19405" xr:uid="{00000000-0005-0000-0000-0000622D0000}"/>
    <cellStyle name="Normal 2 4 2 5 7 3 2" xfId="36274" xr:uid="{D2D6AAD2-4315-4D35-BD95-D0EAB88FA876}"/>
    <cellStyle name="Normal 2 4 2 5 7 4" xfId="10970" xr:uid="{00000000-0005-0000-0000-0000632D0000}"/>
    <cellStyle name="Normal 2 4 2 5 7 5" xfId="27840" xr:uid="{2ACCE1BF-7C6A-4647-A8F7-A128DAE3F377}"/>
    <cellStyle name="Normal 2 4 2 5 8" xfId="4687" xr:uid="{00000000-0005-0000-0000-0000642D0000}"/>
    <cellStyle name="Normal 2 4 2 5 8 2" xfId="21557" xr:uid="{00000000-0005-0000-0000-0000652D0000}"/>
    <cellStyle name="Normal 2 4 2 5 8 2 2" xfId="38425" xr:uid="{0E11A8C7-8E01-4ACB-B922-3316924EB2B2}"/>
    <cellStyle name="Normal 2 4 2 5 8 3" xfId="13122" xr:uid="{00000000-0005-0000-0000-0000662D0000}"/>
    <cellStyle name="Normal 2 4 2 5 8 4" xfId="29991" xr:uid="{D8A83E3D-D20A-4EC4-B5F9-45AF318908D1}"/>
    <cellStyle name="Normal 2 4 2 5 9" xfId="17339" xr:uid="{00000000-0005-0000-0000-0000672D0000}"/>
    <cellStyle name="Normal 2 4 2 5 9 2" xfId="34208" xr:uid="{878C5CCF-26D4-4F38-A9B2-3E6A09ED7D23}"/>
    <cellStyle name="Normal 2 4 2 6" xfId="295" xr:uid="{00000000-0005-0000-0000-0000682D0000}"/>
    <cellStyle name="Normal 2 4 2 6 10" xfId="25776" xr:uid="{34E6AACC-0D46-4281-9924-7C27F31A1D28}"/>
    <cellStyle name="Normal 2 4 2 6 2" xfId="786" xr:uid="{00000000-0005-0000-0000-0000692D0000}"/>
    <cellStyle name="Normal 2 4 2 6 2 2" xfId="3025" xr:uid="{00000000-0005-0000-0000-00006A2D0000}"/>
    <cellStyle name="Normal 2 4 2 6 2 2 2" xfId="7248" xr:uid="{00000000-0005-0000-0000-00006B2D0000}"/>
    <cellStyle name="Normal 2 4 2 6 2 2 2 2" xfId="24118" xr:uid="{00000000-0005-0000-0000-00006C2D0000}"/>
    <cellStyle name="Normal 2 4 2 6 2 2 2 2 2" xfId="40986" xr:uid="{98B6D6FD-33B2-412F-BB5F-CA29EE59A3C9}"/>
    <cellStyle name="Normal 2 4 2 6 2 2 2 3" xfId="15683" xr:uid="{00000000-0005-0000-0000-00006D2D0000}"/>
    <cellStyle name="Normal 2 4 2 6 2 2 2 4" xfId="32552" xr:uid="{5D5A34D8-3DEF-41B4-BDA0-93A4F483C9BF}"/>
    <cellStyle name="Normal 2 4 2 6 2 2 3" xfId="19900" xr:uid="{00000000-0005-0000-0000-00006E2D0000}"/>
    <cellStyle name="Normal 2 4 2 6 2 2 3 2" xfId="36769" xr:uid="{C864068D-4668-4BAD-BDA7-CD9DEDED6FEC}"/>
    <cellStyle name="Normal 2 4 2 6 2 2 4" xfId="11465" xr:uid="{00000000-0005-0000-0000-00006F2D0000}"/>
    <cellStyle name="Normal 2 4 2 6 2 2 5" xfId="28335" xr:uid="{4373054D-2C2B-4E9A-9A7F-F1A24DB5016D}"/>
    <cellStyle name="Normal 2 4 2 6 2 3" xfId="5103" xr:uid="{00000000-0005-0000-0000-0000702D0000}"/>
    <cellStyle name="Normal 2 4 2 6 2 3 2" xfId="21973" xr:uid="{00000000-0005-0000-0000-0000712D0000}"/>
    <cellStyle name="Normal 2 4 2 6 2 3 2 2" xfId="38841" xr:uid="{DC1DCD67-90E6-4BDF-B645-178CBBD58280}"/>
    <cellStyle name="Normal 2 4 2 6 2 3 3" xfId="13538" xr:uid="{00000000-0005-0000-0000-0000722D0000}"/>
    <cellStyle name="Normal 2 4 2 6 2 3 4" xfId="30407" xr:uid="{EFC8DB91-FEE0-487D-A4C1-BA65374B64D4}"/>
    <cellStyle name="Normal 2 4 2 6 2 4" xfId="17755" xr:uid="{00000000-0005-0000-0000-0000732D0000}"/>
    <cellStyle name="Normal 2 4 2 6 2 4 2" xfId="34624" xr:uid="{8B846C9E-0585-4063-A02E-37FE8BCA7239}"/>
    <cellStyle name="Normal 2 4 2 6 2 5" xfId="9320" xr:uid="{00000000-0005-0000-0000-0000742D0000}"/>
    <cellStyle name="Normal 2 4 2 6 2 6" xfId="26190" xr:uid="{3DB8D301-2979-4597-9E85-E5CE41EAC918}"/>
    <cellStyle name="Normal 2 4 2 6 3" xfId="1208" xr:uid="{00000000-0005-0000-0000-0000752D0000}"/>
    <cellStyle name="Normal 2 4 2 6 3 2" xfId="3438" xr:uid="{00000000-0005-0000-0000-0000762D0000}"/>
    <cellStyle name="Normal 2 4 2 6 3 2 2" xfId="7661" xr:uid="{00000000-0005-0000-0000-0000772D0000}"/>
    <cellStyle name="Normal 2 4 2 6 3 2 2 2" xfId="24531" xr:uid="{00000000-0005-0000-0000-0000782D0000}"/>
    <cellStyle name="Normal 2 4 2 6 3 2 2 2 2" xfId="41399" xr:uid="{EEA27251-44B8-49C1-ADE8-0E134AF8F78B}"/>
    <cellStyle name="Normal 2 4 2 6 3 2 2 3" xfId="16096" xr:uid="{00000000-0005-0000-0000-0000792D0000}"/>
    <cellStyle name="Normal 2 4 2 6 3 2 2 4" xfId="32965" xr:uid="{C870CCBE-BEDF-442D-9EF7-0AE473B3146B}"/>
    <cellStyle name="Normal 2 4 2 6 3 2 3" xfId="20313" xr:uid="{00000000-0005-0000-0000-00007A2D0000}"/>
    <cellStyle name="Normal 2 4 2 6 3 2 3 2" xfId="37182" xr:uid="{669DA0FB-0ABC-4EF4-98BB-4CC1DAE17FBC}"/>
    <cellStyle name="Normal 2 4 2 6 3 2 4" xfId="11878" xr:uid="{00000000-0005-0000-0000-00007B2D0000}"/>
    <cellStyle name="Normal 2 4 2 6 3 2 5" xfId="28748" xr:uid="{FF37E15B-6FF8-4617-B114-BA517AB2C4A9}"/>
    <cellStyle name="Normal 2 4 2 6 3 3" xfId="5516" xr:uid="{00000000-0005-0000-0000-00007C2D0000}"/>
    <cellStyle name="Normal 2 4 2 6 3 3 2" xfId="22386" xr:uid="{00000000-0005-0000-0000-00007D2D0000}"/>
    <cellStyle name="Normal 2 4 2 6 3 3 2 2" xfId="39254" xr:uid="{12AB8A74-3A07-4627-82CE-3257CE9C62EE}"/>
    <cellStyle name="Normal 2 4 2 6 3 3 3" xfId="13951" xr:uid="{00000000-0005-0000-0000-00007E2D0000}"/>
    <cellStyle name="Normal 2 4 2 6 3 3 4" xfId="30820" xr:uid="{0C5D12E1-1503-4533-8402-8BC4B5842093}"/>
    <cellStyle name="Normal 2 4 2 6 3 4" xfId="18168" xr:uid="{00000000-0005-0000-0000-00007F2D0000}"/>
    <cellStyle name="Normal 2 4 2 6 3 4 2" xfId="35037" xr:uid="{CEEDD76B-B0A3-4332-8CA8-CF5D49FD3036}"/>
    <cellStyle name="Normal 2 4 2 6 3 5" xfId="9733" xr:uid="{00000000-0005-0000-0000-0000802D0000}"/>
    <cellStyle name="Normal 2 4 2 6 3 6" xfId="26603" xr:uid="{0DDD39BD-6235-4A5E-A949-B0F8BD42124A}"/>
    <cellStyle name="Normal 2 4 2 6 4" xfId="1621" xr:uid="{00000000-0005-0000-0000-0000812D0000}"/>
    <cellStyle name="Normal 2 4 2 6 4 2" xfId="3851" xr:uid="{00000000-0005-0000-0000-0000822D0000}"/>
    <cellStyle name="Normal 2 4 2 6 4 2 2" xfId="8074" xr:uid="{00000000-0005-0000-0000-0000832D0000}"/>
    <cellStyle name="Normal 2 4 2 6 4 2 2 2" xfId="24944" xr:uid="{00000000-0005-0000-0000-0000842D0000}"/>
    <cellStyle name="Normal 2 4 2 6 4 2 2 2 2" xfId="41812" xr:uid="{56790312-863A-49A1-99E9-CD1FB752E5E2}"/>
    <cellStyle name="Normal 2 4 2 6 4 2 2 3" xfId="16509" xr:uid="{00000000-0005-0000-0000-0000852D0000}"/>
    <cellStyle name="Normal 2 4 2 6 4 2 2 4" xfId="33378" xr:uid="{05145D0C-C9A5-4E40-86FF-1DADAD850AA5}"/>
    <cellStyle name="Normal 2 4 2 6 4 2 3" xfId="20726" xr:uid="{00000000-0005-0000-0000-0000862D0000}"/>
    <cellStyle name="Normal 2 4 2 6 4 2 3 2" xfId="37595" xr:uid="{4F4A828D-9A79-4EF2-9F68-20892B150491}"/>
    <cellStyle name="Normal 2 4 2 6 4 2 4" xfId="12291" xr:uid="{00000000-0005-0000-0000-0000872D0000}"/>
    <cellStyle name="Normal 2 4 2 6 4 2 5" xfId="29161" xr:uid="{D7110E89-9D79-4D66-9550-87973E71F091}"/>
    <cellStyle name="Normal 2 4 2 6 4 3" xfId="5929" xr:uid="{00000000-0005-0000-0000-0000882D0000}"/>
    <cellStyle name="Normal 2 4 2 6 4 3 2" xfId="22799" xr:uid="{00000000-0005-0000-0000-0000892D0000}"/>
    <cellStyle name="Normal 2 4 2 6 4 3 2 2" xfId="39667" xr:uid="{8B6779A6-32FD-4EEC-8D6F-EBC0E1806195}"/>
    <cellStyle name="Normal 2 4 2 6 4 3 3" xfId="14364" xr:uid="{00000000-0005-0000-0000-00008A2D0000}"/>
    <cellStyle name="Normal 2 4 2 6 4 3 4" xfId="31233" xr:uid="{8F3B2E19-EEF1-4446-82B9-8F393D41B6E7}"/>
    <cellStyle name="Normal 2 4 2 6 4 4" xfId="18581" xr:uid="{00000000-0005-0000-0000-00008B2D0000}"/>
    <cellStyle name="Normal 2 4 2 6 4 4 2" xfId="35450" xr:uid="{3CB9C8B5-2491-4A44-912A-363031AF4A6E}"/>
    <cellStyle name="Normal 2 4 2 6 4 5" xfId="10146" xr:uid="{00000000-0005-0000-0000-00008C2D0000}"/>
    <cellStyle name="Normal 2 4 2 6 4 6" xfId="27016" xr:uid="{6C4E4B18-DA22-416F-9ED6-D2C6C747CDAB}"/>
    <cellStyle name="Normal 2 4 2 6 5" xfId="2035" xr:uid="{00000000-0005-0000-0000-00008D2D0000}"/>
    <cellStyle name="Normal 2 4 2 6 5 2" xfId="4264" xr:uid="{00000000-0005-0000-0000-00008E2D0000}"/>
    <cellStyle name="Normal 2 4 2 6 5 2 2" xfId="8487" xr:uid="{00000000-0005-0000-0000-00008F2D0000}"/>
    <cellStyle name="Normal 2 4 2 6 5 2 2 2" xfId="25357" xr:uid="{00000000-0005-0000-0000-0000902D0000}"/>
    <cellStyle name="Normal 2 4 2 6 5 2 2 2 2" xfId="42225" xr:uid="{9733264C-D952-4D3A-A2DF-197E613636B0}"/>
    <cellStyle name="Normal 2 4 2 6 5 2 2 3" xfId="16922" xr:uid="{00000000-0005-0000-0000-0000912D0000}"/>
    <cellStyle name="Normal 2 4 2 6 5 2 2 4" xfId="33791" xr:uid="{E11FB19F-BB18-498F-8096-6B2BEAB45BAF}"/>
    <cellStyle name="Normal 2 4 2 6 5 2 3" xfId="21139" xr:uid="{00000000-0005-0000-0000-0000922D0000}"/>
    <cellStyle name="Normal 2 4 2 6 5 2 3 2" xfId="38008" xr:uid="{524DD146-A24C-456D-9690-FD0EA043F002}"/>
    <cellStyle name="Normal 2 4 2 6 5 2 4" xfId="12704" xr:uid="{00000000-0005-0000-0000-0000932D0000}"/>
    <cellStyle name="Normal 2 4 2 6 5 2 5" xfId="29574" xr:uid="{4041023B-E4B0-4E7C-9C15-9D62D0B95519}"/>
    <cellStyle name="Normal 2 4 2 6 5 3" xfId="6342" xr:uid="{00000000-0005-0000-0000-0000942D0000}"/>
    <cellStyle name="Normal 2 4 2 6 5 3 2" xfId="23212" xr:uid="{00000000-0005-0000-0000-0000952D0000}"/>
    <cellStyle name="Normal 2 4 2 6 5 3 2 2" xfId="40080" xr:uid="{275ADD45-C72A-44B1-8F0D-13BDF04F4541}"/>
    <cellStyle name="Normal 2 4 2 6 5 3 3" xfId="14777" xr:uid="{00000000-0005-0000-0000-0000962D0000}"/>
    <cellStyle name="Normal 2 4 2 6 5 3 4" xfId="31646" xr:uid="{D4C218C0-3950-4159-AAFE-294B7E9A80F9}"/>
    <cellStyle name="Normal 2 4 2 6 5 4" xfId="18994" xr:uid="{00000000-0005-0000-0000-0000972D0000}"/>
    <cellStyle name="Normal 2 4 2 6 5 4 2" xfId="35863" xr:uid="{7E4D530B-1C8F-4720-B44F-D393B35422F3}"/>
    <cellStyle name="Normal 2 4 2 6 5 5" xfId="10559" xr:uid="{00000000-0005-0000-0000-0000982D0000}"/>
    <cellStyle name="Normal 2 4 2 6 5 6" xfId="27429" xr:uid="{FF1C3E12-7C7A-405E-928F-89B990805C02}"/>
    <cellStyle name="Normal 2 4 2 6 6" xfId="2471" xr:uid="{00000000-0005-0000-0000-0000992D0000}"/>
    <cellStyle name="Normal 2 4 2 6 6 2" xfId="6755" xr:uid="{00000000-0005-0000-0000-00009A2D0000}"/>
    <cellStyle name="Normal 2 4 2 6 6 2 2" xfId="23625" xr:uid="{00000000-0005-0000-0000-00009B2D0000}"/>
    <cellStyle name="Normal 2 4 2 6 6 2 2 2" xfId="40493" xr:uid="{172FAF08-C296-4254-941F-A3B06402550A}"/>
    <cellStyle name="Normal 2 4 2 6 6 2 3" xfId="15190" xr:uid="{00000000-0005-0000-0000-00009C2D0000}"/>
    <cellStyle name="Normal 2 4 2 6 6 2 4" xfId="32059" xr:uid="{02DE96CB-1309-4394-907F-06F8F66D7194}"/>
    <cellStyle name="Normal 2 4 2 6 6 3" xfId="19407" xr:uid="{00000000-0005-0000-0000-00009D2D0000}"/>
    <cellStyle name="Normal 2 4 2 6 6 3 2" xfId="36276" xr:uid="{D9C8D9E2-E7C2-417D-B8E8-4EF1EA1D0916}"/>
    <cellStyle name="Normal 2 4 2 6 6 4" xfId="10972" xr:uid="{00000000-0005-0000-0000-00009E2D0000}"/>
    <cellStyle name="Normal 2 4 2 6 6 5" xfId="27842" xr:uid="{7728CA62-4581-4EAE-9AB4-35AC514EEFDA}"/>
    <cellStyle name="Normal 2 4 2 6 7" xfId="4689" xr:uid="{00000000-0005-0000-0000-00009F2D0000}"/>
    <cellStyle name="Normal 2 4 2 6 7 2" xfId="21559" xr:uid="{00000000-0005-0000-0000-0000A02D0000}"/>
    <cellStyle name="Normal 2 4 2 6 7 2 2" xfId="38427" xr:uid="{119FA726-FB1E-4DFD-8AA0-28BD3E58532F}"/>
    <cellStyle name="Normal 2 4 2 6 7 3" xfId="13124" xr:uid="{00000000-0005-0000-0000-0000A12D0000}"/>
    <cellStyle name="Normal 2 4 2 6 7 4" xfId="29993" xr:uid="{1D05578D-A8BE-4FE2-AA55-8565A657383C}"/>
    <cellStyle name="Normal 2 4 2 6 8" xfId="17341" xr:uid="{00000000-0005-0000-0000-0000A22D0000}"/>
    <cellStyle name="Normal 2 4 2 6 8 2" xfId="34210" xr:uid="{512766AE-8480-494D-96AD-EB1D00C2E383}"/>
    <cellStyle name="Normal 2 4 2 6 9" xfId="8906" xr:uid="{00000000-0005-0000-0000-0000A32D0000}"/>
    <cellStyle name="Normal 2 4 2 7" xfId="771" xr:uid="{00000000-0005-0000-0000-0000A42D0000}"/>
    <cellStyle name="Normal 2 4 2 7 2" xfId="3010" xr:uid="{00000000-0005-0000-0000-0000A52D0000}"/>
    <cellStyle name="Normal 2 4 2 7 2 2" xfId="7233" xr:uid="{00000000-0005-0000-0000-0000A62D0000}"/>
    <cellStyle name="Normal 2 4 2 7 2 2 2" xfId="24103" xr:uid="{00000000-0005-0000-0000-0000A72D0000}"/>
    <cellStyle name="Normal 2 4 2 7 2 2 2 2" xfId="40971" xr:uid="{93197515-6170-40D2-9D99-19BFDEBDEFA4}"/>
    <cellStyle name="Normal 2 4 2 7 2 2 3" xfId="15668" xr:uid="{00000000-0005-0000-0000-0000A82D0000}"/>
    <cellStyle name="Normal 2 4 2 7 2 2 4" xfId="32537" xr:uid="{56E4A641-E247-4B9D-AC7E-8B0C0D3CEF9C}"/>
    <cellStyle name="Normal 2 4 2 7 2 3" xfId="19885" xr:uid="{00000000-0005-0000-0000-0000A92D0000}"/>
    <cellStyle name="Normal 2 4 2 7 2 3 2" xfId="36754" xr:uid="{B5C0DAAC-FB92-45FF-8DCF-F9C3548A5D93}"/>
    <cellStyle name="Normal 2 4 2 7 2 4" xfId="11450" xr:uid="{00000000-0005-0000-0000-0000AA2D0000}"/>
    <cellStyle name="Normal 2 4 2 7 2 5" xfId="28320" xr:uid="{B31A5A14-ED14-4E60-AE11-4EFB642AE769}"/>
    <cellStyle name="Normal 2 4 2 7 3" xfId="5088" xr:uid="{00000000-0005-0000-0000-0000AB2D0000}"/>
    <cellStyle name="Normal 2 4 2 7 3 2" xfId="21958" xr:uid="{00000000-0005-0000-0000-0000AC2D0000}"/>
    <cellStyle name="Normal 2 4 2 7 3 2 2" xfId="38826" xr:uid="{BEC26FE1-DE7F-41CD-9DE1-42CD40406791}"/>
    <cellStyle name="Normal 2 4 2 7 3 3" xfId="13523" xr:uid="{00000000-0005-0000-0000-0000AD2D0000}"/>
    <cellStyle name="Normal 2 4 2 7 3 4" xfId="30392" xr:uid="{039DDC1B-7570-4814-9619-1C9340A951F4}"/>
    <cellStyle name="Normal 2 4 2 7 4" xfId="17740" xr:uid="{00000000-0005-0000-0000-0000AE2D0000}"/>
    <cellStyle name="Normal 2 4 2 7 4 2" xfId="34609" xr:uid="{D5FF5C76-EEB7-49C0-A874-9EF5DFEAF57F}"/>
    <cellStyle name="Normal 2 4 2 7 5" xfId="9305" xr:uid="{00000000-0005-0000-0000-0000AF2D0000}"/>
    <cellStyle name="Normal 2 4 2 7 6" xfId="26175" xr:uid="{1B429E9D-CFF2-4023-896C-1D8FCC9767F4}"/>
    <cellStyle name="Normal 2 4 2 8" xfId="1193" xr:uid="{00000000-0005-0000-0000-0000B02D0000}"/>
    <cellStyle name="Normal 2 4 2 8 2" xfId="3423" xr:uid="{00000000-0005-0000-0000-0000B12D0000}"/>
    <cellStyle name="Normal 2 4 2 8 2 2" xfId="7646" xr:uid="{00000000-0005-0000-0000-0000B22D0000}"/>
    <cellStyle name="Normal 2 4 2 8 2 2 2" xfId="24516" xr:uid="{00000000-0005-0000-0000-0000B32D0000}"/>
    <cellStyle name="Normal 2 4 2 8 2 2 2 2" xfId="41384" xr:uid="{80244216-B012-4C31-83D8-C26E6ACA1D14}"/>
    <cellStyle name="Normal 2 4 2 8 2 2 3" xfId="16081" xr:uid="{00000000-0005-0000-0000-0000B42D0000}"/>
    <cellStyle name="Normal 2 4 2 8 2 2 4" xfId="32950" xr:uid="{D8CCC385-E00B-4720-B2BD-B49C80617C1B}"/>
    <cellStyle name="Normal 2 4 2 8 2 3" xfId="20298" xr:uid="{00000000-0005-0000-0000-0000B52D0000}"/>
    <cellStyle name="Normal 2 4 2 8 2 3 2" xfId="37167" xr:uid="{F1891B39-4A9F-48AA-BB02-359765B78611}"/>
    <cellStyle name="Normal 2 4 2 8 2 4" xfId="11863" xr:uid="{00000000-0005-0000-0000-0000B62D0000}"/>
    <cellStyle name="Normal 2 4 2 8 2 5" xfId="28733" xr:uid="{EA0090A8-D98E-425E-96FD-690800260C91}"/>
    <cellStyle name="Normal 2 4 2 8 3" xfId="5501" xr:uid="{00000000-0005-0000-0000-0000B72D0000}"/>
    <cellStyle name="Normal 2 4 2 8 3 2" xfId="22371" xr:uid="{00000000-0005-0000-0000-0000B82D0000}"/>
    <cellStyle name="Normal 2 4 2 8 3 2 2" xfId="39239" xr:uid="{9DCD4D7F-FB3A-4588-8274-BFD8D26DCDC6}"/>
    <cellStyle name="Normal 2 4 2 8 3 3" xfId="13936" xr:uid="{00000000-0005-0000-0000-0000B92D0000}"/>
    <cellStyle name="Normal 2 4 2 8 3 4" xfId="30805" xr:uid="{DD19F101-80CD-4279-8752-9BDC5ACFB3B0}"/>
    <cellStyle name="Normal 2 4 2 8 4" xfId="18153" xr:uid="{00000000-0005-0000-0000-0000BA2D0000}"/>
    <cellStyle name="Normal 2 4 2 8 4 2" xfId="35022" xr:uid="{10793826-4CAD-4E88-B7E2-AE399527189A}"/>
    <cellStyle name="Normal 2 4 2 8 5" xfId="9718" xr:uid="{00000000-0005-0000-0000-0000BB2D0000}"/>
    <cellStyle name="Normal 2 4 2 8 6" xfId="26588" xr:uid="{92728CEA-BD72-42C1-A7A5-8CF1F4A07E11}"/>
    <cellStyle name="Normal 2 4 2 9" xfId="1606" xr:uid="{00000000-0005-0000-0000-0000BC2D0000}"/>
    <cellStyle name="Normal 2 4 2 9 2" xfId="3836" xr:uid="{00000000-0005-0000-0000-0000BD2D0000}"/>
    <cellStyle name="Normal 2 4 2 9 2 2" xfId="8059" xr:uid="{00000000-0005-0000-0000-0000BE2D0000}"/>
    <cellStyle name="Normal 2 4 2 9 2 2 2" xfId="24929" xr:uid="{00000000-0005-0000-0000-0000BF2D0000}"/>
    <cellStyle name="Normal 2 4 2 9 2 2 2 2" xfId="41797" xr:uid="{FBA54189-D9FE-4B04-A4CA-F0F7797EDE5E}"/>
    <cellStyle name="Normal 2 4 2 9 2 2 3" xfId="16494" xr:uid="{00000000-0005-0000-0000-0000C02D0000}"/>
    <cellStyle name="Normal 2 4 2 9 2 2 4" xfId="33363" xr:uid="{75AB6C1D-8F20-4778-8501-F385533570C8}"/>
    <cellStyle name="Normal 2 4 2 9 2 3" xfId="20711" xr:uid="{00000000-0005-0000-0000-0000C12D0000}"/>
    <cellStyle name="Normal 2 4 2 9 2 3 2" xfId="37580" xr:uid="{9802567F-7676-4CA9-B704-FE831C8BC272}"/>
    <cellStyle name="Normal 2 4 2 9 2 4" xfId="12276" xr:uid="{00000000-0005-0000-0000-0000C22D0000}"/>
    <cellStyle name="Normal 2 4 2 9 2 5" xfId="29146" xr:uid="{05B0A1C6-0A3E-427E-810F-62D3A30A281F}"/>
    <cellStyle name="Normal 2 4 2 9 3" xfId="5914" xr:uid="{00000000-0005-0000-0000-0000C32D0000}"/>
    <cellStyle name="Normal 2 4 2 9 3 2" xfId="22784" xr:uid="{00000000-0005-0000-0000-0000C42D0000}"/>
    <cellStyle name="Normal 2 4 2 9 3 2 2" xfId="39652" xr:uid="{37286EF0-D2F7-4EEF-ABA3-81D429BAF22C}"/>
    <cellStyle name="Normal 2 4 2 9 3 3" xfId="14349" xr:uid="{00000000-0005-0000-0000-0000C52D0000}"/>
    <cellStyle name="Normal 2 4 2 9 3 4" xfId="31218" xr:uid="{485D8397-6D27-48CF-9D22-9AC7E2473AB7}"/>
    <cellStyle name="Normal 2 4 2 9 4" xfId="18566" xr:uid="{00000000-0005-0000-0000-0000C62D0000}"/>
    <cellStyle name="Normal 2 4 2 9 4 2" xfId="35435" xr:uid="{4B39F992-E6A8-4BD6-8EE4-071EB1518520}"/>
    <cellStyle name="Normal 2 4 2 9 5" xfId="10131" xr:uid="{00000000-0005-0000-0000-0000C72D0000}"/>
    <cellStyle name="Normal 2 4 2 9 6" xfId="27001" xr:uid="{D74ABD67-7AEA-4406-AFFD-9E978FF3CD5D}"/>
    <cellStyle name="Normal 2 4 3" xfId="296" xr:uid="{00000000-0005-0000-0000-0000C82D0000}"/>
    <cellStyle name="Normal 2 4 3 10" xfId="17342" xr:uid="{00000000-0005-0000-0000-0000C92D0000}"/>
    <cellStyle name="Normal 2 4 3 10 2" xfId="34211" xr:uid="{DDBCD82B-218B-4317-81E9-6A936F361223}"/>
    <cellStyle name="Normal 2 4 3 11" xfId="8907" xr:uid="{00000000-0005-0000-0000-0000CA2D0000}"/>
    <cellStyle name="Normal 2 4 3 12" xfId="25777" xr:uid="{0EAF0986-9E81-44D7-932C-8B95789C97CC}"/>
    <cellStyle name="Normal 2 4 3 2" xfId="297" xr:uid="{00000000-0005-0000-0000-0000CB2D0000}"/>
    <cellStyle name="Normal 2 4 3 3" xfId="298" xr:uid="{00000000-0005-0000-0000-0000CC2D0000}"/>
    <cellStyle name="Normal 2 4 3 3 10" xfId="17343" xr:uid="{00000000-0005-0000-0000-0000CD2D0000}"/>
    <cellStyle name="Normal 2 4 3 3 10 2" xfId="34212" xr:uid="{A741A16C-66AC-44AE-9050-1113D4D2B3E6}"/>
    <cellStyle name="Normal 2 4 3 3 11" xfId="8908" xr:uid="{00000000-0005-0000-0000-0000CE2D0000}"/>
    <cellStyle name="Normal 2 4 3 3 12" xfId="25778" xr:uid="{E24F3670-C274-4233-B888-D04D565E5223}"/>
    <cellStyle name="Normal 2 4 3 3 2" xfId="299" xr:uid="{00000000-0005-0000-0000-0000CF2D0000}"/>
    <cellStyle name="Normal 2 4 3 3 2 10" xfId="8909" xr:uid="{00000000-0005-0000-0000-0000D02D0000}"/>
    <cellStyle name="Normal 2 4 3 3 2 11" xfId="25779" xr:uid="{18DE5169-5E97-46C5-98B2-D4E943408D38}"/>
    <cellStyle name="Normal 2 4 3 3 2 2" xfId="300" xr:uid="{00000000-0005-0000-0000-0000D12D0000}"/>
    <cellStyle name="Normal 2 4 3 3 2 2 10" xfId="25780" xr:uid="{7764287B-1CB5-438E-A14A-826C4AD1AF26}"/>
    <cellStyle name="Normal 2 4 3 3 2 2 2" xfId="790" xr:uid="{00000000-0005-0000-0000-0000D22D0000}"/>
    <cellStyle name="Normal 2 4 3 3 2 2 2 2" xfId="3029" xr:uid="{00000000-0005-0000-0000-0000D32D0000}"/>
    <cellStyle name="Normal 2 4 3 3 2 2 2 2 2" xfId="7252" xr:uid="{00000000-0005-0000-0000-0000D42D0000}"/>
    <cellStyle name="Normal 2 4 3 3 2 2 2 2 2 2" xfId="24122" xr:uid="{00000000-0005-0000-0000-0000D52D0000}"/>
    <cellStyle name="Normal 2 4 3 3 2 2 2 2 2 2 2" xfId="40990" xr:uid="{BD0F3895-DB92-4417-BA78-15CF4DA5D386}"/>
    <cellStyle name="Normal 2 4 3 3 2 2 2 2 2 3" xfId="15687" xr:uid="{00000000-0005-0000-0000-0000D62D0000}"/>
    <cellStyle name="Normal 2 4 3 3 2 2 2 2 2 4" xfId="32556" xr:uid="{507E977D-881D-4392-826B-3A7B483C6839}"/>
    <cellStyle name="Normal 2 4 3 3 2 2 2 2 3" xfId="19904" xr:uid="{00000000-0005-0000-0000-0000D72D0000}"/>
    <cellStyle name="Normal 2 4 3 3 2 2 2 2 3 2" xfId="36773" xr:uid="{AC70091B-B638-4815-9877-D980A5981750}"/>
    <cellStyle name="Normal 2 4 3 3 2 2 2 2 4" xfId="11469" xr:uid="{00000000-0005-0000-0000-0000D82D0000}"/>
    <cellStyle name="Normal 2 4 3 3 2 2 2 2 5" xfId="28339" xr:uid="{339A465C-2CCD-4CEB-8F80-4659D69F9873}"/>
    <cellStyle name="Normal 2 4 3 3 2 2 2 3" xfId="5107" xr:uid="{00000000-0005-0000-0000-0000D92D0000}"/>
    <cellStyle name="Normal 2 4 3 3 2 2 2 3 2" xfId="21977" xr:uid="{00000000-0005-0000-0000-0000DA2D0000}"/>
    <cellStyle name="Normal 2 4 3 3 2 2 2 3 2 2" xfId="38845" xr:uid="{463C4A66-D630-425B-9138-5B47148BCF2F}"/>
    <cellStyle name="Normal 2 4 3 3 2 2 2 3 3" xfId="13542" xr:uid="{00000000-0005-0000-0000-0000DB2D0000}"/>
    <cellStyle name="Normal 2 4 3 3 2 2 2 3 4" xfId="30411" xr:uid="{4B9006DB-862A-460F-BCD0-EF9FCB0A9EC6}"/>
    <cellStyle name="Normal 2 4 3 3 2 2 2 4" xfId="17759" xr:uid="{00000000-0005-0000-0000-0000DC2D0000}"/>
    <cellStyle name="Normal 2 4 3 3 2 2 2 4 2" xfId="34628" xr:uid="{39526565-312E-4FE9-96F8-E57BDE18B87A}"/>
    <cellStyle name="Normal 2 4 3 3 2 2 2 5" xfId="9324" xr:uid="{00000000-0005-0000-0000-0000DD2D0000}"/>
    <cellStyle name="Normal 2 4 3 3 2 2 2 6" xfId="26194" xr:uid="{8CC106CE-BF29-4B35-AC56-7DFDC1EE18A1}"/>
    <cellStyle name="Normal 2 4 3 3 2 2 3" xfId="1212" xr:uid="{00000000-0005-0000-0000-0000DE2D0000}"/>
    <cellStyle name="Normal 2 4 3 3 2 2 3 2" xfId="3442" xr:uid="{00000000-0005-0000-0000-0000DF2D0000}"/>
    <cellStyle name="Normal 2 4 3 3 2 2 3 2 2" xfId="7665" xr:uid="{00000000-0005-0000-0000-0000E02D0000}"/>
    <cellStyle name="Normal 2 4 3 3 2 2 3 2 2 2" xfId="24535" xr:uid="{00000000-0005-0000-0000-0000E12D0000}"/>
    <cellStyle name="Normal 2 4 3 3 2 2 3 2 2 2 2" xfId="41403" xr:uid="{5CEF491C-0226-45A8-8E76-574F47B782FF}"/>
    <cellStyle name="Normal 2 4 3 3 2 2 3 2 2 3" xfId="16100" xr:uid="{00000000-0005-0000-0000-0000E22D0000}"/>
    <cellStyle name="Normal 2 4 3 3 2 2 3 2 2 4" xfId="32969" xr:uid="{382A5F57-D952-4EC0-BD4F-5B3ECF883894}"/>
    <cellStyle name="Normal 2 4 3 3 2 2 3 2 3" xfId="20317" xr:uid="{00000000-0005-0000-0000-0000E32D0000}"/>
    <cellStyle name="Normal 2 4 3 3 2 2 3 2 3 2" xfId="37186" xr:uid="{67302358-419D-4BAE-99CB-747D82F633CA}"/>
    <cellStyle name="Normal 2 4 3 3 2 2 3 2 4" xfId="11882" xr:uid="{00000000-0005-0000-0000-0000E42D0000}"/>
    <cellStyle name="Normal 2 4 3 3 2 2 3 2 5" xfId="28752" xr:uid="{63EFBF51-1053-488D-B82F-DE7BD98D0D1C}"/>
    <cellStyle name="Normal 2 4 3 3 2 2 3 3" xfId="5520" xr:uid="{00000000-0005-0000-0000-0000E52D0000}"/>
    <cellStyle name="Normal 2 4 3 3 2 2 3 3 2" xfId="22390" xr:uid="{00000000-0005-0000-0000-0000E62D0000}"/>
    <cellStyle name="Normal 2 4 3 3 2 2 3 3 2 2" xfId="39258" xr:uid="{6A903D04-CC48-4C3E-ADAA-B459F54D4EC1}"/>
    <cellStyle name="Normal 2 4 3 3 2 2 3 3 3" xfId="13955" xr:uid="{00000000-0005-0000-0000-0000E72D0000}"/>
    <cellStyle name="Normal 2 4 3 3 2 2 3 3 4" xfId="30824" xr:uid="{AAC837C0-5AFC-4ED2-9D91-8D15D498AF10}"/>
    <cellStyle name="Normal 2 4 3 3 2 2 3 4" xfId="18172" xr:uid="{00000000-0005-0000-0000-0000E82D0000}"/>
    <cellStyle name="Normal 2 4 3 3 2 2 3 4 2" xfId="35041" xr:uid="{CF55AB61-260A-43C2-910F-78D5074554B0}"/>
    <cellStyle name="Normal 2 4 3 3 2 2 3 5" xfId="9737" xr:uid="{00000000-0005-0000-0000-0000E92D0000}"/>
    <cellStyle name="Normal 2 4 3 3 2 2 3 6" xfId="26607" xr:uid="{D5008382-1CCF-4E93-A3A5-B5CFD55DBEC0}"/>
    <cellStyle name="Normal 2 4 3 3 2 2 4" xfId="1625" xr:uid="{00000000-0005-0000-0000-0000EA2D0000}"/>
    <cellStyle name="Normal 2 4 3 3 2 2 4 2" xfId="3855" xr:uid="{00000000-0005-0000-0000-0000EB2D0000}"/>
    <cellStyle name="Normal 2 4 3 3 2 2 4 2 2" xfId="8078" xr:uid="{00000000-0005-0000-0000-0000EC2D0000}"/>
    <cellStyle name="Normal 2 4 3 3 2 2 4 2 2 2" xfId="24948" xr:uid="{00000000-0005-0000-0000-0000ED2D0000}"/>
    <cellStyle name="Normal 2 4 3 3 2 2 4 2 2 2 2" xfId="41816" xr:uid="{B635E5BC-F2FF-4FE6-9B64-E0F916F560E9}"/>
    <cellStyle name="Normal 2 4 3 3 2 2 4 2 2 3" xfId="16513" xr:uid="{00000000-0005-0000-0000-0000EE2D0000}"/>
    <cellStyle name="Normal 2 4 3 3 2 2 4 2 2 4" xfId="33382" xr:uid="{4912EBBD-FE81-4EFB-8BC6-4EFE1C307477}"/>
    <cellStyle name="Normal 2 4 3 3 2 2 4 2 3" xfId="20730" xr:uid="{00000000-0005-0000-0000-0000EF2D0000}"/>
    <cellStyle name="Normal 2 4 3 3 2 2 4 2 3 2" xfId="37599" xr:uid="{DB99EC71-C3AB-46BF-BE63-CBBD71DF3D5A}"/>
    <cellStyle name="Normal 2 4 3 3 2 2 4 2 4" xfId="12295" xr:uid="{00000000-0005-0000-0000-0000F02D0000}"/>
    <cellStyle name="Normal 2 4 3 3 2 2 4 2 5" xfId="29165" xr:uid="{6ECD8D78-3C7C-4979-8C66-FF72D112EBE7}"/>
    <cellStyle name="Normal 2 4 3 3 2 2 4 3" xfId="5933" xr:uid="{00000000-0005-0000-0000-0000F12D0000}"/>
    <cellStyle name="Normal 2 4 3 3 2 2 4 3 2" xfId="22803" xr:uid="{00000000-0005-0000-0000-0000F22D0000}"/>
    <cellStyle name="Normal 2 4 3 3 2 2 4 3 2 2" xfId="39671" xr:uid="{9FA15229-0B9A-43A7-BE12-7DCE18F515C9}"/>
    <cellStyle name="Normal 2 4 3 3 2 2 4 3 3" xfId="14368" xr:uid="{00000000-0005-0000-0000-0000F32D0000}"/>
    <cellStyle name="Normal 2 4 3 3 2 2 4 3 4" xfId="31237" xr:uid="{8001776E-C0F2-4AEB-8FE8-2CA62F71D5F2}"/>
    <cellStyle name="Normal 2 4 3 3 2 2 4 4" xfId="18585" xr:uid="{00000000-0005-0000-0000-0000F42D0000}"/>
    <cellStyle name="Normal 2 4 3 3 2 2 4 4 2" xfId="35454" xr:uid="{215E2EF1-D830-412C-8C31-21A6A72E94A3}"/>
    <cellStyle name="Normal 2 4 3 3 2 2 4 5" xfId="10150" xr:uid="{00000000-0005-0000-0000-0000F52D0000}"/>
    <cellStyle name="Normal 2 4 3 3 2 2 4 6" xfId="27020" xr:uid="{289F866B-70C9-4FAB-824C-267DA6B511B9}"/>
    <cellStyle name="Normal 2 4 3 3 2 2 5" xfId="2039" xr:uid="{00000000-0005-0000-0000-0000F62D0000}"/>
    <cellStyle name="Normal 2 4 3 3 2 2 5 2" xfId="4268" xr:uid="{00000000-0005-0000-0000-0000F72D0000}"/>
    <cellStyle name="Normal 2 4 3 3 2 2 5 2 2" xfId="8491" xr:uid="{00000000-0005-0000-0000-0000F82D0000}"/>
    <cellStyle name="Normal 2 4 3 3 2 2 5 2 2 2" xfId="25361" xr:uid="{00000000-0005-0000-0000-0000F92D0000}"/>
    <cellStyle name="Normal 2 4 3 3 2 2 5 2 2 2 2" xfId="42229" xr:uid="{C83DC02E-7B35-4CCE-A78E-98939029D11E}"/>
    <cellStyle name="Normal 2 4 3 3 2 2 5 2 2 3" xfId="16926" xr:uid="{00000000-0005-0000-0000-0000FA2D0000}"/>
    <cellStyle name="Normal 2 4 3 3 2 2 5 2 2 4" xfId="33795" xr:uid="{D1985A19-04AD-4BF8-94B1-D5C86EA9CC66}"/>
    <cellStyle name="Normal 2 4 3 3 2 2 5 2 3" xfId="21143" xr:uid="{00000000-0005-0000-0000-0000FB2D0000}"/>
    <cellStyle name="Normal 2 4 3 3 2 2 5 2 3 2" xfId="38012" xr:uid="{168CDEB2-2BDC-4623-B1AD-92C8D0577AEC}"/>
    <cellStyle name="Normal 2 4 3 3 2 2 5 2 4" xfId="12708" xr:uid="{00000000-0005-0000-0000-0000FC2D0000}"/>
    <cellStyle name="Normal 2 4 3 3 2 2 5 2 5" xfId="29578" xr:uid="{8AACC2F8-F2B9-4630-AA0E-345F2E6F0A4C}"/>
    <cellStyle name="Normal 2 4 3 3 2 2 5 3" xfId="6346" xr:uid="{00000000-0005-0000-0000-0000FD2D0000}"/>
    <cellStyle name="Normal 2 4 3 3 2 2 5 3 2" xfId="23216" xr:uid="{00000000-0005-0000-0000-0000FE2D0000}"/>
    <cellStyle name="Normal 2 4 3 3 2 2 5 3 2 2" xfId="40084" xr:uid="{2F2EFBF2-DF04-47F7-A8F1-3FCF33011839}"/>
    <cellStyle name="Normal 2 4 3 3 2 2 5 3 3" xfId="14781" xr:uid="{00000000-0005-0000-0000-0000FF2D0000}"/>
    <cellStyle name="Normal 2 4 3 3 2 2 5 3 4" xfId="31650" xr:uid="{0D06DF4B-D780-4378-B873-B582FD2D0C23}"/>
    <cellStyle name="Normal 2 4 3 3 2 2 5 4" xfId="18998" xr:uid="{00000000-0005-0000-0000-0000002E0000}"/>
    <cellStyle name="Normal 2 4 3 3 2 2 5 4 2" xfId="35867" xr:uid="{31088A14-4C9A-4BBA-8552-B5ED15586FCB}"/>
    <cellStyle name="Normal 2 4 3 3 2 2 5 5" xfId="10563" xr:uid="{00000000-0005-0000-0000-0000012E0000}"/>
    <cellStyle name="Normal 2 4 3 3 2 2 5 6" xfId="27433" xr:uid="{01A8F835-4267-4CF3-817C-E79ADE088B99}"/>
    <cellStyle name="Normal 2 4 3 3 2 2 6" xfId="2475" xr:uid="{00000000-0005-0000-0000-0000022E0000}"/>
    <cellStyle name="Normal 2 4 3 3 2 2 6 2" xfId="6759" xr:uid="{00000000-0005-0000-0000-0000032E0000}"/>
    <cellStyle name="Normal 2 4 3 3 2 2 6 2 2" xfId="23629" xr:uid="{00000000-0005-0000-0000-0000042E0000}"/>
    <cellStyle name="Normal 2 4 3 3 2 2 6 2 2 2" xfId="40497" xr:uid="{60F5E1D5-2910-4E29-89AA-E543DB328957}"/>
    <cellStyle name="Normal 2 4 3 3 2 2 6 2 3" xfId="15194" xr:uid="{00000000-0005-0000-0000-0000052E0000}"/>
    <cellStyle name="Normal 2 4 3 3 2 2 6 2 4" xfId="32063" xr:uid="{3367CE56-FFD5-4CA4-B3A7-F9D807264602}"/>
    <cellStyle name="Normal 2 4 3 3 2 2 6 3" xfId="19411" xr:uid="{00000000-0005-0000-0000-0000062E0000}"/>
    <cellStyle name="Normal 2 4 3 3 2 2 6 3 2" xfId="36280" xr:uid="{08179C5C-4631-448C-A6FB-FEEC902B952B}"/>
    <cellStyle name="Normal 2 4 3 3 2 2 6 4" xfId="10976" xr:uid="{00000000-0005-0000-0000-0000072E0000}"/>
    <cellStyle name="Normal 2 4 3 3 2 2 6 5" xfId="27846" xr:uid="{4798C072-8B1F-4CED-849B-A10B2E33C7DC}"/>
    <cellStyle name="Normal 2 4 3 3 2 2 7" xfId="4693" xr:uid="{00000000-0005-0000-0000-0000082E0000}"/>
    <cellStyle name="Normal 2 4 3 3 2 2 7 2" xfId="21563" xr:uid="{00000000-0005-0000-0000-0000092E0000}"/>
    <cellStyle name="Normal 2 4 3 3 2 2 7 2 2" xfId="38431" xr:uid="{0E7342F5-582A-4442-9300-70C5A082EAF6}"/>
    <cellStyle name="Normal 2 4 3 3 2 2 7 3" xfId="13128" xr:uid="{00000000-0005-0000-0000-00000A2E0000}"/>
    <cellStyle name="Normal 2 4 3 3 2 2 7 4" xfId="29997" xr:uid="{4F148E10-C1A2-4B25-9274-382201271485}"/>
    <cellStyle name="Normal 2 4 3 3 2 2 8" xfId="17345" xr:uid="{00000000-0005-0000-0000-00000B2E0000}"/>
    <cellStyle name="Normal 2 4 3 3 2 2 8 2" xfId="34214" xr:uid="{DC54C0D6-00F0-4EF2-90B0-948A7188F670}"/>
    <cellStyle name="Normal 2 4 3 3 2 2 9" xfId="8910" xr:uid="{00000000-0005-0000-0000-00000C2E0000}"/>
    <cellStyle name="Normal 2 4 3 3 2 3" xfId="789" xr:uid="{00000000-0005-0000-0000-00000D2E0000}"/>
    <cellStyle name="Normal 2 4 3 3 2 3 2" xfId="3028" xr:uid="{00000000-0005-0000-0000-00000E2E0000}"/>
    <cellStyle name="Normal 2 4 3 3 2 3 2 2" xfId="7251" xr:uid="{00000000-0005-0000-0000-00000F2E0000}"/>
    <cellStyle name="Normal 2 4 3 3 2 3 2 2 2" xfId="24121" xr:uid="{00000000-0005-0000-0000-0000102E0000}"/>
    <cellStyle name="Normal 2 4 3 3 2 3 2 2 2 2" xfId="40989" xr:uid="{21A3DB01-8BA2-4BF4-8E9B-F91E9EFA029A}"/>
    <cellStyle name="Normal 2 4 3 3 2 3 2 2 3" xfId="15686" xr:uid="{00000000-0005-0000-0000-0000112E0000}"/>
    <cellStyle name="Normal 2 4 3 3 2 3 2 2 4" xfId="32555" xr:uid="{B9E3541B-A591-4DC5-9F0B-9C062EB6B7A5}"/>
    <cellStyle name="Normal 2 4 3 3 2 3 2 3" xfId="19903" xr:uid="{00000000-0005-0000-0000-0000122E0000}"/>
    <cellStyle name="Normal 2 4 3 3 2 3 2 3 2" xfId="36772" xr:uid="{B8B92C53-3C6F-40DC-B494-74F1FC67E832}"/>
    <cellStyle name="Normal 2 4 3 3 2 3 2 4" xfId="11468" xr:uid="{00000000-0005-0000-0000-0000132E0000}"/>
    <cellStyle name="Normal 2 4 3 3 2 3 2 5" xfId="28338" xr:uid="{CC441D73-B255-4488-B9E1-D97B8C2A5A17}"/>
    <cellStyle name="Normal 2 4 3 3 2 3 3" xfId="5106" xr:uid="{00000000-0005-0000-0000-0000142E0000}"/>
    <cellStyle name="Normal 2 4 3 3 2 3 3 2" xfId="21976" xr:uid="{00000000-0005-0000-0000-0000152E0000}"/>
    <cellStyle name="Normal 2 4 3 3 2 3 3 2 2" xfId="38844" xr:uid="{F71713BE-C5C5-49A2-8E14-4FA4C87392A3}"/>
    <cellStyle name="Normal 2 4 3 3 2 3 3 3" xfId="13541" xr:uid="{00000000-0005-0000-0000-0000162E0000}"/>
    <cellStyle name="Normal 2 4 3 3 2 3 3 4" xfId="30410" xr:uid="{6638AD52-D65A-412C-8033-BAEF88738C92}"/>
    <cellStyle name="Normal 2 4 3 3 2 3 4" xfId="17758" xr:uid="{00000000-0005-0000-0000-0000172E0000}"/>
    <cellStyle name="Normal 2 4 3 3 2 3 4 2" xfId="34627" xr:uid="{2B3D90C8-6B66-480A-9E07-E7E5C0E004F5}"/>
    <cellStyle name="Normal 2 4 3 3 2 3 5" xfId="9323" xr:uid="{00000000-0005-0000-0000-0000182E0000}"/>
    <cellStyle name="Normal 2 4 3 3 2 3 6" xfId="26193" xr:uid="{E5A63F95-0958-4561-91AC-FD8DE39CEFD3}"/>
    <cellStyle name="Normal 2 4 3 3 2 4" xfId="1211" xr:uid="{00000000-0005-0000-0000-0000192E0000}"/>
    <cellStyle name="Normal 2 4 3 3 2 4 2" xfId="3441" xr:uid="{00000000-0005-0000-0000-00001A2E0000}"/>
    <cellStyle name="Normal 2 4 3 3 2 4 2 2" xfId="7664" xr:uid="{00000000-0005-0000-0000-00001B2E0000}"/>
    <cellStyle name="Normal 2 4 3 3 2 4 2 2 2" xfId="24534" xr:uid="{00000000-0005-0000-0000-00001C2E0000}"/>
    <cellStyle name="Normal 2 4 3 3 2 4 2 2 2 2" xfId="41402" xr:uid="{C31F84A4-0B7E-4B77-82FD-E18947558206}"/>
    <cellStyle name="Normal 2 4 3 3 2 4 2 2 3" xfId="16099" xr:uid="{00000000-0005-0000-0000-00001D2E0000}"/>
    <cellStyle name="Normal 2 4 3 3 2 4 2 2 4" xfId="32968" xr:uid="{7C5049E4-62FB-4BFC-AC45-EEF1EBE3DA6C}"/>
    <cellStyle name="Normal 2 4 3 3 2 4 2 3" xfId="20316" xr:uid="{00000000-0005-0000-0000-00001E2E0000}"/>
    <cellStyle name="Normal 2 4 3 3 2 4 2 3 2" xfId="37185" xr:uid="{CD24F59B-2B51-41D0-8884-2916587BF840}"/>
    <cellStyle name="Normal 2 4 3 3 2 4 2 4" xfId="11881" xr:uid="{00000000-0005-0000-0000-00001F2E0000}"/>
    <cellStyle name="Normal 2 4 3 3 2 4 2 5" xfId="28751" xr:uid="{A0967F25-395E-450C-9F6F-6F8B767BA701}"/>
    <cellStyle name="Normal 2 4 3 3 2 4 3" xfId="5519" xr:uid="{00000000-0005-0000-0000-0000202E0000}"/>
    <cellStyle name="Normal 2 4 3 3 2 4 3 2" xfId="22389" xr:uid="{00000000-0005-0000-0000-0000212E0000}"/>
    <cellStyle name="Normal 2 4 3 3 2 4 3 2 2" xfId="39257" xr:uid="{8C4F5B31-9A5C-4767-B6B2-4D934E723186}"/>
    <cellStyle name="Normal 2 4 3 3 2 4 3 3" xfId="13954" xr:uid="{00000000-0005-0000-0000-0000222E0000}"/>
    <cellStyle name="Normal 2 4 3 3 2 4 3 4" xfId="30823" xr:uid="{7C3CE60F-D84C-4122-8194-A5A77E72B5D1}"/>
    <cellStyle name="Normal 2 4 3 3 2 4 4" xfId="18171" xr:uid="{00000000-0005-0000-0000-0000232E0000}"/>
    <cellStyle name="Normal 2 4 3 3 2 4 4 2" xfId="35040" xr:uid="{6315DDD5-749B-4CD9-8138-12B3A0C1A7CA}"/>
    <cellStyle name="Normal 2 4 3 3 2 4 5" xfId="9736" xr:uid="{00000000-0005-0000-0000-0000242E0000}"/>
    <cellStyle name="Normal 2 4 3 3 2 4 6" xfId="26606" xr:uid="{DCA3A1C7-7C20-4C7D-9D04-60E7D559ADFD}"/>
    <cellStyle name="Normal 2 4 3 3 2 5" xfId="1624" xr:uid="{00000000-0005-0000-0000-0000252E0000}"/>
    <cellStyle name="Normal 2 4 3 3 2 5 2" xfId="3854" xr:uid="{00000000-0005-0000-0000-0000262E0000}"/>
    <cellStyle name="Normal 2 4 3 3 2 5 2 2" xfId="8077" xr:uid="{00000000-0005-0000-0000-0000272E0000}"/>
    <cellStyle name="Normal 2 4 3 3 2 5 2 2 2" xfId="24947" xr:uid="{00000000-0005-0000-0000-0000282E0000}"/>
    <cellStyle name="Normal 2 4 3 3 2 5 2 2 2 2" xfId="41815" xr:uid="{87D8CAD0-17DB-404B-B4B6-10658F650F6C}"/>
    <cellStyle name="Normal 2 4 3 3 2 5 2 2 3" xfId="16512" xr:uid="{00000000-0005-0000-0000-0000292E0000}"/>
    <cellStyle name="Normal 2 4 3 3 2 5 2 2 4" xfId="33381" xr:uid="{30609FE1-C6F5-4B56-B487-F05DC20D624F}"/>
    <cellStyle name="Normal 2 4 3 3 2 5 2 3" xfId="20729" xr:uid="{00000000-0005-0000-0000-00002A2E0000}"/>
    <cellStyle name="Normal 2 4 3 3 2 5 2 3 2" xfId="37598" xr:uid="{78D0A0B5-43D8-463E-ADDF-6997A20F9942}"/>
    <cellStyle name="Normal 2 4 3 3 2 5 2 4" xfId="12294" xr:uid="{00000000-0005-0000-0000-00002B2E0000}"/>
    <cellStyle name="Normal 2 4 3 3 2 5 2 5" xfId="29164" xr:uid="{54CC8F31-1ECD-4E99-8E81-712A9B94DEEF}"/>
    <cellStyle name="Normal 2 4 3 3 2 5 3" xfId="5932" xr:uid="{00000000-0005-0000-0000-00002C2E0000}"/>
    <cellStyle name="Normal 2 4 3 3 2 5 3 2" xfId="22802" xr:uid="{00000000-0005-0000-0000-00002D2E0000}"/>
    <cellStyle name="Normal 2 4 3 3 2 5 3 2 2" xfId="39670" xr:uid="{F3C10CB9-D7A5-4366-BFA2-3FA815105923}"/>
    <cellStyle name="Normal 2 4 3 3 2 5 3 3" xfId="14367" xr:uid="{00000000-0005-0000-0000-00002E2E0000}"/>
    <cellStyle name="Normal 2 4 3 3 2 5 3 4" xfId="31236" xr:uid="{6285AD9C-3F4B-4BC0-A348-99A2928FB2FA}"/>
    <cellStyle name="Normal 2 4 3 3 2 5 4" xfId="18584" xr:uid="{00000000-0005-0000-0000-00002F2E0000}"/>
    <cellStyle name="Normal 2 4 3 3 2 5 4 2" xfId="35453" xr:uid="{32DEC9E7-FDA7-4A59-8CB4-F93F351F5819}"/>
    <cellStyle name="Normal 2 4 3 3 2 5 5" xfId="10149" xr:uid="{00000000-0005-0000-0000-0000302E0000}"/>
    <cellStyle name="Normal 2 4 3 3 2 5 6" xfId="27019" xr:uid="{E100FAC0-22CA-41A5-B62B-2EB49FB63B8C}"/>
    <cellStyle name="Normal 2 4 3 3 2 6" xfId="2038" xr:uid="{00000000-0005-0000-0000-0000312E0000}"/>
    <cellStyle name="Normal 2 4 3 3 2 6 2" xfId="4267" xr:uid="{00000000-0005-0000-0000-0000322E0000}"/>
    <cellStyle name="Normal 2 4 3 3 2 6 2 2" xfId="8490" xr:uid="{00000000-0005-0000-0000-0000332E0000}"/>
    <cellStyle name="Normal 2 4 3 3 2 6 2 2 2" xfId="25360" xr:uid="{00000000-0005-0000-0000-0000342E0000}"/>
    <cellStyle name="Normal 2 4 3 3 2 6 2 2 2 2" xfId="42228" xr:uid="{C3C3AF3E-FA74-4B10-8E97-B9E6EF958F41}"/>
    <cellStyle name="Normal 2 4 3 3 2 6 2 2 3" xfId="16925" xr:uid="{00000000-0005-0000-0000-0000352E0000}"/>
    <cellStyle name="Normal 2 4 3 3 2 6 2 2 4" xfId="33794" xr:uid="{8022F092-5753-4C0F-8F3E-48228483C22B}"/>
    <cellStyle name="Normal 2 4 3 3 2 6 2 3" xfId="21142" xr:uid="{00000000-0005-0000-0000-0000362E0000}"/>
    <cellStyle name="Normal 2 4 3 3 2 6 2 3 2" xfId="38011" xr:uid="{FE51C27A-08F9-44C8-9EF7-FC58B54E02E6}"/>
    <cellStyle name="Normal 2 4 3 3 2 6 2 4" xfId="12707" xr:uid="{00000000-0005-0000-0000-0000372E0000}"/>
    <cellStyle name="Normal 2 4 3 3 2 6 2 5" xfId="29577" xr:uid="{6E7CFF66-7304-4BD7-B7CA-E43B9C4C2817}"/>
    <cellStyle name="Normal 2 4 3 3 2 6 3" xfId="6345" xr:uid="{00000000-0005-0000-0000-0000382E0000}"/>
    <cellStyle name="Normal 2 4 3 3 2 6 3 2" xfId="23215" xr:uid="{00000000-0005-0000-0000-0000392E0000}"/>
    <cellStyle name="Normal 2 4 3 3 2 6 3 2 2" xfId="40083" xr:uid="{2D40DBD1-E0DA-4412-94E8-AE5C95CFBDFC}"/>
    <cellStyle name="Normal 2 4 3 3 2 6 3 3" xfId="14780" xr:uid="{00000000-0005-0000-0000-00003A2E0000}"/>
    <cellStyle name="Normal 2 4 3 3 2 6 3 4" xfId="31649" xr:uid="{79A1FD2F-A375-4975-B5E1-715462E4DCA9}"/>
    <cellStyle name="Normal 2 4 3 3 2 6 4" xfId="18997" xr:uid="{00000000-0005-0000-0000-00003B2E0000}"/>
    <cellStyle name="Normal 2 4 3 3 2 6 4 2" xfId="35866" xr:uid="{1316986D-3BFB-4573-A623-C9E07D09BC3C}"/>
    <cellStyle name="Normal 2 4 3 3 2 6 5" xfId="10562" xr:uid="{00000000-0005-0000-0000-00003C2E0000}"/>
    <cellStyle name="Normal 2 4 3 3 2 6 6" xfId="27432" xr:uid="{03E44710-CAED-41B3-AA53-B24B9EF16B63}"/>
    <cellStyle name="Normal 2 4 3 3 2 7" xfId="2474" xr:uid="{00000000-0005-0000-0000-00003D2E0000}"/>
    <cellStyle name="Normal 2 4 3 3 2 7 2" xfId="6758" xr:uid="{00000000-0005-0000-0000-00003E2E0000}"/>
    <cellStyle name="Normal 2 4 3 3 2 7 2 2" xfId="23628" xr:uid="{00000000-0005-0000-0000-00003F2E0000}"/>
    <cellStyle name="Normal 2 4 3 3 2 7 2 2 2" xfId="40496" xr:uid="{7DADD297-738A-4C32-A915-C644702112DC}"/>
    <cellStyle name="Normal 2 4 3 3 2 7 2 3" xfId="15193" xr:uid="{00000000-0005-0000-0000-0000402E0000}"/>
    <cellStyle name="Normal 2 4 3 3 2 7 2 4" xfId="32062" xr:uid="{A0635871-D373-463B-9506-E3C10C551188}"/>
    <cellStyle name="Normal 2 4 3 3 2 7 3" xfId="19410" xr:uid="{00000000-0005-0000-0000-0000412E0000}"/>
    <cellStyle name="Normal 2 4 3 3 2 7 3 2" xfId="36279" xr:uid="{B664FF9B-4069-45F0-BF8A-9FF3EB3EBD0D}"/>
    <cellStyle name="Normal 2 4 3 3 2 7 4" xfId="10975" xr:uid="{00000000-0005-0000-0000-0000422E0000}"/>
    <cellStyle name="Normal 2 4 3 3 2 7 5" xfId="27845" xr:uid="{04171F1D-712A-4A0A-A474-0D0A9F983636}"/>
    <cellStyle name="Normal 2 4 3 3 2 8" xfId="4692" xr:uid="{00000000-0005-0000-0000-0000432E0000}"/>
    <cellStyle name="Normal 2 4 3 3 2 8 2" xfId="21562" xr:uid="{00000000-0005-0000-0000-0000442E0000}"/>
    <cellStyle name="Normal 2 4 3 3 2 8 2 2" xfId="38430" xr:uid="{D378B6C6-5DCB-4187-95EA-7833A82C5D1D}"/>
    <cellStyle name="Normal 2 4 3 3 2 8 3" xfId="13127" xr:uid="{00000000-0005-0000-0000-0000452E0000}"/>
    <cellStyle name="Normal 2 4 3 3 2 8 4" xfId="29996" xr:uid="{140DBFA8-9098-400D-A2F7-066918C43AB2}"/>
    <cellStyle name="Normal 2 4 3 3 2 9" xfId="17344" xr:uid="{00000000-0005-0000-0000-0000462E0000}"/>
    <cellStyle name="Normal 2 4 3 3 2 9 2" xfId="34213" xr:uid="{07DD46CD-5F27-4166-B9B5-DBC85E436009}"/>
    <cellStyle name="Normal 2 4 3 3 3" xfId="301" xr:uid="{00000000-0005-0000-0000-0000472E0000}"/>
    <cellStyle name="Normal 2 4 3 3 3 10" xfId="25781" xr:uid="{D6F75B56-1E96-49ED-BE12-3F1C7740361D}"/>
    <cellStyle name="Normal 2 4 3 3 3 2" xfId="791" xr:uid="{00000000-0005-0000-0000-0000482E0000}"/>
    <cellStyle name="Normal 2 4 3 3 3 2 2" xfId="3030" xr:uid="{00000000-0005-0000-0000-0000492E0000}"/>
    <cellStyle name="Normal 2 4 3 3 3 2 2 2" xfId="7253" xr:uid="{00000000-0005-0000-0000-00004A2E0000}"/>
    <cellStyle name="Normal 2 4 3 3 3 2 2 2 2" xfId="24123" xr:uid="{00000000-0005-0000-0000-00004B2E0000}"/>
    <cellStyle name="Normal 2 4 3 3 3 2 2 2 2 2" xfId="40991" xr:uid="{C08C2493-C6E1-409E-9D7A-CF87A9EB84F8}"/>
    <cellStyle name="Normal 2 4 3 3 3 2 2 2 3" xfId="15688" xr:uid="{00000000-0005-0000-0000-00004C2E0000}"/>
    <cellStyle name="Normal 2 4 3 3 3 2 2 2 4" xfId="32557" xr:uid="{047C8E35-02CD-47B2-8390-FE60E8AF64CC}"/>
    <cellStyle name="Normal 2 4 3 3 3 2 2 3" xfId="19905" xr:uid="{00000000-0005-0000-0000-00004D2E0000}"/>
    <cellStyle name="Normal 2 4 3 3 3 2 2 3 2" xfId="36774" xr:uid="{3BEFC3D2-F80D-4E2E-82CD-B28D1F316F45}"/>
    <cellStyle name="Normal 2 4 3 3 3 2 2 4" xfId="11470" xr:uid="{00000000-0005-0000-0000-00004E2E0000}"/>
    <cellStyle name="Normal 2 4 3 3 3 2 2 5" xfId="28340" xr:uid="{0160625E-0BB7-4AB8-B753-3BCD2761A92E}"/>
    <cellStyle name="Normal 2 4 3 3 3 2 3" xfId="5108" xr:uid="{00000000-0005-0000-0000-00004F2E0000}"/>
    <cellStyle name="Normal 2 4 3 3 3 2 3 2" xfId="21978" xr:uid="{00000000-0005-0000-0000-0000502E0000}"/>
    <cellStyle name="Normal 2 4 3 3 3 2 3 2 2" xfId="38846" xr:uid="{7F22B37A-1C9B-4259-B02E-122949152A6D}"/>
    <cellStyle name="Normal 2 4 3 3 3 2 3 3" xfId="13543" xr:uid="{00000000-0005-0000-0000-0000512E0000}"/>
    <cellStyle name="Normal 2 4 3 3 3 2 3 4" xfId="30412" xr:uid="{CD68C222-D928-40BD-954C-619685866BC8}"/>
    <cellStyle name="Normal 2 4 3 3 3 2 4" xfId="17760" xr:uid="{00000000-0005-0000-0000-0000522E0000}"/>
    <cellStyle name="Normal 2 4 3 3 3 2 4 2" xfId="34629" xr:uid="{DCD2C4B3-DC1C-4B61-AF06-A54A690BF604}"/>
    <cellStyle name="Normal 2 4 3 3 3 2 5" xfId="9325" xr:uid="{00000000-0005-0000-0000-0000532E0000}"/>
    <cellStyle name="Normal 2 4 3 3 3 2 6" xfId="26195" xr:uid="{98210DC9-C63E-45DA-B391-15748E28E7F8}"/>
    <cellStyle name="Normal 2 4 3 3 3 3" xfId="1213" xr:uid="{00000000-0005-0000-0000-0000542E0000}"/>
    <cellStyle name="Normal 2 4 3 3 3 3 2" xfId="3443" xr:uid="{00000000-0005-0000-0000-0000552E0000}"/>
    <cellStyle name="Normal 2 4 3 3 3 3 2 2" xfId="7666" xr:uid="{00000000-0005-0000-0000-0000562E0000}"/>
    <cellStyle name="Normal 2 4 3 3 3 3 2 2 2" xfId="24536" xr:uid="{00000000-0005-0000-0000-0000572E0000}"/>
    <cellStyle name="Normal 2 4 3 3 3 3 2 2 2 2" xfId="41404" xr:uid="{3AE5884C-A9A1-43D4-8CCF-75274C8E7766}"/>
    <cellStyle name="Normal 2 4 3 3 3 3 2 2 3" xfId="16101" xr:uid="{00000000-0005-0000-0000-0000582E0000}"/>
    <cellStyle name="Normal 2 4 3 3 3 3 2 2 4" xfId="32970" xr:uid="{5E09A117-AF9D-4D59-A566-C8B8E35A55C8}"/>
    <cellStyle name="Normal 2 4 3 3 3 3 2 3" xfId="20318" xr:uid="{00000000-0005-0000-0000-0000592E0000}"/>
    <cellStyle name="Normal 2 4 3 3 3 3 2 3 2" xfId="37187" xr:uid="{D02C0E8E-3851-4877-A566-E3D1A1EF8139}"/>
    <cellStyle name="Normal 2 4 3 3 3 3 2 4" xfId="11883" xr:uid="{00000000-0005-0000-0000-00005A2E0000}"/>
    <cellStyle name="Normal 2 4 3 3 3 3 2 5" xfId="28753" xr:uid="{8AA9DB68-7EAB-4AC6-997C-4584305B5792}"/>
    <cellStyle name="Normal 2 4 3 3 3 3 3" xfId="5521" xr:uid="{00000000-0005-0000-0000-00005B2E0000}"/>
    <cellStyle name="Normal 2 4 3 3 3 3 3 2" xfId="22391" xr:uid="{00000000-0005-0000-0000-00005C2E0000}"/>
    <cellStyle name="Normal 2 4 3 3 3 3 3 2 2" xfId="39259" xr:uid="{72125DF4-1C6C-4336-B207-95C59F228FDC}"/>
    <cellStyle name="Normal 2 4 3 3 3 3 3 3" xfId="13956" xr:uid="{00000000-0005-0000-0000-00005D2E0000}"/>
    <cellStyle name="Normal 2 4 3 3 3 3 3 4" xfId="30825" xr:uid="{E15288D9-8333-4416-82B7-16CEF5EB1B46}"/>
    <cellStyle name="Normal 2 4 3 3 3 3 4" xfId="18173" xr:uid="{00000000-0005-0000-0000-00005E2E0000}"/>
    <cellStyle name="Normal 2 4 3 3 3 3 4 2" xfId="35042" xr:uid="{1C67733D-9686-45E6-8D95-0374F7D7891C}"/>
    <cellStyle name="Normal 2 4 3 3 3 3 5" xfId="9738" xr:uid="{00000000-0005-0000-0000-00005F2E0000}"/>
    <cellStyle name="Normal 2 4 3 3 3 3 6" xfId="26608" xr:uid="{9B576920-E03F-444D-97F3-7242BA7C28FC}"/>
    <cellStyle name="Normal 2 4 3 3 3 4" xfId="1626" xr:uid="{00000000-0005-0000-0000-0000602E0000}"/>
    <cellStyle name="Normal 2 4 3 3 3 4 2" xfId="3856" xr:uid="{00000000-0005-0000-0000-0000612E0000}"/>
    <cellStyle name="Normal 2 4 3 3 3 4 2 2" xfId="8079" xr:uid="{00000000-0005-0000-0000-0000622E0000}"/>
    <cellStyle name="Normal 2 4 3 3 3 4 2 2 2" xfId="24949" xr:uid="{00000000-0005-0000-0000-0000632E0000}"/>
    <cellStyle name="Normal 2 4 3 3 3 4 2 2 2 2" xfId="41817" xr:uid="{981DF58D-580E-4F23-96A0-F427B994B957}"/>
    <cellStyle name="Normal 2 4 3 3 3 4 2 2 3" xfId="16514" xr:uid="{00000000-0005-0000-0000-0000642E0000}"/>
    <cellStyle name="Normal 2 4 3 3 3 4 2 2 4" xfId="33383" xr:uid="{BDF6E2B1-ACB9-49C7-B091-19D99BA49F0F}"/>
    <cellStyle name="Normal 2 4 3 3 3 4 2 3" xfId="20731" xr:uid="{00000000-0005-0000-0000-0000652E0000}"/>
    <cellStyle name="Normal 2 4 3 3 3 4 2 3 2" xfId="37600" xr:uid="{09B4ED7A-9945-4931-B6F0-088C1CC2343D}"/>
    <cellStyle name="Normal 2 4 3 3 3 4 2 4" xfId="12296" xr:uid="{00000000-0005-0000-0000-0000662E0000}"/>
    <cellStyle name="Normal 2 4 3 3 3 4 2 5" xfId="29166" xr:uid="{7432248F-C840-4F4B-91F3-2F3981E7B545}"/>
    <cellStyle name="Normal 2 4 3 3 3 4 3" xfId="5934" xr:uid="{00000000-0005-0000-0000-0000672E0000}"/>
    <cellStyle name="Normal 2 4 3 3 3 4 3 2" xfId="22804" xr:uid="{00000000-0005-0000-0000-0000682E0000}"/>
    <cellStyle name="Normal 2 4 3 3 3 4 3 2 2" xfId="39672" xr:uid="{79E60749-A248-490F-B22C-C3ACCE22FE4B}"/>
    <cellStyle name="Normal 2 4 3 3 3 4 3 3" xfId="14369" xr:uid="{00000000-0005-0000-0000-0000692E0000}"/>
    <cellStyle name="Normal 2 4 3 3 3 4 3 4" xfId="31238" xr:uid="{4285C0C3-BEC2-470C-9480-4FFD4D5EAF63}"/>
    <cellStyle name="Normal 2 4 3 3 3 4 4" xfId="18586" xr:uid="{00000000-0005-0000-0000-00006A2E0000}"/>
    <cellStyle name="Normal 2 4 3 3 3 4 4 2" xfId="35455" xr:uid="{1DA1D4D2-ECB7-494C-B454-B7CCA1168BF6}"/>
    <cellStyle name="Normal 2 4 3 3 3 4 5" xfId="10151" xr:uid="{00000000-0005-0000-0000-00006B2E0000}"/>
    <cellStyle name="Normal 2 4 3 3 3 4 6" xfId="27021" xr:uid="{88AE9FB7-3DF2-4C39-8754-4AA2CD6E0A52}"/>
    <cellStyle name="Normal 2 4 3 3 3 5" xfId="2040" xr:uid="{00000000-0005-0000-0000-00006C2E0000}"/>
    <cellStyle name="Normal 2 4 3 3 3 5 2" xfId="4269" xr:uid="{00000000-0005-0000-0000-00006D2E0000}"/>
    <cellStyle name="Normal 2 4 3 3 3 5 2 2" xfId="8492" xr:uid="{00000000-0005-0000-0000-00006E2E0000}"/>
    <cellStyle name="Normal 2 4 3 3 3 5 2 2 2" xfId="25362" xr:uid="{00000000-0005-0000-0000-00006F2E0000}"/>
    <cellStyle name="Normal 2 4 3 3 3 5 2 2 2 2" xfId="42230" xr:uid="{BB52E424-74D9-46CB-80D4-1B82187E8448}"/>
    <cellStyle name="Normal 2 4 3 3 3 5 2 2 3" xfId="16927" xr:uid="{00000000-0005-0000-0000-0000702E0000}"/>
    <cellStyle name="Normal 2 4 3 3 3 5 2 2 4" xfId="33796" xr:uid="{C4C2D77A-D69E-4CEF-BB0A-CF83AB1560F8}"/>
    <cellStyle name="Normal 2 4 3 3 3 5 2 3" xfId="21144" xr:uid="{00000000-0005-0000-0000-0000712E0000}"/>
    <cellStyle name="Normal 2 4 3 3 3 5 2 3 2" xfId="38013" xr:uid="{5732956A-FA47-449B-8F2F-7D734242E7DF}"/>
    <cellStyle name="Normal 2 4 3 3 3 5 2 4" xfId="12709" xr:uid="{00000000-0005-0000-0000-0000722E0000}"/>
    <cellStyle name="Normal 2 4 3 3 3 5 2 5" xfId="29579" xr:uid="{217A5D10-C511-40D7-B5A3-526038CDAEBC}"/>
    <cellStyle name="Normal 2 4 3 3 3 5 3" xfId="6347" xr:uid="{00000000-0005-0000-0000-0000732E0000}"/>
    <cellStyle name="Normal 2 4 3 3 3 5 3 2" xfId="23217" xr:uid="{00000000-0005-0000-0000-0000742E0000}"/>
    <cellStyle name="Normal 2 4 3 3 3 5 3 2 2" xfId="40085" xr:uid="{5A86EBFB-D2C4-47EA-ABB3-10ABF2D518F1}"/>
    <cellStyle name="Normal 2 4 3 3 3 5 3 3" xfId="14782" xr:uid="{00000000-0005-0000-0000-0000752E0000}"/>
    <cellStyle name="Normal 2 4 3 3 3 5 3 4" xfId="31651" xr:uid="{65067DAE-67F2-4796-9287-1C9FE268E914}"/>
    <cellStyle name="Normal 2 4 3 3 3 5 4" xfId="18999" xr:uid="{00000000-0005-0000-0000-0000762E0000}"/>
    <cellStyle name="Normal 2 4 3 3 3 5 4 2" xfId="35868" xr:uid="{DE1AA466-3B76-424C-9697-28895A6F880E}"/>
    <cellStyle name="Normal 2 4 3 3 3 5 5" xfId="10564" xr:uid="{00000000-0005-0000-0000-0000772E0000}"/>
    <cellStyle name="Normal 2 4 3 3 3 5 6" xfId="27434" xr:uid="{59E7E188-FC3C-4D43-A017-F0CA44533451}"/>
    <cellStyle name="Normal 2 4 3 3 3 6" xfId="2476" xr:uid="{00000000-0005-0000-0000-0000782E0000}"/>
    <cellStyle name="Normal 2 4 3 3 3 6 2" xfId="6760" xr:uid="{00000000-0005-0000-0000-0000792E0000}"/>
    <cellStyle name="Normal 2 4 3 3 3 6 2 2" xfId="23630" xr:uid="{00000000-0005-0000-0000-00007A2E0000}"/>
    <cellStyle name="Normal 2 4 3 3 3 6 2 2 2" xfId="40498" xr:uid="{36E2DAC0-C3B7-4850-A6E1-B12265B5D511}"/>
    <cellStyle name="Normal 2 4 3 3 3 6 2 3" xfId="15195" xr:uid="{00000000-0005-0000-0000-00007B2E0000}"/>
    <cellStyle name="Normal 2 4 3 3 3 6 2 4" xfId="32064" xr:uid="{8035F207-C3B3-4589-82D5-DD993D1D3F12}"/>
    <cellStyle name="Normal 2 4 3 3 3 6 3" xfId="19412" xr:uid="{00000000-0005-0000-0000-00007C2E0000}"/>
    <cellStyle name="Normal 2 4 3 3 3 6 3 2" xfId="36281" xr:uid="{F408FDD9-8722-4E02-8910-2EAF12FEECA4}"/>
    <cellStyle name="Normal 2 4 3 3 3 6 4" xfId="10977" xr:uid="{00000000-0005-0000-0000-00007D2E0000}"/>
    <cellStyle name="Normal 2 4 3 3 3 6 5" xfId="27847" xr:uid="{A2335FBD-F609-42E0-9D0F-3944FC965666}"/>
    <cellStyle name="Normal 2 4 3 3 3 7" xfId="4694" xr:uid="{00000000-0005-0000-0000-00007E2E0000}"/>
    <cellStyle name="Normal 2 4 3 3 3 7 2" xfId="21564" xr:uid="{00000000-0005-0000-0000-00007F2E0000}"/>
    <cellStyle name="Normal 2 4 3 3 3 7 2 2" xfId="38432" xr:uid="{9AF3D38C-3AD8-40AB-80DD-F2186F29403D}"/>
    <cellStyle name="Normal 2 4 3 3 3 7 3" xfId="13129" xr:uid="{00000000-0005-0000-0000-0000802E0000}"/>
    <cellStyle name="Normal 2 4 3 3 3 7 4" xfId="29998" xr:uid="{131813B0-28F6-45DE-AB75-6A432D4BFF0E}"/>
    <cellStyle name="Normal 2 4 3 3 3 8" xfId="17346" xr:uid="{00000000-0005-0000-0000-0000812E0000}"/>
    <cellStyle name="Normal 2 4 3 3 3 8 2" xfId="34215" xr:uid="{5AA01734-D37D-4093-BB2B-D7BD6C4AB76D}"/>
    <cellStyle name="Normal 2 4 3 3 3 9" xfId="8911" xr:uid="{00000000-0005-0000-0000-0000822E0000}"/>
    <cellStyle name="Normal 2 4 3 3 4" xfId="788" xr:uid="{00000000-0005-0000-0000-0000832E0000}"/>
    <cellStyle name="Normal 2 4 3 3 4 2" xfId="3027" xr:uid="{00000000-0005-0000-0000-0000842E0000}"/>
    <cellStyle name="Normal 2 4 3 3 4 2 2" xfId="7250" xr:uid="{00000000-0005-0000-0000-0000852E0000}"/>
    <cellStyle name="Normal 2 4 3 3 4 2 2 2" xfId="24120" xr:uid="{00000000-0005-0000-0000-0000862E0000}"/>
    <cellStyle name="Normal 2 4 3 3 4 2 2 2 2" xfId="40988" xr:uid="{16788140-ED88-4E12-96E4-91476F32F45A}"/>
    <cellStyle name="Normal 2 4 3 3 4 2 2 3" xfId="15685" xr:uid="{00000000-0005-0000-0000-0000872E0000}"/>
    <cellStyle name="Normal 2 4 3 3 4 2 2 4" xfId="32554" xr:uid="{7C13BC09-59BE-4D79-92EE-09297B5E2F9F}"/>
    <cellStyle name="Normal 2 4 3 3 4 2 3" xfId="19902" xr:uid="{00000000-0005-0000-0000-0000882E0000}"/>
    <cellStyle name="Normal 2 4 3 3 4 2 3 2" xfId="36771" xr:uid="{65C2F937-72C2-4B89-BD8E-F18B1F407038}"/>
    <cellStyle name="Normal 2 4 3 3 4 2 4" xfId="11467" xr:uid="{00000000-0005-0000-0000-0000892E0000}"/>
    <cellStyle name="Normal 2 4 3 3 4 2 5" xfId="28337" xr:uid="{64CFD028-9026-42BC-9A52-E7EE962681FB}"/>
    <cellStyle name="Normal 2 4 3 3 4 3" xfId="5105" xr:uid="{00000000-0005-0000-0000-00008A2E0000}"/>
    <cellStyle name="Normal 2 4 3 3 4 3 2" xfId="21975" xr:uid="{00000000-0005-0000-0000-00008B2E0000}"/>
    <cellStyle name="Normal 2 4 3 3 4 3 2 2" xfId="38843" xr:uid="{4637A89F-412D-430D-AF30-AEF52CF70696}"/>
    <cellStyle name="Normal 2 4 3 3 4 3 3" xfId="13540" xr:uid="{00000000-0005-0000-0000-00008C2E0000}"/>
    <cellStyle name="Normal 2 4 3 3 4 3 4" xfId="30409" xr:uid="{8C581C43-885E-4D4D-8BC5-3F682FFCD3A3}"/>
    <cellStyle name="Normal 2 4 3 3 4 4" xfId="17757" xr:uid="{00000000-0005-0000-0000-00008D2E0000}"/>
    <cellStyle name="Normal 2 4 3 3 4 4 2" xfId="34626" xr:uid="{6D3012C0-8D49-4D98-857E-7C6245264464}"/>
    <cellStyle name="Normal 2 4 3 3 4 5" xfId="9322" xr:uid="{00000000-0005-0000-0000-00008E2E0000}"/>
    <cellStyle name="Normal 2 4 3 3 4 6" xfId="26192" xr:uid="{9D66CD1A-2DAA-47EE-879D-F51255F34E61}"/>
    <cellStyle name="Normal 2 4 3 3 5" xfId="1210" xr:uid="{00000000-0005-0000-0000-00008F2E0000}"/>
    <cellStyle name="Normal 2 4 3 3 5 2" xfId="3440" xr:uid="{00000000-0005-0000-0000-0000902E0000}"/>
    <cellStyle name="Normal 2 4 3 3 5 2 2" xfId="7663" xr:uid="{00000000-0005-0000-0000-0000912E0000}"/>
    <cellStyle name="Normal 2 4 3 3 5 2 2 2" xfId="24533" xr:uid="{00000000-0005-0000-0000-0000922E0000}"/>
    <cellStyle name="Normal 2 4 3 3 5 2 2 2 2" xfId="41401" xr:uid="{AD25940C-5E65-46B2-81BE-723CADDD1D8D}"/>
    <cellStyle name="Normal 2 4 3 3 5 2 2 3" xfId="16098" xr:uid="{00000000-0005-0000-0000-0000932E0000}"/>
    <cellStyle name="Normal 2 4 3 3 5 2 2 4" xfId="32967" xr:uid="{766ED4E2-86CA-4260-9F69-ABD054040CCB}"/>
    <cellStyle name="Normal 2 4 3 3 5 2 3" xfId="20315" xr:uid="{00000000-0005-0000-0000-0000942E0000}"/>
    <cellStyle name="Normal 2 4 3 3 5 2 3 2" xfId="37184" xr:uid="{7A2A1C2F-F034-4920-917C-B4C1DE1521F7}"/>
    <cellStyle name="Normal 2 4 3 3 5 2 4" xfId="11880" xr:uid="{00000000-0005-0000-0000-0000952E0000}"/>
    <cellStyle name="Normal 2 4 3 3 5 2 5" xfId="28750" xr:uid="{E2D6F711-F840-4D4E-9E66-24F03134C872}"/>
    <cellStyle name="Normal 2 4 3 3 5 3" xfId="5518" xr:uid="{00000000-0005-0000-0000-0000962E0000}"/>
    <cellStyle name="Normal 2 4 3 3 5 3 2" xfId="22388" xr:uid="{00000000-0005-0000-0000-0000972E0000}"/>
    <cellStyle name="Normal 2 4 3 3 5 3 2 2" xfId="39256" xr:uid="{143E3080-46FD-4140-8584-829A1BB57C86}"/>
    <cellStyle name="Normal 2 4 3 3 5 3 3" xfId="13953" xr:uid="{00000000-0005-0000-0000-0000982E0000}"/>
    <cellStyle name="Normal 2 4 3 3 5 3 4" xfId="30822" xr:uid="{B302709E-6C70-473C-91F7-425053574A7F}"/>
    <cellStyle name="Normal 2 4 3 3 5 4" xfId="18170" xr:uid="{00000000-0005-0000-0000-0000992E0000}"/>
    <cellStyle name="Normal 2 4 3 3 5 4 2" xfId="35039" xr:uid="{E25F93C4-F512-43E2-B3BD-585EBB9BA227}"/>
    <cellStyle name="Normal 2 4 3 3 5 5" xfId="9735" xr:uid="{00000000-0005-0000-0000-00009A2E0000}"/>
    <cellStyle name="Normal 2 4 3 3 5 6" xfId="26605" xr:uid="{27B09D20-1EB3-4311-BE8E-0B2A934C2F49}"/>
    <cellStyle name="Normal 2 4 3 3 6" xfId="1623" xr:uid="{00000000-0005-0000-0000-00009B2E0000}"/>
    <cellStyle name="Normal 2 4 3 3 6 2" xfId="3853" xr:uid="{00000000-0005-0000-0000-00009C2E0000}"/>
    <cellStyle name="Normal 2 4 3 3 6 2 2" xfId="8076" xr:uid="{00000000-0005-0000-0000-00009D2E0000}"/>
    <cellStyle name="Normal 2 4 3 3 6 2 2 2" xfId="24946" xr:uid="{00000000-0005-0000-0000-00009E2E0000}"/>
    <cellStyle name="Normal 2 4 3 3 6 2 2 2 2" xfId="41814" xr:uid="{75A9BADE-A060-4F42-BCF4-28ABE33C0952}"/>
    <cellStyle name="Normal 2 4 3 3 6 2 2 3" xfId="16511" xr:uid="{00000000-0005-0000-0000-00009F2E0000}"/>
    <cellStyle name="Normal 2 4 3 3 6 2 2 4" xfId="33380" xr:uid="{4699128A-6FF5-4F87-BAE3-4A3FE6989E73}"/>
    <cellStyle name="Normal 2 4 3 3 6 2 3" xfId="20728" xr:uid="{00000000-0005-0000-0000-0000A02E0000}"/>
    <cellStyle name="Normal 2 4 3 3 6 2 3 2" xfId="37597" xr:uid="{94E6F1E6-5381-4E2B-B643-03B1FB466E18}"/>
    <cellStyle name="Normal 2 4 3 3 6 2 4" xfId="12293" xr:uid="{00000000-0005-0000-0000-0000A12E0000}"/>
    <cellStyle name="Normal 2 4 3 3 6 2 5" xfId="29163" xr:uid="{6910C584-BF1E-4BAF-8CB1-4760DE48F4A5}"/>
    <cellStyle name="Normal 2 4 3 3 6 3" xfId="5931" xr:uid="{00000000-0005-0000-0000-0000A22E0000}"/>
    <cellStyle name="Normal 2 4 3 3 6 3 2" xfId="22801" xr:uid="{00000000-0005-0000-0000-0000A32E0000}"/>
    <cellStyle name="Normal 2 4 3 3 6 3 2 2" xfId="39669" xr:uid="{4088236D-D79F-4EB4-9393-51A594C8BD72}"/>
    <cellStyle name="Normal 2 4 3 3 6 3 3" xfId="14366" xr:uid="{00000000-0005-0000-0000-0000A42E0000}"/>
    <cellStyle name="Normal 2 4 3 3 6 3 4" xfId="31235" xr:uid="{4620E2DA-11DF-417A-8B41-EF71F0B8808C}"/>
    <cellStyle name="Normal 2 4 3 3 6 4" xfId="18583" xr:uid="{00000000-0005-0000-0000-0000A52E0000}"/>
    <cellStyle name="Normal 2 4 3 3 6 4 2" xfId="35452" xr:uid="{649F86F4-8700-4C71-8B43-AF871E08834E}"/>
    <cellStyle name="Normal 2 4 3 3 6 5" xfId="10148" xr:uid="{00000000-0005-0000-0000-0000A62E0000}"/>
    <cellStyle name="Normal 2 4 3 3 6 6" xfId="27018" xr:uid="{B65C914A-4DD0-4400-85DA-F964609FEFEF}"/>
    <cellStyle name="Normal 2 4 3 3 7" xfId="2037" xr:uid="{00000000-0005-0000-0000-0000A72E0000}"/>
    <cellStyle name="Normal 2 4 3 3 7 2" xfId="4266" xr:uid="{00000000-0005-0000-0000-0000A82E0000}"/>
    <cellStyle name="Normal 2 4 3 3 7 2 2" xfId="8489" xr:uid="{00000000-0005-0000-0000-0000A92E0000}"/>
    <cellStyle name="Normal 2 4 3 3 7 2 2 2" xfId="25359" xr:uid="{00000000-0005-0000-0000-0000AA2E0000}"/>
    <cellStyle name="Normal 2 4 3 3 7 2 2 2 2" xfId="42227" xr:uid="{660E9B16-2D86-4380-9A97-7E2E9708C53C}"/>
    <cellStyle name="Normal 2 4 3 3 7 2 2 3" xfId="16924" xr:uid="{00000000-0005-0000-0000-0000AB2E0000}"/>
    <cellStyle name="Normal 2 4 3 3 7 2 2 4" xfId="33793" xr:uid="{55208DC7-B5B3-4F17-8858-B53612610346}"/>
    <cellStyle name="Normal 2 4 3 3 7 2 3" xfId="21141" xr:uid="{00000000-0005-0000-0000-0000AC2E0000}"/>
    <cellStyle name="Normal 2 4 3 3 7 2 3 2" xfId="38010" xr:uid="{75DE7DCE-EF0A-4C8E-AC5F-5B95EF62F7F1}"/>
    <cellStyle name="Normal 2 4 3 3 7 2 4" xfId="12706" xr:uid="{00000000-0005-0000-0000-0000AD2E0000}"/>
    <cellStyle name="Normal 2 4 3 3 7 2 5" xfId="29576" xr:uid="{3E4BDCE9-9D32-48C1-94F5-9FC55DE664A4}"/>
    <cellStyle name="Normal 2 4 3 3 7 3" xfId="6344" xr:uid="{00000000-0005-0000-0000-0000AE2E0000}"/>
    <cellStyle name="Normal 2 4 3 3 7 3 2" xfId="23214" xr:uid="{00000000-0005-0000-0000-0000AF2E0000}"/>
    <cellStyle name="Normal 2 4 3 3 7 3 2 2" xfId="40082" xr:uid="{C84FD055-BC98-4F2F-8D5E-8FFC01503237}"/>
    <cellStyle name="Normal 2 4 3 3 7 3 3" xfId="14779" xr:uid="{00000000-0005-0000-0000-0000B02E0000}"/>
    <cellStyle name="Normal 2 4 3 3 7 3 4" xfId="31648" xr:uid="{C38D32B0-7AE0-48F8-8EB8-FDF7716399D3}"/>
    <cellStyle name="Normal 2 4 3 3 7 4" xfId="18996" xr:uid="{00000000-0005-0000-0000-0000B12E0000}"/>
    <cellStyle name="Normal 2 4 3 3 7 4 2" xfId="35865" xr:uid="{8DC1F669-1B36-4FC4-BA06-16B133D3B30A}"/>
    <cellStyle name="Normal 2 4 3 3 7 5" xfId="10561" xr:uid="{00000000-0005-0000-0000-0000B22E0000}"/>
    <cellStyle name="Normal 2 4 3 3 7 6" xfId="27431" xr:uid="{952A74A0-BB0D-4394-BA06-FC24F814C70D}"/>
    <cellStyle name="Normal 2 4 3 3 8" xfId="2473" xr:uid="{00000000-0005-0000-0000-0000B32E0000}"/>
    <cellStyle name="Normal 2 4 3 3 8 2" xfId="6757" xr:uid="{00000000-0005-0000-0000-0000B42E0000}"/>
    <cellStyle name="Normal 2 4 3 3 8 2 2" xfId="23627" xr:uid="{00000000-0005-0000-0000-0000B52E0000}"/>
    <cellStyle name="Normal 2 4 3 3 8 2 2 2" xfId="40495" xr:uid="{85CA7DE6-D1AD-499E-9694-A87E304B6050}"/>
    <cellStyle name="Normal 2 4 3 3 8 2 3" xfId="15192" xr:uid="{00000000-0005-0000-0000-0000B62E0000}"/>
    <cellStyle name="Normal 2 4 3 3 8 2 4" xfId="32061" xr:uid="{2613614F-81AE-4CA1-90E7-E101B37C256E}"/>
    <cellStyle name="Normal 2 4 3 3 8 3" xfId="19409" xr:uid="{00000000-0005-0000-0000-0000B72E0000}"/>
    <cellStyle name="Normal 2 4 3 3 8 3 2" xfId="36278" xr:uid="{2BD004A8-66A4-4A76-A3CB-94F9C9EB92EB}"/>
    <cellStyle name="Normal 2 4 3 3 8 4" xfId="10974" xr:uid="{00000000-0005-0000-0000-0000B82E0000}"/>
    <cellStyle name="Normal 2 4 3 3 8 5" xfId="27844" xr:uid="{2773935F-16B7-4689-8122-4EE6240D2395}"/>
    <cellStyle name="Normal 2 4 3 3 9" xfId="4691" xr:uid="{00000000-0005-0000-0000-0000B92E0000}"/>
    <cellStyle name="Normal 2 4 3 3 9 2" xfId="21561" xr:uid="{00000000-0005-0000-0000-0000BA2E0000}"/>
    <cellStyle name="Normal 2 4 3 3 9 2 2" xfId="38429" xr:uid="{040CE010-3409-4614-85AD-CB0D39958B30}"/>
    <cellStyle name="Normal 2 4 3 3 9 3" xfId="13126" xr:uid="{00000000-0005-0000-0000-0000BB2E0000}"/>
    <cellStyle name="Normal 2 4 3 3 9 4" xfId="29995" xr:uid="{785A9023-F569-465B-9CB7-90D8AC544A07}"/>
    <cellStyle name="Normal 2 4 3 4" xfId="787" xr:uid="{00000000-0005-0000-0000-0000BC2E0000}"/>
    <cellStyle name="Normal 2 4 3 4 2" xfId="3026" xr:uid="{00000000-0005-0000-0000-0000BD2E0000}"/>
    <cellStyle name="Normal 2 4 3 4 2 2" xfId="7249" xr:uid="{00000000-0005-0000-0000-0000BE2E0000}"/>
    <cellStyle name="Normal 2 4 3 4 2 2 2" xfId="24119" xr:uid="{00000000-0005-0000-0000-0000BF2E0000}"/>
    <cellStyle name="Normal 2 4 3 4 2 2 2 2" xfId="40987" xr:uid="{32C9E910-0459-4DCA-8604-CE26D0A3F695}"/>
    <cellStyle name="Normal 2 4 3 4 2 2 3" xfId="15684" xr:uid="{00000000-0005-0000-0000-0000C02E0000}"/>
    <cellStyle name="Normal 2 4 3 4 2 2 4" xfId="32553" xr:uid="{F9BB77B7-C7B7-4485-9C19-0FD8B29C21DB}"/>
    <cellStyle name="Normal 2 4 3 4 2 3" xfId="19901" xr:uid="{00000000-0005-0000-0000-0000C12E0000}"/>
    <cellStyle name="Normal 2 4 3 4 2 3 2" xfId="36770" xr:uid="{CF7CFE68-3D68-4512-892E-C3D00F05A6B7}"/>
    <cellStyle name="Normal 2 4 3 4 2 4" xfId="11466" xr:uid="{00000000-0005-0000-0000-0000C22E0000}"/>
    <cellStyle name="Normal 2 4 3 4 2 5" xfId="28336" xr:uid="{B2B21E0C-18C1-40BC-8981-EB920AC3160A}"/>
    <cellStyle name="Normal 2 4 3 4 3" xfId="5104" xr:uid="{00000000-0005-0000-0000-0000C32E0000}"/>
    <cellStyle name="Normal 2 4 3 4 3 2" xfId="21974" xr:uid="{00000000-0005-0000-0000-0000C42E0000}"/>
    <cellStyle name="Normal 2 4 3 4 3 2 2" xfId="38842" xr:uid="{70585022-25D7-4F42-9A41-96B8A03ED6DC}"/>
    <cellStyle name="Normal 2 4 3 4 3 3" xfId="13539" xr:uid="{00000000-0005-0000-0000-0000C52E0000}"/>
    <cellStyle name="Normal 2 4 3 4 3 4" xfId="30408" xr:uid="{653B59F3-6955-4A45-B8C3-E8E5B1AC7FB7}"/>
    <cellStyle name="Normal 2 4 3 4 4" xfId="17756" xr:uid="{00000000-0005-0000-0000-0000C62E0000}"/>
    <cellStyle name="Normal 2 4 3 4 4 2" xfId="34625" xr:uid="{EFA25878-50E3-4385-89C0-4A190B4C01EE}"/>
    <cellStyle name="Normal 2 4 3 4 5" xfId="9321" xr:uid="{00000000-0005-0000-0000-0000C72E0000}"/>
    <cellStyle name="Normal 2 4 3 4 6" xfId="26191" xr:uid="{D985DF8D-F5D7-49C5-8175-F3A3E7A9ACD1}"/>
    <cellStyle name="Normal 2 4 3 5" xfId="1209" xr:uid="{00000000-0005-0000-0000-0000C82E0000}"/>
    <cellStyle name="Normal 2 4 3 5 2" xfId="3439" xr:uid="{00000000-0005-0000-0000-0000C92E0000}"/>
    <cellStyle name="Normal 2 4 3 5 2 2" xfId="7662" xr:uid="{00000000-0005-0000-0000-0000CA2E0000}"/>
    <cellStyle name="Normal 2 4 3 5 2 2 2" xfId="24532" xr:uid="{00000000-0005-0000-0000-0000CB2E0000}"/>
    <cellStyle name="Normal 2 4 3 5 2 2 2 2" xfId="41400" xr:uid="{CC7EC7A9-66A0-4979-9BE8-06B51300A5F9}"/>
    <cellStyle name="Normal 2 4 3 5 2 2 3" xfId="16097" xr:uid="{00000000-0005-0000-0000-0000CC2E0000}"/>
    <cellStyle name="Normal 2 4 3 5 2 2 4" xfId="32966" xr:uid="{CED7DC52-9836-4651-92E6-340548A8770D}"/>
    <cellStyle name="Normal 2 4 3 5 2 3" xfId="20314" xr:uid="{00000000-0005-0000-0000-0000CD2E0000}"/>
    <cellStyle name="Normal 2 4 3 5 2 3 2" xfId="37183" xr:uid="{40E8B3BE-51DA-41DF-9804-D3EA75F7A37A}"/>
    <cellStyle name="Normal 2 4 3 5 2 4" xfId="11879" xr:uid="{00000000-0005-0000-0000-0000CE2E0000}"/>
    <cellStyle name="Normal 2 4 3 5 2 5" xfId="28749" xr:uid="{DEE8276F-1C7A-423E-AC9C-EA953F7A7E80}"/>
    <cellStyle name="Normal 2 4 3 5 3" xfId="5517" xr:uid="{00000000-0005-0000-0000-0000CF2E0000}"/>
    <cellStyle name="Normal 2 4 3 5 3 2" xfId="22387" xr:uid="{00000000-0005-0000-0000-0000D02E0000}"/>
    <cellStyle name="Normal 2 4 3 5 3 2 2" xfId="39255" xr:uid="{9ACC7A4B-C541-4189-BDBC-F8953CBBAD1F}"/>
    <cellStyle name="Normal 2 4 3 5 3 3" xfId="13952" xr:uid="{00000000-0005-0000-0000-0000D12E0000}"/>
    <cellStyle name="Normal 2 4 3 5 3 4" xfId="30821" xr:uid="{8E2EF9FF-F606-4631-B3CA-D3554B2CE1D3}"/>
    <cellStyle name="Normal 2 4 3 5 4" xfId="18169" xr:uid="{00000000-0005-0000-0000-0000D22E0000}"/>
    <cellStyle name="Normal 2 4 3 5 4 2" xfId="35038" xr:uid="{86FBECB8-A489-4079-9CF6-BE1DA139BEE6}"/>
    <cellStyle name="Normal 2 4 3 5 5" xfId="9734" xr:uid="{00000000-0005-0000-0000-0000D32E0000}"/>
    <cellStyle name="Normal 2 4 3 5 6" xfId="26604" xr:uid="{8C1C56C3-0D2A-49FD-8954-49EE4E2F4A81}"/>
    <cellStyle name="Normal 2 4 3 6" xfId="1622" xr:uid="{00000000-0005-0000-0000-0000D42E0000}"/>
    <cellStyle name="Normal 2 4 3 6 2" xfId="3852" xr:uid="{00000000-0005-0000-0000-0000D52E0000}"/>
    <cellStyle name="Normal 2 4 3 6 2 2" xfId="8075" xr:uid="{00000000-0005-0000-0000-0000D62E0000}"/>
    <cellStyle name="Normal 2 4 3 6 2 2 2" xfId="24945" xr:uid="{00000000-0005-0000-0000-0000D72E0000}"/>
    <cellStyle name="Normal 2 4 3 6 2 2 2 2" xfId="41813" xr:uid="{B96DFC42-69AE-40DA-86E7-DD340A270C76}"/>
    <cellStyle name="Normal 2 4 3 6 2 2 3" xfId="16510" xr:uid="{00000000-0005-0000-0000-0000D82E0000}"/>
    <cellStyle name="Normal 2 4 3 6 2 2 4" xfId="33379" xr:uid="{A5AC5D42-45C5-4DF8-AA46-1C4D294C0874}"/>
    <cellStyle name="Normal 2 4 3 6 2 3" xfId="20727" xr:uid="{00000000-0005-0000-0000-0000D92E0000}"/>
    <cellStyle name="Normal 2 4 3 6 2 3 2" xfId="37596" xr:uid="{21212AF5-0EF8-44B3-8DE9-C51E296BB796}"/>
    <cellStyle name="Normal 2 4 3 6 2 4" xfId="12292" xr:uid="{00000000-0005-0000-0000-0000DA2E0000}"/>
    <cellStyle name="Normal 2 4 3 6 2 5" xfId="29162" xr:uid="{332B5439-CDA5-48E8-8C67-F806F20AC012}"/>
    <cellStyle name="Normal 2 4 3 6 3" xfId="5930" xr:uid="{00000000-0005-0000-0000-0000DB2E0000}"/>
    <cellStyle name="Normal 2 4 3 6 3 2" xfId="22800" xr:uid="{00000000-0005-0000-0000-0000DC2E0000}"/>
    <cellStyle name="Normal 2 4 3 6 3 2 2" xfId="39668" xr:uid="{D216BCD6-5165-4E21-A0C3-1640A52F4F3D}"/>
    <cellStyle name="Normal 2 4 3 6 3 3" xfId="14365" xr:uid="{00000000-0005-0000-0000-0000DD2E0000}"/>
    <cellStyle name="Normal 2 4 3 6 3 4" xfId="31234" xr:uid="{D0788B20-9512-44BE-BD04-F4787408C27A}"/>
    <cellStyle name="Normal 2 4 3 6 4" xfId="18582" xr:uid="{00000000-0005-0000-0000-0000DE2E0000}"/>
    <cellStyle name="Normal 2 4 3 6 4 2" xfId="35451" xr:uid="{CF316A05-2F09-4B21-ACC6-A31BC7E91A6C}"/>
    <cellStyle name="Normal 2 4 3 6 5" xfId="10147" xr:uid="{00000000-0005-0000-0000-0000DF2E0000}"/>
    <cellStyle name="Normal 2 4 3 6 6" xfId="27017" xr:uid="{3AAED80C-F78D-4FB1-8F56-A31B4C36CAC2}"/>
    <cellStyle name="Normal 2 4 3 7" xfId="2036" xr:uid="{00000000-0005-0000-0000-0000E02E0000}"/>
    <cellStyle name="Normal 2 4 3 7 2" xfId="4265" xr:uid="{00000000-0005-0000-0000-0000E12E0000}"/>
    <cellStyle name="Normal 2 4 3 7 2 2" xfId="8488" xr:uid="{00000000-0005-0000-0000-0000E22E0000}"/>
    <cellStyle name="Normal 2 4 3 7 2 2 2" xfId="25358" xr:uid="{00000000-0005-0000-0000-0000E32E0000}"/>
    <cellStyle name="Normal 2 4 3 7 2 2 2 2" xfId="42226" xr:uid="{4082717C-91F5-410A-8887-8AF8C45F7151}"/>
    <cellStyle name="Normal 2 4 3 7 2 2 3" xfId="16923" xr:uid="{00000000-0005-0000-0000-0000E42E0000}"/>
    <cellStyle name="Normal 2 4 3 7 2 2 4" xfId="33792" xr:uid="{515D88D0-4A25-49BD-82CA-0346A35815B1}"/>
    <cellStyle name="Normal 2 4 3 7 2 3" xfId="21140" xr:uid="{00000000-0005-0000-0000-0000E52E0000}"/>
    <cellStyle name="Normal 2 4 3 7 2 3 2" xfId="38009" xr:uid="{1BE2D3CD-A667-4004-AA83-691B60031EED}"/>
    <cellStyle name="Normal 2 4 3 7 2 4" xfId="12705" xr:uid="{00000000-0005-0000-0000-0000E62E0000}"/>
    <cellStyle name="Normal 2 4 3 7 2 5" xfId="29575" xr:uid="{DDE57721-36FD-40A5-9974-3E84EDECC950}"/>
    <cellStyle name="Normal 2 4 3 7 3" xfId="6343" xr:uid="{00000000-0005-0000-0000-0000E72E0000}"/>
    <cellStyle name="Normal 2 4 3 7 3 2" xfId="23213" xr:uid="{00000000-0005-0000-0000-0000E82E0000}"/>
    <cellStyle name="Normal 2 4 3 7 3 2 2" xfId="40081" xr:uid="{8F8C80BB-73FC-490E-A848-95886BA02FC3}"/>
    <cellStyle name="Normal 2 4 3 7 3 3" xfId="14778" xr:uid="{00000000-0005-0000-0000-0000E92E0000}"/>
    <cellStyle name="Normal 2 4 3 7 3 4" xfId="31647" xr:uid="{EE069557-F673-4F48-9D50-A7BE87B585C3}"/>
    <cellStyle name="Normal 2 4 3 7 4" xfId="18995" xr:uid="{00000000-0005-0000-0000-0000EA2E0000}"/>
    <cellStyle name="Normal 2 4 3 7 4 2" xfId="35864" xr:uid="{97D5A26A-299C-4FE2-8C4F-1CD33CFE88DE}"/>
    <cellStyle name="Normal 2 4 3 7 5" xfId="10560" xr:uid="{00000000-0005-0000-0000-0000EB2E0000}"/>
    <cellStyle name="Normal 2 4 3 7 6" xfId="27430" xr:uid="{8896AB5B-8E69-496A-B41F-F1C1128B58E2}"/>
    <cellStyle name="Normal 2 4 3 8" xfId="2472" xr:uid="{00000000-0005-0000-0000-0000EC2E0000}"/>
    <cellStyle name="Normal 2 4 3 8 2" xfId="6756" xr:uid="{00000000-0005-0000-0000-0000ED2E0000}"/>
    <cellStyle name="Normal 2 4 3 8 2 2" xfId="23626" xr:uid="{00000000-0005-0000-0000-0000EE2E0000}"/>
    <cellStyle name="Normal 2 4 3 8 2 2 2" xfId="40494" xr:uid="{29C147A1-17F5-4F54-A62D-662A95CD9378}"/>
    <cellStyle name="Normal 2 4 3 8 2 3" xfId="15191" xr:uid="{00000000-0005-0000-0000-0000EF2E0000}"/>
    <cellStyle name="Normal 2 4 3 8 2 4" xfId="32060" xr:uid="{4F6E098F-C5E1-43BE-8940-A8F1877A995E}"/>
    <cellStyle name="Normal 2 4 3 8 3" xfId="19408" xr:uid="{00000000-0005-0000-0000-0000F02E0000}"/>
    <cellStyle name="Normal 2 4 3 8 3 2" xfId="36277" xr:uid="{16AC9573-7DC5-4C80-A561-22A51583E552}"/>
    <cellStyle name="Normal 2 4 3 8 4" xfId="10973" xr:uid="{00000000-0005-0000-0000-0000F12E0000}"/>
    <cellStyle name="Normal 2 4 3 8 5" xfId="27843" xr:uid="{0B7E3879-A704-4403-9509-D964DFC7B7A1}"/>
    <cellStyle name="Normal 2 4 3 9" xfId="4690" xr:uid="{00000000-0005-0000-0000-0000F22E0000}"/>
    <cellStyle name="Normal 2 4 3 9 2" xfId="21560" xr:uid="{00000000-0005-0000-0000-0000F32E0000}"/>
    <cellStyle name="Normal 2 4 3 9 2 2" xfId="38428" xr:uid="{29DC2899-47DC-42C9-91EF-6DA0E1E01B16}"/>
    <cellStyle name="Normal 2 4 3 9 3" xfId="13125" xr:uid="{00000000-0005-0000-0000-0000F42E0000}"/>
    <cellStyle name="Normal 2 4 3 9 4" xfId="29994" xr:uid="{C7D2E1A0-B79E-4583-A65E-C842A9F50198}"/>
    <cellStyle name="Normal 2 4 4" xfId="302" xr:uid="{00000000-0005-0000-0000-0000F52E0000}"/>
    <cellStyle name="Normal 2 4 5" xfId="303" xr:uid="{00000000-0005-0000-0000-0000F62E0000}"/>
    <cellStyle name="Normal 2 4 5 10" xfId="4695" xr:uid="{00000000-0005-0000-0000-0000F72E0000}"/>
    <cellStyle name="Normal 2 4 5 10 2" xfId="21565" xr:uid="{00000000-0005-0000-0000-0000F82E0000}"/>
    <cellStyle name="Normal 2 4 5 10 2 2" xfId="38433" xr:uid="{21D96210-F32C-4512-8DDF-55C1A13604C0}"/>
    <cellStyle name="Normal 2 4 5 10 3" xfId="13130" xr:uid="{00000000-0005-0000-0000-0000F92E0000}"/>
    <cellStyle name="Normal 2 4 5 10 4" xfId="29999" xr:uid="{9A11A077-1036-428F-95F8-8F00C13B2505}"/>
    <cellStyle name="Normal 2 4 5 11" xfId="17347" xr:uid="{00000000-0005-0000-0000-0000FA2E0000}"/>
    <cellStyle name="Normal 2 4 5 11 2" xfId="34216" xr:uid="{33FFADF4-A029-4110-AA17-B38FA310C079}"/>
    <cellStyle name="Normal 2 4 5 12" xfId="8912" xr:uid="{00000000-0005-0000-0000-0000FB2E0000}"/>
    <cellStyle name="Normal 2 4 5 13" xfId="25782" xr:uid="{DF65C018-B723-4A53-AA41-D6BFD97E2BED}"/>
    <cellStyle name="Normal 2 4 5 2" xfId="304" xr:uid="{00000000-0005-0000-0000-0000FC2E0000}"/>
    <cellStyle name="Normal 2 4 5 2 10" xfId="17348" xr:uid="{00000000-0005-0000-0000-0000FD2E0000}"/>
    <cellStyle name="Normal 2 4 5 2 10 2" xfId="34217" xr:uid="{0AC9538D-F006-44F2-B12B-032F9AD9CFC6}"/>
    <cellStyle name="Normal 2 4 5 2 11" xfId="8913" xr:uid="{00000000-0005-0000-0000-0000FE2E0000}"/>
    <cellStyle name="Normal 2 4 5 2 12" xfId="25783" xr:uid="{FDE4DEF4-F8C7-4155-92AD-64C658B94421}"/>
    <cellStyle name="Normal 2 4 5 2 2" xfId="305" xr:uid="{00000000-0005-0000-0000-0000FF2E0000}"/>
    <cellStyle name="Normal 2 4 5 2 2 10" xfId="8914" xr:uid="{00000000-0005-0000-0000-0000002F0000}"/>
    <cellStyle name="Normal 2 4 5 2 2 11" xfId="25784" xr:uid="{6A61EA40-734A-4CB3-9CAA-822E8F4A0894}"/>
    <cellStyle name="Normal 2 4 5 2 2 2" xfId="306" xr:uid="{00000000-0005-0000-0000-0000012F0000}"/>
    <cellStyle name="Normal 2 4 5 2 2 2 10" xfId="25785" xr:uid="{B81DA728-432A-4072-B353-5949C567F61C}"/>
    <cellStyle name="Normal 2 4 5 2 2 2 2" xfId="795" xr:uid="{00000000-0005-0000-0000-0000022F0000}"/>
    <cellStyle name="Normal 2 4 5 2 2 2 2 2" xfId="3034" xr:uid="{00000000-0005-0000-0000-0000032F0000}"/>
    <cellStyle name="Normal 2 4 5 2 2 2 2 2 2" xfId="7257" xr:uid="{00000000-0005-0000-0000-0000042F0000}"/>
    <cellStyle name="Normal 2 4 5 2 2 2 2 2 2 2" xfId="24127" xr:uid="{00000000-0005-0000-0000-0000052F0000}"/>
    <cellStyle name="Normal 2 4 5 2 2 2 2 2 2 2 2" xfId="40995" xr:uid="{444354EE-DF6E-44DA-ADBF-4DF13AA3CA09}"/>
    <cellStyle name="Normal 2 4 5 2 2 2 2 2 2 3" xfId="15692" xr:uid="{00000000-0005-0000-0000-0000062F0000}"/>
    <cellStyle name="Normal 2 4 5 2 2 2 2 2 2 4" xfId="32561" xr:uid="{F0C184AE-83EE-4FE0-8307-E78923B1FE48}"/>
    <cellStyle name="Normal 2 4 5 2 2 2 2 2 3" xfId="19909" xr:uid="{00000000-0005-0000-0000-0000072F0000}"/>
    <cellStyle name="Normal 2 4 5 2 2 2 2 2 3 2" xfId="36778" xr:uid="{528EA88D-110D-4665-A63E-6C731FDC3E9E}"/>
    <cellStyle name="Normal 2 4 5 2 2 2 2 2 4" xfId="11474" xr:uid="{00000000-0005-0000-0000-0000082F0000}"/>
    <cellStyle name="Normal 2 4 5 2 2 2 2 2 5" xfId="28344" xr:uid="{16C114F1-D500-49A9-B73F-5DD8D0BFF6C3}"/>
    <cellStyle name="Normal 2 4 5 2 2 2 2 3" xfId="5112" xr:uid="{00000000-0005-0000-0000-0000092F0000}"/>
    <cellStyle name="Normal 2 4 5 2 2 2 2 3 2" xfId="21982" xr:uid="{00000000-0005-0000-0000-00000A2F0000}"/>
    <cellStyle name="Normal 2 4 5 2 2 2 2 3 2 2" xfId="38850" xr:uid="{116642E3-38A3-44EE-8856-08A5DE0672FC}"/>
    <cellStyle name="Normal 2 4 5 2 2 2 2 3 3" xfId="13547" xr:uid="{00000000-0005-0000-0000-00000B2F0000}"/>
    <cellStyle name="Normal 2 4 5 2 2 2 2 3 4" xfId="30416" xr:uid="{78BB7745-EE0D-4252-9B74-9773704B070C}"/>
    <cellStyle name="Normal 2 4 5 2 2 2 2 4" xfId="17764" xr:uid="{00000000-0005-0000-0000-00000C2F0000}"/>
    <cellStyle name="Normal 2 4 5 2 2 2 2 4 2" xfId="34633" xr:uid="{A98BFED5-6AC7-40C1-9EB8-B790679494C9}"/>
    <cellStyle name="Normal 2 4 5 2 2 2 2 5" xfId="9329" xr:uid="{00000000-0005-0000-0000-00000D2F0000}"/>
    <cellStyle name="Normal 2 4 5 2 2 2 2 6" xfId="26199" xr:uid="{110E46B0-97B1-4D93-8D54-A9F49880AA5C}"/>
    <cellStyle name="Normal 2 4 5 2 2 2 3" xfId="1217" xr:uid="{00000000-0005-0000-0000-00000E2F0000}"/>
    <cellStyle name="Normal 2 4 5 2 2 2 3 2" xfId="3447" xr:uid="{00000000-0005-0000-0000-00000F2F0000}"/>
    <cellStyle name="Normal 2 4 5 2 2 2 3 2 2" xfId="7670" xr:uid="{00000000-0005-0000-0000-0000102F0000}"/>
    <cellStyle name="Normal 2 4 5 2 2 2 3 2 2 2" xfId="24540" xr:uid="{00000000-0005-0000-0000-0000112F0000}"/>
    <cellStyle name="Normal 2 4 5 2 2 2 3 2 2 2 2" xfId="41408" xr:uid="{97ED5ECD-3F12-4372-8686-3EEEDF658F96}"/>
    <cellStyle name="Normal 2 4 5 2 2 2 3 2 2 3" xfId="16105" xr:uid="{00000000-0005-0000-0000-0000122F0000}"/>
    <cellStyle name="Normal 2 4 5 2 2 2 3 2 2 4" xfId="32974" xr:uid="{B64C410B-2E29-4F34-9AA0-046CF556D790}"/>
    <cellStyle name="Normal 2 4 5 2 2 2 3 2 3" xfId="20322" xr:uid="{00000000-0005-0000-0000-0000132F0000}"/>
    <cellStyle name="Normal 2 4 5 2 2 2 3 2 3 2" xfId="37191" xr:uid="{9600757C-7624-4216-A635-3D54B9E9C30F}"/>
    <cellStyle name="Normal 2 4 5 2 2 2 3 2 4" xfId="11887" xr:uid="{00000000-0005-0000-0000-0000142F0000}"/>
    <cellStyle name="Normal 2 4 5 2 2 2 3 2 5" xfId="28757" xr:uid="{D1D70117-DCCE-446D-96B0-B58A7F19C1D9}"/>
    <cellStyle name="Normal 2 4 5 2 2 2 3 3" xfId="5525" xr:uid="{00000000-0005-0000-0000-0000152F0000}"/>
    <cellStyle name="Normal 2 4 5 2 2 2 3 3 2" xfId="22395" xr:uid="{00000000-0005-0000-0000-0000162F0000}"/>
    <cellStyle name="Normal 2 4 5 2 2 2 3 3 2 2" xfId="39263" xr:uid="{12A70C04-967F-41F1-9FDB-0656B764BBCB}"/>
    <cellStyle name="Normal 2 4 5 2 2 2 3 3 3" xfId="13960" xr:uid="{00000000-0005-0000-0000-0000172F0000}"/>
    <cellStyle name="Normal 2 4 5 2 2 2 3 3 4" xfId="30829" xr:uid="{2F05CF10-739A-4ECD-800C-55047BD6CC79}"/>
    <cellStyle name="Normal 2 4 5 2 2 2 3 4" xfId="18177" xr:uid="{00000000-0005-0000-0000-0000182F0000}"/>
    <cellStyle name="Normal 2 4 5 2 2 2 3 4 2" xfId="35046" xr:uid="{65E4B372-617D-4445-966D-10593B717589}"/>
    <cellStyle name="Normal 2 4 5 2 2 2 3 5" xfId="9742" xr:uid="{00000000-0005-0000-0000-0000192F0000}"/>
    <cellStyle name="Normal 2 4 5 2 2 2 3 6" xfId="26612" xr:uid="{0B9E9F3F-06C0-4921-83C4-E167721C2827}"/>
    <cellStyle name="Normal 2 4 5 2 2 2 4" xfId="1630" xr:uid="{00000000-0005-0000-0000-00001A2F0000}"/>
    <cellStyle name="Normal 2 4 5 2 2 2 4 2" xfId="3860" xr:uid="{00000000-0005-0000-0000-00001B2F0000}"/>
    <cellStyle name="Normal 2 4 5 2 2 2 4 2 2" xfId="8083" xr:uid="{00000000-0005-0000-0000-00001C2F0000}"/>
    <cellStyle name="Normal 2 4 5 2 2 2 4 2 2 2" xfId="24953" xr:uid="{00000000-0005-0000-0000-00001D2F0000}"/>
    <cellStyle name="Normal 2 4 5 2 2 2 4 2 2 2 2" xfId="41821" xr:uid="{C9EAA555-49C1-4953-8C38-671A0A061775}"/>
    <cellStyle name="Normal 2 4 5 2 2 2 4 2 2 3" xfId="16518" xr:uid="{00000000-0005-0000-0000-00001E2F0000}"/>
    <cellStyle name="Normal 2 4 5 2 2 2 4 2 2 4" xfId="33387" xr:uid="{3B2308FD-8776-4713-9F99-3704F7871217}"/>
    <cellStyle name="Normal 2 4 5 2 2 2 4 2 3" xfId="20735" xr:uid="{00000000-0005-0000-0000-00001F2F0000}"/>
    <cellStyle name="Normal 2 4 5 2 2 2 4 2 3 2" xfId="37604" xr:uid="{35A7D6AD-6841-4FF8-B855-87AAE7EF1F39}"/>
    <cellStyle name="Normal 2 4 5 2 2 2 4 2 4" xfId="12300" xr:uid="{00000000-0005-0000-0000-0000202F0000}"/>
    <cellStyle name="Normal 2 4 5 2 2 2 4 2 5" xfId="29170" xr:uid="{DD229C8D-2D90-4BAB-AF41-8F71A1F74F95}"/>
    <cellStyle name="Normal 2 4 5 2 2 2 4 3" xfId="5938" xr:uid="{00000000-0005-0000-0000-0000212F0000}"/>
    <cellStyle name="Normal 2 4 5 2 2 2 4 3 2" xfId="22808" xr:uid="{00000000-0005-0000-0000-0000222F0000}"/>
    <cellStyle name="Normal 2 4 5 2 2 2 4 3 2 2" xfId="39676" xr:uid="{5A6CA704-9209-48F5-AF5E-5DBD14B7C3F3}"/>
    <cellStyle name="Normal 2 4 5 2 2 2 4 3 3" xfId="14373" xr:uid="{00000000-0005-0000-0000-0000232F0000}"/>
    <cellStyle name="Normal 2 4 5 2 2 2 4 3 4" xfId="31242" xr:uid="{64BBE93B-886D-4296-9B2A-E29AD4A6EB2A}"/>
    <cellStyle name="Normal 2 4 5 2 2 2 4 4" xfId="18590" xr:uid="{00000000-0005-0000-0000-0000242F0000}"/>
    <cellStyle name="Normal 2 4 5 2 2 2 4 4 2" xfId="35459" xr:uid="{DEF0BB12-DA13-49D4-9A85-57D38B725A6C}"/>
    <cellStyle name="Normal 2 4 5 2 2 2 4 5" xfId="10155" xr:uid="{00000000-0005-0000-0000-0000252F0000}"/>
    <cellStyle name="Normal 2 4 5 2 2 2 4 6" xfId="27025" xr:uid="{2B4F0F56-B898-4610-8DDD-C06CABFA254C}"/>
    <cellStyle name="Normal 2 4 5 2 2 2 5" xfId="2044" xr:uid="{00000000-0005-0000-0000-0000262F0000}"/>
    <cellStyle name="Normal 2 4 5 2 2 2 5 2" xfId="4273" xr:uid="{00000000-0005-0000-0000-0000272F0000}"/>
    <cellStyle name="Normal 2 4 5 2 2 2 5 2 2" xfId="8496" xr:uid="{00000000-0005-0000-0000-0000282F0000}"/>
    <cellStyle name="Normal 2 4 5 2 2 2 5 2 2 2" xfId="25366" xr:uid="{00000000-0005-0000-0000-0000292F0000}"/>
    <cellStyle name="Normal 2 4 5 2 2 2 5 2 2 2 2" xfId="42234" xr:uid="{AA4A4A91-C5E1-4085-A4FF-326DB23CD7F8}"/>
    <cellStyle name="Normal 2 4 5 2 2 2 5 2 2 3" xfId="16931" xr:uid="{00000000-0005-0000-0000-00002A2F0000}"/>
    <cellStyle name="Normal 2 4 5 2 2 2 5 2 2 4" xfId="33800" xr:uid="{3885371A-77FD-428C-8BC3-83CFB37B419E}"/>
    <cellStyle name="Normal 2 4 5 2 2 2 5 2 3" xfId="21148" xr:uid="{00000000-0005-0000-0000-00002B2F0000}"/>
    <cellStyle name="Normal 2 4 5 2 2 2 5 2 3 2" xfId="38017" xr:uid="{AB33A75D-C135-4D9C-8CFF-38BAA9DC4507}"/>
    <cellStyle name="Normal 2 4 5 2 2 2 5 2 4" xfId="12713" xr:uid="{00000000-0005-0000-0000-00002C2F0000}"/>
    <cellStyle name="Normal 2 4 5 2 2 2 5 2 5" xfId="29583" xr:uid="{F4C2F72E-1774-4C90-B009-90370CC8B280}"/>
    <cellStyle name="Normal 2 4 5 2 2 2 5 3" xfId="6351" xr:uid="{00000000-0005-0000-0000-00002D2F0000}"/>
    <cellStyle name="Normal 2 4 5 2 2 2 5 3 2" xfId="23221" xr:uid="{00000000-0005-0000-0000-00002E2F0000}"/>
    <cellStyle name="Normal 2 4 5 2 2 2 5 3 2 2" xfId="40089" xr:uid="{427D0564-D038-4B19-906B-D8A51672FFE9}"/>
    <cellStyle name="Normal 2 4 5 2 2 2 5 3 3" xfId="14786" xr:uid="{00000000-0005-0000-0000-00002F2F0000}"/>
    <cellStyle name="Normal 2 4 5 2 2 2 5 3 4" xfId="31655" xr:uid="{1EE9F07D-A780-44EB-B086-B2C39786C812}"/>
    <cellStyle name="Normal 2 4 5 2 2 2 5 4" xfId="19003" xr:uid="{00000000-0005-0000-0000-0000302F0000}"/>
    <cellStyle name="Normal 2 4 5 2 2 2 5 4 2" xfId="35872" xr:uid="{D06A941E-1D69-4851-9C27-CEE079AAC5FF}"/>
    <cellStyle name="Normal 2 4 5 2 2 2 5 5" xfId="10568" xr:uid="{00000000-0005-0000-0000-0000312F0000}"/>
    <cellStyle name="Normal 2 4 5 2 2 2 5 6" xfId="27438" xr:uid="{E949F89D-5AF6-48D0-86CA-3B8A2BE11AE5}"/>
    <cellStyle name="Normal 2 4 5 2 2 2 6" xfId="2480" xr:uid="{00000000-0005-0000-0000-0000322F0000}"/>
    <cellStyle name="Normal 2 4 5 2 2 2 6 2" xfId="6764" xr:uid="{00000000-0005-0000-0000-0000332F0000}"/>
    <cellStyle name="Normal 2 4 5 2 2 2 6 2 2" xfId="23634" xr:uid="{00000000-0005-0000-0000-0000342F0000}"/>
    <cellStyle name="Normal 2 4 5 2 2 2 6 2 2 2" xfId="40502" xr:uid="{3765696F-7EE1-4ABF-8448-AD8DFFB24A05}"/>
    <cellStyle name="Normal 2 4 5 2 2 2 6 2 3" xfId="15199" xr:uid="{00000000-0005-0000-0000-0000352F0000}"/>
    <cellStyle name="Normal 2 4 5 2 2 2 6 2 4" xfId="32068" xr:uid="{0B9728D7-7DFB-49BF-BE04-CE82F958646F}"/>
    <cellStyle name="Normal 2 4 5 2 2 2 6 3" xfId="19416" xr:uid="{00000000-0005-0000-0000-0000362F0000}"/>
    <cellStyle name="Normal 2 4 5 2 2 2 6 3 2" xfId="36285" xr:uid="{4062B835-054D-4CE1-BF66-599ED6EFA815}"/>
    <cellStyle name="Normal 2 4 5 2 2 2 6 4" xfId="10981" xr:uid="{00000000-0005-0000-0000-0000372F0000}"/>
    <cellStyle name="Normal 2 4 5 2 2 2 6 5" xfId="27851" xr:uid="{BF45AEB5-3FC3-444D-B341-48B7A9E44794}"/>
    <cellStyle name="Normal 2 4 5 2 2 2 7" xfId="4698" xr:uid="{00000000-0005-0000-0000-0000382F0000}"/>
    <cellStyle name="Normal 2 4 5 2 2 2 7 2" xfId="21568" xr:uid="{00000000-0005-0000-0000-0000392F0000}"/>
    <cellStyle name="Normal 2 4 5 2 2 2 7 2 2" xfId="38436" xr:uid="{34BD4E93-C718-4990-8BCC-F7C04F4F0970}"/>
    <cellStyle name="Normal 2 4 5 2 2 2 7 3" xfId="13133" xr:uid="{00000000-0005-0000-0000-00003A2F0000}"/>
    <cellStyle name="Normal 2 4 5 2 2 2 7 4" xfId="30002" xr:uid="{B733706B-B016-4C2B-8BEB-75CBBC0B672E}"/>
    <cellStyle name="Normal 2 4 5 2 2 2 8" xfId="17350" xr:uid="{00000000-0005-0000-0000-00003B2F0000}"/>
    <cellStyle name="Normal 2 4 5 2 2 2 8 2" xfId="34219" xr:uid="{19524536-476A-4ACD-A546-813D659688F2}"/>
    <cellStyle name="Normal 2 4 5 2 2 2 9" xfId="8915" xr:uid="{00000000-0005-0000-0000-00003C2F0000}"/>
    <cellStyle name="Normal 2 4 5 2 2 3" xfId="794" xr:uid="{00000000-0005-0000-0000-00003D2F0000}"/>
    <cellStyle name="Normal 2 4 5 2 2 3 2" xfId="3033" xr:uid="{00000000-0005-0000-0000-00003E2F0000}"/>
    <cellStyle name="Normal 2 4 5 2 2 3 2 2" xfId="7256" xr:uid="{00000000-0005-0000-0000-00003F2F0000}"/>
    <cellStyle name="Normal 2 4 5 2 2 3 2 2 2" xfId="24126" xr:uid="{00000000-0005-0000-0000-0000402F0000}"/>
    <cellStyle name="Normal 2 4 5 2 2 3 2 2 2 2" xfId="40994" xr:uid="{2E2AD712-6E66-4954-BC02-AF81CEFE9ACB}"/>
    <cellStyle name="Normal 2 4 5 2 2 3 2 2 3" xfId="15691" xr:uid="{00000000-0005-0000-0000-0000412F0000}"/>
    <cellStyle name="Normal 2 4 5 2 2 3 2 2 4" xfId="32560" xr:uid="{FD95F2C3-C537-4A50-8F14-3DEC3C4EECE0}"/>
    <cellStyle name="Normal 2 4 5 2 2 3 2 3" xfId="19908" xr:uid="{00000000-0005-0000-0000-0000422F0000}"/>
    <cellStyle name="Normal 2 4 5 2 2 3 2 3 2" xfId="36777" xr:uid="{4A73A600-7FCE-43CD-A93C-5183817A6DAC}"/>
    <cellStyle name="Normal 2 4 5 2 2 3 2 4" xfId="11473" xr:uid="{00000000-0005-0000-0000-0000432F0000}"/>
    <cellStyle name="Normal 2 4 5 2 2 3 2 5" xfId="28343" xr:uid="{78972B41-B0DD-47DB-8C58-4A31233CC97F}"/>
    <cellStyle name="Normal 2 4 5 2 2 3 3" xfId="5111" xr:uid="{00000000-0005-0000-0000-0000442F0000}"/>
    <cellStyle name="Normal 2 4 5 2 2 3 3 2" xfId="21981" xr:uid="{00000000-0005-0000-0000-0000452F0000}"/>
    <cellStyle name="Normal 2 4 5 2 2 3 3 2 2" xfId="38849" xr:uid="{D2F31C61-5264-4AF4-9E21-E149860809A6}"/>
    <cellStyle name="Normal 2 4 5 2 2 3 3 3" xfId="13546" xr:uid="{00000000-0005-0000-0000-0000462F0000}"/>
    <cellStyle name="Normal 2 4 5 2 2 3 3 4" xfId="30415" xr:uid="{5072C8D4-2DAE-4882-9C3D-9A5A8976C567}"/>
    <cellStyle name="Normal 2 4 5 2 2 3 4" xfId="17763" xr:uid="{00000000-0005-0000-0000-0000472F0000}"/>
    <cellStyle name="Normal 2 4 5 2 2 3 4 2" xfId="34632" xr:uid="{7C950173-D5BF-4946-8E9B-D729E6AFCF2C}"/>
    <cellStyle name="Normal 2 4 5 2 2 3 5" xfId="9328" xr:uid="{00000000-0005-0000-0000-0000482F0000}"/>
    <cellStyle name="Normal 2 4 5 2 2 3 6" xfId="26198" xr:uid="{C99A7580-B331-493D-9BD4-989B33F1C25C}"/>
    <cellStyle name="Normal 2 4 5 2 2 4" xfId="1216" xr:uid="{00000000-0005-0000-0000-0000492F0000}"/>
    <cellStyle name="Normal 2 4 5 2 2 4 2" xfId="3446" xr:uid="{00000000-0005-0000-0000-00004A2F0000}"/>
    <cellStyle name="Normal 2 4 5 2 2 4 2 2" xfId="7669" xr:uid="{00000000-0005-0000-0000-00004B2F0000}"/>
    <cellStyle name="Normal 2 4 5 2 2 4 2 2 2" xfId="24539" xr:uid="{00000000-0005-0000-0000-00004C2F0000}"/>
    <cellStyle name="Normal 2 4 5 2 2 4 2 2 2 2" xfId="41407" xr:uid="{EE1A80D1-B44A-4440-8E2E-14AE4ABF0DA4}"/>
    <cellStyle name="Normal 2 4 5 2 2 4 2 2 3" xfId="16104" xr:uid="{00000000-0005-0000-0000-00004D2F0000}"/>
    <cellStyle name="Normal 2 4 5 2 2 4 2 2 4" xfId="32973" xr:uid="{87D8FF63-88AF-48A9-802C-C88F82136DE2}"/>
    <cellStyle name="Normal 2 4 5 2 2 4 2 3" xfId="20321" xr:uid="{00000000-0005-0000-0000-00004E2F0000}"/>
    <cellStyle name="Normal 2 4 5 2 2 4 2 3 2" xfId="37190" xr:uid="{55912D35-2A49-448A-9E93-0EBBE10BD5E8}"/>
    <cellStyle name="Normal 2 4 5 2 2 4 2 4" xfId="11886" xr:uid="{00000000-0005-0000-0000-00004F2F0000}"/>
    <cellStyle name="Normal 2 4 5 2 2 4 2 5" xfId="28756" xr:uid="{884DD17A-277F-41C2-A5B7-25F9E870C095}"/>
    <cellStyle name="Normal 2 4 5 2 2 4 3" xfId="5524" xr:uid="{00000000-0005-0000-0000-0000502F0000}"/>
    <cellStyle name="Normal 2 4 5 2 2 4 3 2" xfId="22394" xr:uid="{00000000-0005-0000-0000-0000512F0000}"/>
    <cellStyle name="Normal 2 4 5 2 2 4 3 2 2" xfId="39262" xr:uid="{E42BE1CF-B0BA-4081-B15F-207668D4DD0B}"/>
    <cellStyle name="Normal 2 4 5 2 2 4 3 3" xfId="13959" xr:uid="{00000000-0005-0000-0000-0000522F0000}"/>
    <cellStyle name="Normal 2 4 5 2 2 4 3 4" xfId="30828" xr:uid="{F04DB1A3-6E16-4C8A-8C48-067E238A8654}"/>
    <cellStyle name="Normal 2 4 5 2 2 4 4" xfId="18176" xr:uid="{00000000-0005-0000-0000-0000532F0000}"/>
    <cellStyle name="Normal 2 4 5 2 2 4 4 2" xfId="35045" xr:uid="{43396B82-5CA4-45CC-96B1-EBC203F4BEFC}"/>
    <cellStyle name="Normal 2 4 5 2 2 4 5" xfId="9741" xr:uid="{00000000-0005-0000-0000-0000542F0000}"/>
    <cellStyle name="Normal 2 4 5 2 2 4 6" xfId="26611" xr:uid="{4AFB6659-9EB4-44A9-BEEB-5AE9EDA926C5}"/>
    <cellStyle name="Normal 2 4 5 2 2 5" xfId="1629" xr:uid="{00000000-0005-0000-0000-0000552F0000}"/>
    <cellStyle name="Normal 2 4 5 2 2 5 2" xfId="3859" xr:uid="{00000000-0005-0000-0000-0000562F0000}"/>
    <cellStyle name="Normal 2 4 5 2 2 5 2 2" xfId="8082" xr:uid="{00000000-0005-0000-0000-0000572F0000}"/>
    <cellStyle name="Normal 2 4 5 2 2 5 2 2 2" xfId="24952" xr:uid="{00000000-0005-0000-0000-0000582F0000}"/>
    <cellStyle name="Normal 2 4 5 2 2 5 2 2 2 2" xfId="41820" xr:uid="{79419E0F-BAE2-4A2D-A1FA-D05235ED99D5}"/>
    <cellStyle name="Normal 2 4 5 2 2 5 2 2 3" xfId="16517" xr:uid="{00000000-0005-0000-0000-0000592F0000}"/>
    <cellStyle name="Normal 2 4 5 2 2 5 2 2 4" xfId="33386" xr:uid="{6E411F05-68C8-40E6-B6C2-49FF3EE56455}"/>
    <cellStyle name="Normal 2 4 5 2 2 5 2 3" xfId="20734" xr:uid="{00000000-0005-0000-0000-00005A2F0000}"/>
    <cellStyle name="Normal 2 4 5 2 2 5 2 3 2" xfId="37603" xr:uid="{26F45E67-6250-473F-B581-3B48BDC4E971}"/>
    <cellStyle name="Normal 2 4 5 2 2 5 2 4" xfId="12299" xr:uid="{00000000-0005-0000-0000-00005B2F0000}"/>
    <cellStyle name="Normal 2 4 5 2 2 5 2 5" xfId="29169" xr:uid="{B9ECEBD1-5548-479D-AFD9-0A52D049FE44}"/>
    <cellStyle name="Normal 2 4 5 2 2 5 3" xfId="5937" xr:uid="{00000000-0005-0000-0000-00005C2F0000}"/>
    <cellStyle name="Normal 2 4 5 2 2 5 3 2" xfId="22807" xr:uid="{00000000-0005-0000-0000-00005D2F0000}"/>
    <cellStyle name="Normal 2 4 5 2 2 5 3 2 2" xfId="39675" xr:uid="{E8A548D7-4935-496F-85F9-49BB9E3F2C29}"/>
    <cellStyle name="Normal 2 4 5 2 2 5 3 3" xfId="14372" xr:uid="{00000000-0005-0000-0000-00005E2F0000}"/>
    <cellStyle name="Normal 2 4 5 2 2 5 3 4" xfId="31241" xr:uid="{D9033792-F89F-46DD-9D10-2CF967FE1527}"/>
    <cellStyle name="Normal 2 4 5 2 2 5 4" xfId="18589" xr:uid="{00000000-0005-0000-0000-00005F2F0000}"/>
    <cellStyle name="Normal 2 4 5 2 2 5 4 2" xfId="35458" xr:uid="{937F4F08-0C9A-401B-96C0-D99C12096BB0}"/>
    <cellStyle name="Normal 2 4 5 2 2 5 5" xfId="10154" xr:uid="{00000000-0005-0000-0000-0000602F0000}"/>
    <cellStyle name="Normal 2 4 5 2 2 5 6" xfId="27024" xr:uid="{492BD1E4-457E-434A-B36A-CF6061FC8680}"/>
    <cellStyle name="Normal 2 4 5 2 2 6" xfId="2043" xr:uid="{00000000-0005-0000-0000-0000612F0000}"/>
    <cellStyle name="Normal 2 4 5 2 2 6 2" xfId="4272" xr:uid="{00000000-0005-0000-0000-0000622F0000}"/>
    <cellStyle name="Normal 2 4 5 2 2 6 2 2" xfId="8495" xr:uid="{00000000-0005-0000-0000-0000632F0000}"/>
    <cellStyle name="Normal 2 4 5 2 2 6 2 2 2" xfId="25365" xr:uid="{00000000-0005-0000-0000-0000642F0000}"/>
    <cellStyle name="Normal 2 4 5 2 2 6 2 2 2 2" xfId="42233" xr:uid="{40DF1E14-4828-452F-B35B-F16BDD73CCFA}"/>
    <cellStyle name="Normal 2 4 5 2 2 6 2 2 3" xfId="16930" xr:uid="{00000000-0005-0000-0000-0000652F0000}"/>
    <cellStyle name="Normal 2 4 5 2 2 6 2 2 4" xfId="33799" xr:uid="{5F6D2BBB-EB2A-4060-AE00-306751FFA634}"/>
    <cellStyle name="Normal 2 4 5 2 2 6 2 3" xfId="21147" xr:uid="{00000000-0005-0000-0000-0000662F0000}"/>
    <cellStyle name="Normal 2 4 5 2 2 6 2 3 2" xfId="38016" xr:uid="{C3290DA4-0B18-4ED0-9956-FD39EE126DFA}"/>
    <cellStyle name="Normal 2 4 5 2 2 6 2 4" xfId="12712" xr:uid="{00000000-0005-0000-0000-0000672F0000}"/>
    <cellStyle name="Normal 2 4 5 2 2 6 2 5" xfId="29582" xr:uid="{39B5CFEB-1DB7-4E09-8E14-500A430BACC3}"/>
    <cellStyle name="Normal 2 4 5 2 2 6 3" xfId="6350" xr:uid="{00000000-0005-0000-0000-0000682F0000}"/>
    <cellStyle name="Normal 2 4 5 2 2 6 3 2" xfId="23220" xr:uid="{00000000-0005-0000-0000-0000692F0000}"/>
    <cellStyle name="Normal 2 4 5 2 2 6 3 2 2" xfId="40088" xr:uid="{6E47D981-F5B1-466A-B8E6-E7B0FC061542}"/>
    <cellStyle name="Normal 2 4 5 2 2 6 3 3" xfId="14785" xr:uid="{00000000-0005-0000-0000-00006A2F0000}"/>
    <cellStyle name="Normal 2 4 5 2 2 6 3 4" xfId="31654" xr:uid="{A1F0BEF0-7A0A-4F61-BA58-5DFC93B85D8A}"/>
    <cellStyle name="Normal 2 4 5 2 2 6 4" xfId="19002" xr:uid="{00000000-0005-0000-0000-00006B2F0000}"/>
    <cellStyle name="Normal 2 4 5 2 2 6 4 2" xfId="35871" xr:uid="{8350F3A8-C5FB-438A-A1AB-1AC2A0E6B765}"/>
    <cellStyle name="Normal 2 4 5 2 2 6 5" xfId="10567" xr:uid="{00000000-0005-0000-0000-00006C2F0000}"/>
    <cellStyle name="Normal 2 4 5 2 2 6 6" xfId="27437" xr:uid="{6AF8C0DE-393D-4E90-990E-2D05DB6A0086}"/>
    <cellStyle name="Normal 2 4 5 2 2 7" xfId="2479" xr:uid="{00000000-0005-0000-0000-00006D2F0000}"/>
    <cellStyle name="Normal 2 4 5 2 2 7 2" xfId="6763" xr:uid="{00000000-0005-0000-0000-00006E2F0000}"/>
    <cellStyle name="Normal 2 4 5 2 2 7 2 2" xfId="23633" xr:uid="{00000000-0005-0000-0000-00006F2F0000}"/>
    <cellStyle name="Normal 2 4 5 2 2 7 2 2 2" xfId="40501" xr:uid="{F25D519D-94E2-435D-9394-D5701A762C3B}"/>
    <cellStyle name="Normal 2 4 5 2 2 7 2 3" xfId="15198" xr:uid="{00000000-0005-0000-0000-0000702F0000}"/>
    <cellStyle name="Normal 2 4 5 2 2 7 2 4" xfId="32067" xr:uid="{30307AA6-5ED5-4F2F-B24B-EFB98238CA5D}"/>
    <cellStyle name="Normal 2 4 5 2 2 7 3" xfId="19415" xr:uid="{00000000-0005-0000-0000-0000712F0000}"/>
    <cellStyle name="Normal 2 4 5 2 2 7 3 2" xfId="36284" xr:uid="{36B08305-727D-430C-A086-18128BB1CFA3}"/>
    <cellStyle name="Normal 2 4 5 2 2 7 4" xfId="10980" xr:uid="{00000000-0005-0000-0000-0000722F0000}"/>
    <cellStyle name="Normal 2 4 5 2 2 7 5" xfId="27850" xr:uid="{123ECE74-62FA-4935-A1E9-963F1F1B7C53}"/>
    <cellStyle name="Normal 2 4 5 2 2 8" xfId="4697" xr:uid="{00000000-0005-0000-0000-0000732F0000}"/>
    <cellStyle name="Normal 2 4 5 2 2 8 2" xfId="21567" xr:uid="{00000000-0005-0000-0000-0000742F0000}"/>
    <cellStyle name="Normal 2 4 5 2 2 8 2 2" xfId="38435" xr:uid="{B57FD3E1-B7AF-45F7-9279-5C96A0A69466}"/>
    <cellStyle name="Normal 2 4 5 2 2 8 3" xfId="13132" xr:uid="{00000000-0005-0000-0000-0000752F0000}"/>
    <cellStyle name="Normal 2 4 5 2 2 8 4" xfId="30001" xr:uid="{EE1F8CA5-D223-4AD1-82B3-410B8F122245}"/>
    <cellStyle name="Normal 2 4 5 2 2 9" xfId="17349" xr:uid="{00000000-0005-0000-0000-0000762F0000}"/>
    <cellStyle name="Normal 2 4 5 2 2 9 2" xfId="34218" xr:uid="{FBD9DCFD-B0BF-4C72-BA09-2652DF631F8E}"/>
    <cellStyle name="Normal 2 4 5 2 3" xfId="307" xr:uid="{00000000-0005-0000-0000-0000772F0000}"/>
    <cellStyle name="Normal 2 4 5 2 3 10" xfId="25786" xr:uid="{B01A2630-F48D-47A5-9926-1F5D3F1198CB}"/>
    <cellStyle name="Normal 2 4 5 2 3 2" xfId="796" xr:uid="{00000000-0005-0000-0000-0000782F0000}"/>
    <cellStyle name="Normal 2 4 5 2 3 2 2" xfId="3035" xr:uid="{00000000-0005-0000-0000-0000792F0000}"/>
    <cellStyle name="Normal 2 4 5 2 3 2 2 2" xfId="7258" xr:uid="{00000000-0005-0000-0000-00007A2F0000}"/>
    <cellStyle name="Normal 2 4 5 2 3 2 2 2 2" xfId="24128" xr:uid="{00000000-0005-0000-0000-00007B2F0000}"/>
    <cellStyle name="Normal 2 4 5 2 3 2 2 2 2 2" xfId="40996" xr:uid="{346B9F42-08AA-4801-AEDF-7141D48C4243}"/>
    <cellStyle name="Normal 2 4 5 2 3 2 2 2 3" xfId="15693" xr:uid="{00000000-0005-0000-0000-00007C2F0000}"/>
    <cellStyle name="Normal 2 4 5 2 3 2 2 2 4" xfId="32562" xr:uid="{D811C602-C982-4F33-848C-D548C000A567}"/>
    <cellStyle name="Normal 2 4 5 2 3 2 2 3" xfId="19910" xr:uid="{00000000-0005-0000-0000-00007D2F0000}"/>
    <cellStyle name="Normal 2 4 5 2 3 2 2 3 2" xfId="36779" xr:uid="{5304DE4B-59F7-4C38-822F-BC80A472BBCC}"/>
    <cellStyle name="Normal 2 4 5 2 3 2 2 4" xfId="11475" xr:uid="{00000000-0005-0000-0000-00007E2F0000}"/>
    <cellStyle name="Normal 2 4 5 2 3 2 2 5" xfId="28345" xr:uid="{A7662B1D-DD6E-4E1C-A44C-17C6481AD356}"/>
    <cellStyle name="Normal 2 4 5 2 3 2 3" xfId="5113" xr:uid="{00000000-0005-0000-0000-00007F2F0000}"/>
    <cellStyle name="Normal 2 4 5 2 3 2 3 2" xfId="21983" xr:uid="{00000000-0005-0000-0000-0000802F0000}"/>
    <cellStyle name="Normal 2 4 5 2 3 2 3 2 2" xfId="38851" xr:uid="{FA046E1B-C3BD-4C20-86B1-14C8B9A5CBB4}"/>
    <cellStyle name="Normal 2 4 5 2 3 2 3 3" xfId="13548" xr:uid="{00000000-0005-0000-0000-0000812F0000}"/>
    <cellStyle name="Normal 2 4 5 2 3 2 3 4" xfId="30417" xr:uid="{A74282B4-E2B1-461A-A6E1-DE49B3AB52EC}"/>
    <cellStyle name="Normal 2 4 5 2 3 2 4" xfId="17765" xr:uid="{00000000-0005-0000-0000-0000822F0000}"/>
    <cellStyle name="Normal 2 4 5 2 3 2 4 2" xfId="34634" xr:uid="{DE3DEF1D-C8B2-4CA5-8DB7-82271979FCA7}"/>
    <cellStyle name="Normal 2 4 5 2 3 2 5" xfId="9330" xr:uid="{00000000-0005-0000-0000-0000832F0000}"/>
    <cellStyle name="Normal 2 4 5 2 3 2 6" xfId="26200" xr:uid="{09D710BB-049A-43DB-942D-0611D3AD0D99}"/>
    <cellStyle name="Normal 2 4 5 2 3 3" xfId="1218" xr:uid="{00000000-0005-0000-0000-0000842F0000}"/>
    <cellStyle name="Normal 2 4 5 2 3 3 2" xfId="3448" xr:uid="{00000000-0005-0000-0000-0000852F0000}"/>
    <cellStyle name="Normal 2 4 5 2 3 3 2 2" xfId="7671" xr:uid="{00000000-0005-0000-0000-0000862F0000}"/>
    <cellStyle name="Normal 2 4 5 2 3 3 2 2 2" xfId="24541" xr:uid="{00000000-0005-0000-0000-0000872F0000}"/>
    <cellStyle name="Normal 2 4 5 2 3 3 2 2 2 2" xfId="41409" xr:uid="{B6DE4432-DD06-49D2-92C5-B7261B2F8057}"/>
    <cellStyle name="Normal 2 4 5 2 3 3 2 2 3" xfId="16106" xr:uid="{00000000-0005-0000-0000-0000882F0000}"/>
    <cellStyle name="Normal 2 4 5 2 3 3 2 2 4" xfId="32975" xr:uid="{F86853DE-F761-4555-8ABC-6C3997517B53}"/>
    <cellStyle name="Normal 2 4 5 2 3 3 2 3" xfId="20323" xr:uid="{00000000-0005-0000-0000-0000892F0000}"/>
    <cellStyle name="Normal 2 4 5 2 3 3 2 3 2" xfId="37192" xr:uid="{D0A04475-F8DC-41E0-B2B5-BCCFF9FA6912}"/>
    <cellStyle name="Normal 2 4 5 2 3 3 2 4" xfId="11888" xr:uid="{00000000-0005-0000-0000-00008A2F0000}"/>
    <cellStyle name="Normal 2 4 5 2 3 3 2 5" xfId="28758" xr:uid="{192CE6EC-1164-43EB-A92E-F8A29D5D0B0A}"/>
    <cellStyle name="Normal 2 4 5 2 3 3 3" xfId="5526" xr:uid="{00000000-0005-0000-0000-00008B2F0000}"/>
    <cellStyle name="Normal 2 4 5 2 3 3 3 2" xfId="22396" xr:uid="{00000000-0005-0000-0000-00008C2F0000}"/>
    <cellStyle name="Normal 2 4 5 2 3 3 3 2 2" xfId="39264" xr:uid="{CD390FDB-7651-4EFC-B602-19498A53EC6D}"/>
    <cellStyle name="Normal 2 4 5 2 3 3 3 3" xfId="13961" xr:uid="{00000000-0005-0000-0000-00008D2F0000}"/>
    <cellStyle name="Normal 2 4 5 2 3 3 3 4" xfId="30830" xr:uid="{76DF4478-BB79-4A43-AB25-16E43CF580CA}"/>
    <cellStyle name="Normal 2 4 5 2 3 3 4" xfId="18178" xr:uid="{00000000-0005-0000-0000-00008E2F0000}"/>
    <cellStyle name="Normal 2 4 5 2 3 3 4 2" xfId="35047" xr:uid="{BB64734A-83BC-4942-817C-8A1372139E8B}"/>
    <cellStyle name="Normal 2 4 5 2 3 3 5" xfId="9743" xr:uid="{00000000-0005-0000-0000-00008F2F0000}"/>
    <cellStyle name="Normal 2 4 5 2 3 3 6" xfId="26613" xr:uid="{B48DAB49-3DE5-44B0-A347-88D125CC4224}"/>
    <cellStyle name="Normal 2 4 5 2 3 4" xfId="1631" xr:uid="{00000000-0005-0000-0000-0000902F0000}"/>
    <cellStyle name="Normal 2 4 5 2 3 4 2" xfId="3861" xr:uid="{00000000-0005-0000-0000-0000912F0000}"/>
    <cellStyle name="Normal 2 4 5 2 3 4 2 2" xfId="8084" xr:uid="{00000000-0005-0000-0000-0000922F0000}"/>
    <cellStyle name="Normal 2 4 5 2 3 4 2 2 2" xfId="24954" xr:uid="{00000000-0005-0000-0000-0000932F0000}"/>
    <cellStyle name="Normal 2 4 5 2 3 4 2 2 2 2" xfId="41822" xr:uid="{AB3802FB-0D22-4C89-B3FE-8DA132BDC68C}"/>
    <cellStyle name="Normal 2 4 5 2 3 4 2 2 3" xfId="16519" xr:uid="{00000000-0005-0000-0000-0000942F0000}"/>
    <cellStyle name="Normal 2 4 5 2 3 4 2 2 4" xfId="33388" xr:uid="{F3EE76D2-1C7F-40C0-988B-09441952294E}"/>
    <cellStyle name="Normal 2 4 5 2 3 4 2 3" xfId="20736" xr:uid="{00000000-0005-0000-0000-0000952F0000}"/>
    <cellStyle name="Normal 2 4 5 2 3 4 2 3 2" xfId="37605" xr:uid="{1CAC8244-6E1F-42F8-8342-BF1A0DAF3ACF}"/>
    <cellStyle name="Normal 2 4 5 2 3 4 2 4" xfId="12301" xr:uid="{00000000-0005-0000-0000-0000962F0000}"/>
    <cellStyle name="Normal 2 4 5 2 3 4 2 5" xfId="29171" xr:uid="{BA35CBF4-1101-4607-BAD4-8247D2E9DB79}"/>
    <cellStyle name="Normal 2 4 5 2 3 4 3" xfId="5939" xr:uid="{00000000-0005-0000-0000-0000972F0000}"/>
    <cellStyle name="Normal 2 4 5 2 3 4 3 2" xfId="22809" xr:uid="{00000000-0005-0000-0000-0000982F0000}"/>
    <cellStyle name="Normal 2 4 5 2 3 4 3 2 2" xfId="39677" xr:uid="{F6E6C29B-4CCB-4AF7-BF63-969B7CB9625E}"/>
    <cellStyle name="Normal 2 4 5 2 3 4 3 3" xfId="14374" xr:uid="{00000000-0005-0000-0000-0000992F0000}"/>
    <cellStyle name="Normal 2 4 5 2 3 4 3 4" xfId="31243" xr:uid="{CDD1BDEE-72D1-4543-9EC3-5DF2E1D1FAF4}"/>
    <cellStyle name="Normal 2 4 5 2 3 4 4" xfId="18591" xr:uid="{00000000-0005-0000-0000-00009A2F0000}"/>
    <cellStyle name="Normal 2 4 5 2 3 4 4 2" xfId="35460" xr:uid="{8357F43A-DEFE-4A0B-85DC-F43A473AFB2F}"/>
    <cellStyle name="Normal 2 4 5 2 3 4 5" xfId="10156" xr:uid="{00000000-0005-0000-0000-00009B2F0000}"/>
    <cellStyle name="Normal 2 4 5 2 3 4 6" xfId="27026" xr:uid="{1AA0B1F3-5C60-4B90-9C0D-4D3B1D697842}"/>
    <cellStyle name="Normal 2 4 5 2 3 5" xfId="2045" xr:uid="{00000000-0005-0000-0000-00009C2F0000}"/>
    <cellStyle name="Normal 2 4 5 2 3 5 2" xfId="4274" xr:uid="{00000000-0005-0000-0000-00009D2F0000}"/>
    <cellStyle name="Normal 2 4 5 2 3 5 2 2" xfId="8497" xr:uid="{00000000-0005-0000-0000-00009E2F0000}"/>
    <cellStyle name="Normal 2 4 5 2 3 5 2 2 2" xfId="25367" xr:uid="{00000000-0005-0000-0000-00009F2F0000}"/>
    <cellStyle name="Normal 2 4 5 2 3 5 2 2 2 2" xfId="42235" xr:uid="{8928BDE7-3E70-40EB-B1F3-9DA27A8B119A}"/>
    <cellStyle name="Normal 2 4 5 2 3 5 2 2 3" xfId="16932" xr:uid="{00000000-0005-0000-0000-0000A02F0000}"/>
    <cellStyle name="Normal 2 4 5 2 3 5 2 2 4" xfId="33801" xr:uid="{42811CC5-55A3-4442-A359-8279786C8B5B}"/>
    <cellStyle name="Normal 2 4 5 2 3 5 2 3" xfId="21149" xr:uid="{00000000-0005-0000-0000-0000A12F0000}"/>
    <cellStyle name="Normal 2 4 5 2 3 5 2 3 2" xfId="38018" xr:uid="{1E5CA5CF-D004-4D5C-82E3-D4E30DECF6B0}"/>
    <cellStyle name="Normal 2 4 5 2 3 5 2 4" xfId="12714" xr:uid="{00000000-0005-0000-0000-0000A22F0000}"/>
    <cellStyle name="Normal 2 4 5 2 3 5 2 5" xfId="29584" xr:uid="{5408508B-57B0-40A4-B147-414623931944}"/>
    <cellStyle name="Normal 2 4 5 2 3 5 3" xfId="6352" xr:uid="{00000000-0005-0000-0000-0000A32F0000}"/>
    <cellStyle name="Normal 2 4 5 2 3 5 3 2" xfId="23222" xr:uid="{00000000-0005-0000-0000-0000A42F0000}"/>
    <cellStyle name="Normal 2 4 5 2 3 5 3 2 2" xfId="40090" xr:uid="{0D13E04D-ECC4-4492-808B-89252498F8C6}"/>
    <cellStyle name="Normal 2 4 5 2 3 5 3 3" xfId="14787" xr:uid="{00000000-0005-0000-0000-0000A52F0000}"/>
    <cellStyle name="Normal 2 4 5 2 3 5 3 4" xfId="31656" xr:uid="{74DEB8DC-FB17-4A45-B637-B6D0D2D42C80}"/>
    <cellStyle name="Normal 2 4 5 2 3 5 4" xfId="19004" xr:uid="{00000000-0005-0000-0000-0000A62F0000}"/>
    <cellStyle name="Normal 2 4 5 2 3 5 4 2" xfId="35873" xr:uid="{5343FF42-831C-4668-AA09-B7865AA5B6FB}"/>
    <cellStyle name="Normal 2 4 5 2 3 5 5" xfId="10569" xr:uid="{00000000-0005-0000-0000-0000A72F0000}"/>
    <cellStyle name="Normal 2 4 5 2 3 5 6" xfId="27439" xr:uid="{41647F5D-6102-4343-BDCE-47287D0587A4}"/>
    <cellStyle name="Normal 2 4 5 2 3 6" xfId="2481" xr:uid="{00000000-0005-0000-0000-0000A82F0000}"/>
    <cellStyle name="Normal 2 4 5 2 3 6 2" xfId="6765" xr:uid="{00000000-0005-0000-0000-0000A92F0000}"/>
    <cellStyle name="Normal 2 4 5 2 3 6 2 2" xfId="23635" xr:uid="{00000000-0005-0000-0000-0000AA2F0000}"/>
    <cellStyle name="Normal 2 4 5 2 3 6 2 2 2" xfId="40503" xr:uid="{627DBF6C-9A53-4952-98F9-7816815D2A29}"/>
    <cellStyle name="Normal 2 4 5 2 3 6 2 3" xfId="15200" xr:uid="{00000000-0005-0000-0000-0000AB2F0000}"/>
    <cellStyle name="Normal 2 4 5 2 3 6 2 4" xfId="32069" xr:uid="{0869D4FC-0CFC-4E89-8F5B-8E6B3A5DC7F8}"/>
    <cellStyle name="Normal 2 4 5 2 3 6 3" xfId="19417" xr:uid="{00000000-0005-0000-0000-0000AC2F0000}"/>
    <cellStyle name="Normal 2 4 5 2 3 6 3 2" xfId="36286" xr:uid="{C26EA586-74D1-4CEF-A358-23EBC7B7B194}"/>
    <cellStyle name="Normal 2 4 5 2 3 6 4" xfId="10982" xr:uid="{00000000-0005-0000-0000-0000AD2F0000}"/>
    <cellStyle name="Normal 2 4 5 2 3 6 5" xfId="27852" xr:uid="{1A727F18-F322-4B15-A8D9-7C229604FD7A}"/>
    <cellStyle name="Normal 2 4 5 2 3 7" xfId="4699" xr:uid="{00000000-0005-0000-0000-0000AE2F0000}"/>
    <cellStyle name="Normal 2 4 5 2 3 7 2" xfId="21569" xr:uid="{00000000-0005-0000-0000-0000AF2F0000}"/>
    <cellStyle name="Normal 2 4 5 2 3 7 2 2" xfId="38437" xr:uid="{67043DC0-4667-43B8-A8E3-93D6EBD8E986}"/>
    <cellStyle name="Normal 2 4 5 2 3 7 3" xfId="13134" xr:uid="{00000000-0005-0000-0000-0000B02F0000}"/>
    <cellStyle name="Normal 2 4 5 2 3 7 4" xfId="30003" xr:uid="{90F27573-302C-42B5-B6F2-42D4C728A6E6}"/>
    <cellStyle name="Normal 2 4 5 2 3 8" xfId="17351" xr:uid="{00000000-0005-0000-0000-0000B12F0000}"/>
    <cellStyle name="Normal 2 4 5 2 3 8 2" xfId="34220" xr:uid="{E2CC94F1-F27E-4193-AE87-C89A8D990D32}"/>
    <cellStyle name="Normal 2 4 5 2 3 9" xfId="8916" xr:uid="{00000000-0005-0000-0000-0000B22F0000}"/>
    <cellStyle name="Normal 2 4 5 2 4" xfId="793" xr:uid="{00000000-0005-0000-0000-0000B32F0000}"/>
    <cellStyle name="Normal 2 4 5 2 4 2" xfId="3032" xr:uid="{00000000-0005-0000-0000-0000B42F0000}"/>
    <cellStyle name="Normal 2 4 5 2 4 2 2" xfId="7255" xr:uid="{00000000-0005-0000-0000-0000B52F0000}"/>
    <cellStyle name="Normal 2 4 5 2 4 2 2 2" xfId="24125" xr:uid="{00000000-0005-0000-0000-0000B62F0000}"/>
    <cellStyle name="Normal 2 4 5 2 4 2 2 2 2" xfId="40993" xr:uid="{2E336E84-BA5E-496E-B41D-DD04CC47332E}"/>
    <cellStyle name="Normal 2 4 5 2 4 2 2 3" xfId="15690" xr:uid="{00000000-0005-0000-0000-0000B72F0000}"/>
    <cellStyle name="Normal 2 4 5 2 4 2 2 4" xfId="32559" xr:uid="{A3F1A1BC-CF47-447F-B2D0-F83200843D51}"/>
    <cellStyle name="Normal 2 4 5 2 4 2 3" xfId="19907" xr:uid="{00000000-0005-0000-0000-0000B82F0000}"/>
    <cellStyle name="Normal 2 4 5 2 4 2 3 2" xfId="36776" xr:uid="{3BA8A921-4FA4-45AB-8227-FF7F861F2BC2}"/>
    <cellStyle name="Normal 2 4 5 2 4 2 4" xfId="11472" xr:uid="{00000000-0005-0000-0000-0000B92F0000}"/>
    <cellStyle name="Normal 2 4 5 2 4 2 5" xfId="28342" xr:uid="{AF7EAF8D-8FFA-43F5-9934-0004A89DB032}"/>
    <cellStyle name="Normal 2 4 5 2 4 3" xfId="5110" xr:uid="{00000000-0005-0000-0000-0000BA2F0000}"/>
    <cellStyle name="Normal 2 4 5 2 4 3 2" xfId="21980" xr:uid="{00000000-0005-0000-0000-0000BB2F0000}"/>
    <cellStyle name="Normal 2 4 5 2 4 3 2 2" xfId="38848" xr:uid="{860E93D0-81D4-4DA6-8321-42258D2EB78D}"/>
    <cellStyle name="Normal 2 4 5 2 4 3 3" xfId="13545" xr:uid="{00000000-0005-0000-0000-0000BC2F0000}"/>
    <cellStyle name="Normal 2 4 5 2 4 3 4" xfId="30414" xr:uid="{9FA73637-380E-41C9-85C1-C967FB592B87}"/>
    <cellStyle name="Normal 2 4 5 2 4 4" xfId="17762" xr:uid="{00000000-0005-0000-0000-0000BD2F0000}"/>
    <cellStyle name="Normal 2 4 5 2 4 4 2" xfId="34631" xr:uid="{AA8D54B5-1050-4E0B-92C0-17F98BC933E2}"/>
    <cellStyle name="Normal 2 4 5 2 4 5" xfId="9327" xr:uid="{00000000-0005-0000-0000-0000BE2F0000}"/>
    <cellStyle name="Normal 2 4 5 2 4 6" xfId="26197" xr:uid="{279359BF-35D9-483A-910C-4B9759CADE47}"/>
    <cellStyle name="Normal 2 4 5 2 5" xfId="1215" xr:uid="{00000000-0005-0000-0000-0000BF2F0000}"/>
    <cellStyle name="Normal 2 4 5 2 5 2" xfId="3445" xr:uid="{00000000-0005-0000-0000-0000C02F0000}"/>
    <cellStyle name="Normal 2 4 5 2 5 2 2" xfId="7668" xr:uid="{00000000-0005-0000-0000-0000C12F0000}"/>
    <cellStyle name="Normal 2 4 5 2 5 2 2 2" xfId="24538" xr:uid="{00000000-0005-0000-0000-0000C22F0000}"/>
    <cellStyle name="Normal 2 4 5 2 5 2 2 2 2" xfId="41406" xr:uid="{CA9EB276-0FC7-427F-8CEE-6078EB3077AF}"/>
    <cellStyle name="Normal 2 4 5 2 5 2 2 3" xfId="16103" xr:uid="{00000000-0005-0000-0000-0000C32F0000}"/>
    <cellStyle name="Normal 2 4 5 2 5 2 2 4" xfId="32972" xr:uid="{12AC1458-0F7F-4D28-88D9-E59F6B242A7F}"/>
    <cellStyle name="Normal 2 4 5 2 5 2 3" xfId="20320" xr:uid="{00000000-0005-0000-0000-0000C42F0000}"/>
    <cellStyle name="Normal 2 4 5 2 5 2 3 2" xfId="37189" xr:uid="{5661BCEE-FDD6-48BD-A32A-FF2EBA202987}"/>
    <cellStyle name="Normal 2 4 5 2 5 2 4" xfId="11885" xr:uid="{00000000-0005-0000-0000-0000C52F0000}"/>
    <cellStyle name="Normal 2 4 5 2 5 2 5" xfId="28755" xr:uid="{36081F1B-442F-4CBD-A0C3-CB866E299DAA}"/>
    <cellStyle name="Normal 2 4 5 2 5 3" xfId="5523" xr:uid="{00000000-0005-0000-0000-0000C62F0000}"/>
    <cellStyle name="Normal 2 4 5 2 5 3 2" xfId="22393" xr:uid="{00000000-0005-0000-0000-0000C72F0000}"/>
    <cellStyle name="Normal 2 4 5 2 5 3 2 2" xfId="39261" xr:uid="{403378F0-6F2E-4C10-B429-8754F07C8D24}"/>
    <cellStyle name="Normal 2 4 5 2 5 3 3" xfId="13958" xr:uid="{00000000-0005-0000-0000-0000C82F0000}"/>
    <cellStyle name="Normal 2 4 5 2 5 3 4" xfId="30827" xr:uid="{5E45ABE8-F720-4D7D-9D1C-05B540EE0340}"/>
    <cellStyle name="Normal 2 4 5 2 5 4" xfId="18175" xr:uid="{00000000-0005-0000-0000-0000C92F0000}"/>
    <cellStyle name="Normal 2 4 5 2 5 4 2" xfId="35044" xr:uid="{C752F7F1-BC8E-4EB3-82DF-706C4799D378}"/>
    <cellStyle name="Normal 2 4 5 2 5 5" xfId="9740" xr:uid="{00000000-0005-0000-0000-0000CA2F0000}"/>
    <cellStyle name="Normal 2 4 5 2 5 6" xfId="26610" xr:uid="{90606822-FED5-4D73-A983-8259834300E2}"/>
    <cellStyle name="Normal 2 4 5 2 6" xfId="1628" xr:uid="{00000000-0005-0000-0000-0000CB2F0000}"/>
    <cellStyle name="Normal 2 4 5 2 6 2" xfId="3858" xr:uid="{00000000-0005-0000-0000-0000CC2F0000}"/>
    <cellStyle name="Normal 2 4 5 2 6 2 2" xfId="8081" xr:uid="{00000000-0005-0000-0000-0000CD2F0000}"/>
    <cellStyle name="Normal 2 4 5 2 6 2 2 2" xfId="24951" xr:uid="{00000000-0005-0000-0000-0000CE2F0000}"/>
    <cellStyle name="Normal 2 4 5 2 6 2 2 2 2" xfId="41819" xr:uid="{6DA03B67-D5E7-46BF-A96F-D08D892EA835}"/>
    <cellStyle name="Normal 2 4 5 2 6 2 2 3" xfId="16516" xr:uid="{00000000-0005-0000-0000-0000CF2F0000}"/>
    <cellStyle name="Normal 2 4 5 2 6 2 2 4" xfId="33385" xr:uid="{6D00CA0B-90FB-493D-8F37-5635D017724E}"/>
    <cellStyle name="Normal 2 4 5 2 6 2 3" xfId="20733" xr:uid="{00000000-0005-0000-0000-0000D02F0000}"/>
    <cellStyle name="Normal 2 4 5 2 6 2 3 2" xfId="37602" xr:uid="{0E89ACD5-D870-467B-AC79-51F073761480}"/>
    <cellStyle name="Normal 2 4 5 2 6 2 4" xfId="12298" xr:uid="{00000000-0005-0000-0000-0000D12F0000}"/>
    <cellStyle name="Normal 2 4 5 2 6 2 5" xfId="29168" xr:uid="{556A9C06-318F-422C-BFF1-63FB0E8A611D}"/>
    <cellStyle name="Normal 2 4 5 2 6 3" xfId="5936" xr:uid="{00000000-0005-0000-0000-0000D22F0000}"/>
    <cellStyle name="Normal 2 4 5 2 6 3 2" xfId="22806" xr:uid="{00000000-0005-0000-0000-0000D32F0000}"/>
    <cellStyle name="Normal 2 4 5 2 6 3 2 2" xfId="39674" xr:uid="{A1242C11-5029-48A7-BEDF-E99C40D01783}"/>
    <cellStyle name="Normal 2 4 5 2 6 3 3" xfId="14371" xr:uid="{00000000-0005-0000-0000-0000D42F0000}"/>
    <cellStyle name="Normal 2 4 5 2 6 3 4" xfId="31240" xr:uid="{A91EE303-E8AD-487C-8FE8-0E37C7F3EAC8}"/>
    <cellStyle name="Normal 2 4 5 2 6 4" xfId="18588" xr:uid="{00000000-0005-0000-0000-0000D52F0000}"/>
    <cellStyle name="Normal 2 4 5 2 6 4 2" xfId="35457" xr:uid="{74BD230A-9A64-48B5-94D2-BA4EA80CDD52}"/>
    <cellStyle name="Normal 2 4 5 2 6 5" xfId="10153" xr:uid="{00000000-0005-0000-0000-0000D62F0000}"/>
    <cellStyle name="Normal 2 4 5 2 6 6" xfId="27023" xr:uid="{605B0733-D0D6-418A-8ECF-49EE6F81726D}"/>
    <cellStyle name="Normal 2 4 5 2 7" xfId="2042" xr:uid="{00000000-0005-0000-0000-0000D72F0000}"/>
    <cellStyle name="Normal 2 4 5 2 7 2" xfId="4271" xr:uid="{00000000-0005-0000-0000-0000D82F0000}"/>
    <cellStyle name="Normal 2 4 5 2 7 2 2" xfId="8494" xr:uid="{00000000-0005-0000-0000-0000D92F0000}"/>
    <cellStyle name="Normal 2 4 5 2 7 2 2 2" xfId="25364" xr:uid="{00000000-0005-0000-0000-0000DA2F0000}"/>
    <cellStyle name="Normal 2 4 5 2 7 2 2 2 2" xfId="42232" xr:uid="{76AFFE40-8BCE-418C-8C34-F4A1CC628E5A}"/>
    <cellStyle name="Normal 2 4 5 2 7 2 2 3" xfId="16929" xr:uid="{00000000-0005-0000-0000-0000DB2F0000}"/>
    <cellStyle name="Normal 2 4 5 2 7 2 2 4" xfId="33798" xr:uid="{D31E45B7-4550-4ABA-9E08-81B25DBB5888}"/>
    <cellStyle name="Normal 2 4 5 2 7 2 3" xfId="21146" xr:uid="{00000000-0005-0000-0000-0000DC2F0000}"/>
    <cellStyle name="Normal 2 4 5 2 7 2 3 2" xfId="38015" xr:uid="{44348E4D-38DB-4BAE-ADA2-4D62485C9C0B}"/>
    <cellStyle name="Normal 2 4 5 2 7 2 4" xfId="12711" xr:uid="{00000000-0005-0000-0000-0000DD2F0000}"/>
    <cellStyle name="Normal 2 4 5 2 7 2 5" xfId="29581" xr:uid="{F8374852-B683-46CE-BA38-2EDC440E6851}"/>
    <cellStyle name="Normal 2 4 5 2 7 3" xfId="6349" xr:uid="{00000000-0005-0000-0000-0000DE2F0000}"/>
    <cellStyle name="Normal 2 4 5 2 7 3 2" xfId="23219" xr:uid="{00000000-0005-0000-0000-0000DF2F0000}"/>
    <cellStyle name="Normal 2 4 5 2 7 3 2 2" xfId="40087" xr:uid="{05148E7C-3102-4875-A6A8-0030173FFCE4}"/>
    <cellStyle name="Normal 2 4 5 2 7 3 3" xfId="14784" xr:uid="{00000000-0005-0000-0000-0000E02F0000}"/>
    <cellStyle name="Normal 2 4 5 2 7 3 4" xfId="31653" xr:uid="{B00E6F00-EACB-4D67-B957-0925D70C865F}"/>
    <cellStyle name="Normal 2 4 5 2 7 4" xfId="19001" xr:uid="{00000000-0005-0000-0000-0000E12F0000}"/>
    <cellStyle name="Normal 2 4 5 2 7 4 2" xfId="35870" xr:uid="{7ABBD18C-2129-4F6F-B60C-32D2E9AB43A5}"/>
    <cellStyle name="Normal 2 4 5 2 7 5" xfId="10566" xr:uid="{00000000-0005-0000-0000-0000E22F0000}"/>
    <cellStyle name="Normal 2 4 5 2 7 6" xfId="27436" xr:uid="{B7877D36-180D-4001-BA9B-33E60D7BF833}"/>
    <cellStyle name="Normal 2 4 5 2 8" xfId="2478" xr:uid="{00000000-0005-0000-0000-0000E32F0000}"/>
    <cellStyle name="Normal 2 4 5 2 8 2" xfId="6762" xr:uid="{00000000-0005-0000-0000-0000E42F0000}"/>
    <cellStyle name="Normal 2 4 5 2 8 2 2" xfId="23632" xr:uid="{00000000-0005-0000-0000-0000E52F0000}"/>
    <cellStyle name="Normal 2 4 5 2 8 2 2 2" xfId="40500" xr:uid="{F5F6053F-D0F0-4F9D-94C7-A7C1FB811DBB}"/>
    <cellStyle name="Normal 2 4 5 2 8 2 3" xfId="15197" xr:uid="{00000000-0005-0000-0000-0000E62F0000}"/>
    <cellStyle name="Normal 2 4 5 2 8 2 4" xfId="32066" xr:uid="{34C68881-580D-4128-B4DE-F4FCD023C81B}"/>
    <cellStyle name="Normal 2 4 5 2 8 3" xfId="19414" xr:uid="{00000000-0005-0000-0000-0000E72F0000}"/>
    <cellStyle name="Normal 2 4 5 2 8 3 2" xfId="36283" xr:uid="{48B08AEC-5A7F-4993-996B-C04BD0127B82}"/>
    <cellStyle name="Normal 2 4 5 2 8 4" xfId="10979" xr:uid="{00000000-0005-0000-0000-0000E82F0000}"/>
    <cellStyle name="Normal 2 4 5 2 8 5" xfId="27849" xr:uid="{6D0DCA55-F2C4-4787-B459-A6F2A9356C9B}"/>
    <cellStyle name="Normal 2 4 5 2 9" xfId="4696" xr:uid="{00000000-0005-0000-0000-0000E92F0000}"/>
    <cellStyle name="Normal 2 4 5 2 9 2" xfId="21566" xr:uid="{00000000-0005-0000-0000-0000EA2F0000}"/>
    <cellStyle name="Normal 2 4 5 2 9 2 2" xfId="38434" xr:uid="{E7440530-EDA5-4D66-91B6-29952377EC0B}"/>
    <cellStyle name="Normal 2 4 5 2 9 3" xfId="13131" xr:uid="{00000000-0005-0000-0000-0000EB2F0000}"/>
    <cellStyle name="Normal 2 4 5 2 9 4" xfId="30000" xr:uid="{3809F2EE-B6A8-477D-AB43-3619CD4D8B84}"/>
    <cellStyle name="Normal 2 4 5 3" xfId="308" xr:uid="{00000000-0005-0000-0000-0000EC2F0000}"/>
    <cellStyle name="Normal 2 4 5 3 10" xfId="8917" xr:uid="{00000000-0005-0000-0000-0000ED2F0000}"/>
    <cellStyle name="Normal 2 4 5 3 11" xfId="25787" xr:uid="{5446F804-EF94-4DB0-B00A-F0AA28C16EB7}"/>
    <cellStyle name="Normal 2 4 5 3 2" xfId="309" xr:uid="{00000000-0005-0000-0000-0000EE2F0000}"/>
    <cellStyle name="Normal 2 4 5 3 2 10" xfId="25788" xr:uid="{2AAA9CB6-9BE1-4920-9F34-103B2F42A67B}"/>
    <cellStyle name="Normal 2 4 5 3 2 2" xfId="798" xr:uid="{00000000-0005-0000-0000-0000EF2F0000}"/>
    <cellStyle name="Normal 2 4 5 3 2 2 2" xfId="3037" xr:uid="{00000000-0005-0000-0000-0000F02F0000}"/>
    <cellStyle name="Normal 2 4 5 3 2 2 2 2" xfId="7260" xr:uid="{00000000-0005-0000-0000-0000F12F0000}"/>
    <cellStyle name="Normal 2 4 5 3 2 2 2 2 2" xfId="24130" xr:uid="{00000000-0005-0000-0000-0000F22F0000}"/>
    <cellStyle name="Normal 2 4 5 3 2 2 2 2 2 2" xfId="40998" xr:uid="{E6277595-5A0A-44CA-9AE4-146E4C22B2D9}"/>
    <cellStyle name="Normal 2 4 5 3 2 2 2 2 3" xfId="15695" xr:uid="{00000000-0005-0000-0000-0000F32F0000}"/>
    <cellStyle name="Normal 2 4 5 3 2 2 2 2 4" xfId="32564" xr:uid="{AAAEC3B3-40CA-474D-A13F-06C2818F7B84}"/>
    <cellStyle name="Normal 2 4 5 3 2 2 2 3" xfId="19912" xr:uid="{00000000-0005-0000-0000-0000F42F0000}"/>
    <cellStyle name="Normal 2 4 5 3 2 2 2 3 2" xfId="36781" xr:uid="{D49CAF9C-5F90-4B37-8F0F-AE977AC4381F}"/>
    <cellStyle name="Normal 2 4 5 3 2 2 2 4" xfId="11477" xr:uid="{00000000-0005-0000-0000-0000F52F0000}"/>
    <cellStyle name="Normal 2 4 5 3 2 2 2 5" xfId="28347" xr:uid="{44977F48-50A5-43B2-9673-F82835E01E9C}"/>
    <cellStyle name="Normal 2 4 5 3 2 2 3" xfId="5115" xr:uid="{00000000-0005-0000-0000-0000F62F0000}"/>
    <cellStyle name="Normal 2 4 5 3 2 2 3 2" xfId="21985" xr:uid="{00000000-0005-0000-0000-0000F72F0000}"/>
    <cellStyle name="Normal 2 4 5 3 2 2 3 2 2" xfId="38853" xr:uid="{143D82B4-F6A5-494A-8A52-4573A58754F8}"/>
    <cellStyle name="Normal 2 4 5 3 2 2 3 3" xfId="13550" xr:uid="{00000000-0005-0000-0000-0000F82F0000}"/>
    <cellStyle name="Normal 2 4 5 3 2 2 3 4" xfId="30419" xr:uid="{4C3A2404-0873-4869-8B0F-2D6359EF2796}"/>
    <cellStyle name="Normal 2 4 5 3 2 2 4" xfId="17767" xr:uid="{00000000-0005-0000-0000-0000F92F0000}"/>
    <cellStyle name="Normal 2 4 5 3 2 2 4 2" xfId="34636" xr:uid="{38C187C1-62F0-427D-B83B-5E61B34B5243}"/>
    <cellStyle name="Normal 2 4 5 3 2 2 5" xfId="9332" xr:uid="{00000000-0005-0000-0000-0000FA2F0000}"/>
    <cellStyle name="Normal 2 4 5 3 2 2 6" xfId="26202" xr:uid="{3089FD1D-CD61-42A4-B078-7CC17C10F524}"/>
    <cellStyle name="Normal 2 4 5 3 2 3" xfId="1220" xr:uid="{00000000-0005-0000-0000-0000FB2F0000}"/>
    <cellStyle name="Normal 2 4 5 3 2 3 2" xfId="3450" xr:uid="{00000000-0005-0000-0000-0000FC2F0000}"/>
    <cellStyle name="Normal 2 4 5 3 2 3 2 2" xfId="7673" xr:uid="{00000000-0005-0000-0000-0000FD2F0000}"/>
    <cellStyle name="Normal 2 4 5 3 2 3 2 2 2" xfId="24543" xr:uid="{00000000-0005-0000-0000-0000FE2F0000}"/>
    <cellStyle name="Normal 2 4 5 3 2 3 2 2 2 2" xfId="41411" xr:uid="{96585651-DE11-4B56-82C7-411F43BF692F}"/>
    <cellStyle name="Normal 2 4 5 3 2 3 2 2 3" xfId="16108" xr:uid="{00000000-0005-0000-0000-0000FF2F0000}"/>
    <cellStyle name="Normal 2 4 5 3 2 3 2 2 4" xfId="32977" xr:uid="{0E9318C5-A1EE-4D65-8221-F8D6D8F22116}"/>
    <cellStyle name="Normal 2 4 5 3 2 3 2 3" xfId="20325" xr:uid="{00000000-0005-0000-0000-000000300000}"/>
    <cellStyle name="Normal 2 4 5 3 2 3 2 3 2" xfId="37194" xr:uid="{6912351C-5775-4E21-BB25-B99B7E26AA45}"/>
    <cellStyle name="Normal 2 4 5 3 2 3 2 4" xfId="11890" xr:uid="{00000000-0005-0000-0000-000001300000}"/>
    <cellStyle name="Normal 2 4 5 3 2 3 2 5" xfId="28760" xr:uid="{D6539038-70C0-4876-A7BE-6DC01DCA7D29}"/>
    <cellStyle name="Normal 2 4 5 3 2 3 3" xfId="5528" xr:uid="{00000000-0005-0000-0000-000002300000}"/>
    <cellStyle name="Normal 2 4 5 3 2 3 3 2" xfId="22398" xr:uid="{00000000-0005-0000-0000-000003300000}"/>
    <cellStyle name="Normal 2 4 5 3 2 3 3 2 2" xfId="39266" xr:uid="{EC255DD0-5BD7-441C-80CB-784949EE0152}"/>
    <cellStyle name="Normal 2 4 5 3 2 3 3 3" xfId="13963" xr:uid="{00000000-0005-0000-0000-000004300000}"/>
    <cellStyle name="Normal 2 4 5 3 2 3 3 4" xfId="30832" xr:uid="{F88DCD75-81EA-42FC-B2CE-F344A5C3583F}"/>
    <cellStyle name="Normal 2 4 5 3 2 3 4" xfId="18180" xr:uid="{00000000-0005-0000-0000-000005300000}"/>
    <cellStyle name="Normal 2 4 5 3 2 3 4 2" xfId="35049" xr:uid="{A558D201-3CB3-48C6-9AF2-C600086DE3F7}"/>
    <cellStyle name="Normal 2 4 5 3 2 3 5" xfId="9745" xr:uid="{00000000-0005-0000-0000-000006300000}"/>
    <cellStyle name="Normal 2 4 5 3 2 3 6" xfId="26615" xr:uid="{64098795-974E-4297-B17F-7A5EAF293C04}"/>
    <cellStyle name="Normal 2 4 5 3 2 4" xfId="1633" xr:uid="{00000000-0005-0000-0000-000007300000}"/>
    <cellStyle name="Normal 2 4 5 3 2 4 2" xfId="3863" xr:uid="{00000000-0005-0000-0000-000008300000}"/>
    <cellStyle name="Normal 2 4 5 3 2 4 2 2" xfId="8086" xr:uid="{00000000-0005-0000-0000-000009300000}"/>
    <cellStyle name="Normal 2 4 5 3 2 4 2 2 2" xfId="24956" xr:uid="{00000000-0005-0000-0000-00000A300000}"/>
    <cellStyle name="Normal 2 4 5 3 2 4 2 2 2 2" xfId="41824" xr:uid="{77CCC591-6B58-46E2-BE60-0DF5D245541A}"/>
    <cellStyle name="Normal 2 4 5 3 2 4 2 2 3" xfId="16521" xr:uid="{00000000-0005-0000-0000-00000B300000}"/>
    <cellStyle name="Normal 2 4 5 3 2 4 2 2 4" xfId="33390" xr:uid="{6D511F87-1A77-4689-8BB6-79BB6900F088}"/>
    <cellStyle name="Normal 2 4 5 3 2 4 2 3" xfId="20738" xr:uid="{00000000-0005-0000-0000-00000C300000}"/>
    <cellStyle name="Normal 2 4 5 3 2 4 2 3 2" xfId="37607" xr:uid="{965B1135-C145-4B10-A121-E778292D2FCC}"/>
    <cellStyle name="Normal 2 4 5 3 2 4 2 4" xfId="12303" xr:uid="{00000000-0005-0000-0000-00000D300000}"/>
    <cellStyle name="Normal 2 4 5 3 2 4 2 5" xfId="29173" xr:uid="{2188EE21-55BB-49D2-8282-20F5BD24124B}"/>
    <cellStyle name="Normal 2 4 5 3 2 4 3" xfId="5941" xr:uid="{00000000-0005-0000-0000-00000E300000}"/>
    <cellStyle name="Normal 2 4 5 3 2 4 3 2" xfId="22811" xr:uid="{00000000-0005-0000-0000-00000F300000}"/>
    <cellStyle name="Normal 2 4 5 3 2 4 3 2 2" xfId="39679" xr:uid="{A34FC47E-3D6C-4A3A-A044-122DDADE273D}"/>
    <cellStyle name="Normal 2 4 5 3 2 4 3 3" xfId="14376" xr:uid="{00000000-0005-0000-0000-000010300000}"/>
    <cellStyle name="Normal 2 4 5 3 2 4 3 4" xfId="31245" xr:uid="{89A00D87-FF44-414C-BCA9-FFDE4E75B129}"/>
    <cellStyle name="Normal 2 4 5 3 2 4 4" xfId="18593" xr:uid="{00000000-0005-0000-0000-000011300000}"/>
    <cellStyle name="Normal 2 4 5 3 2 4 4 2" xfId="35462" xr:uid="{F6F8923F-4B99-4A88-8538-84E0358C14A7}"/>
    <cellStyle name="Normal 2 4 5 3 2 4 5" xfId="10158" xr:uid="{00000000-0005-0000-0000-000012300000}"/>
    <cellStyle name="Normal 2 4 5 3 2 4 6" xfId="27028" xr:uid="{88E5B565-77B2-41D2-8E5F-772AA774BE42}"/>
    <cellStyle name="Normal 2 4 5 3 2 5" xfId="2047" xr:uid="{00000000-0005-0000-0000-000013300000}"/>
    <cellStyle name="Normal 2 4 5 3 2 5 2" xfId="4276" xr:uid="{00000000-0005-0000-0000-000014300000}"/>
    <cellStyle name="Normal 2 4 5 3 2 5 2 2" xfId="8499" xr:uid="{00000000-0005-0000-0000-000015300000}"/>
    <cellStyle name="Normal 2 4 5 3 2 5 2 2 2" xfId="25369" xr:uid="{00000000-0005-0000-0000-000016300000}"/>
    <cellStyle name="Normal 2 4 5 3 2 5 2 2 2 2" xfId="42237" xr:uid="{D8AAE187-03A2-4F17-B10E-650B43A13355}"/>
    <cellStyle name="Normal 2 4 5 3 2 5 2 2 3" xfId="16934" xr:uid="{00000000-0005-0000-0000-000017300000}"/>
    <cellStyle name="Normal 2 4 5 3 2 5 2 2 4" xfId="33803" xr:uid="{583BB80F-308C-4423-9F53-D0203ECED1A2}"/>
    <cellStyle name="Normal 2 4 5 3 2 5 2 3" xfId="21151" xr:uid="{00000000-0005-0000-0000-000018300000}"/>
    <cellStyle name="Normal 2 4 5 3 2 5 2 3 2" xfId="38020" xr:uid="{B3F59725-BFD7-42EA-A5EC-604A2066C354}"/>
    <cellStyle name="Normal 2 4 5 3 2 5 2 4" xfId="12716" xr:uid="{00000000-0005-0000-0000-000019300000}"/>
    <cellStyle name="Normal 2 4 5 3 2 5 2 5" xfId="29586" xr:uid="{6F388973-46EB-4055-B593-3AB52AD43F67}"/>
    <cellStyle name="Normal 2 4 5 3 2 5 3" xfId="6354" xr:uid="{00000000-0005-0000-0000-00001A300000}"/>
    <cellStyle name="Normal 2 4 5 3 2 5 3 2" xfId="23224" xr:uid="{00000000-0005-0000-0000-00001B300000}"/>
    <cellStyle name="Normal 2 4 5 3 2 5 3 2 2" xfId="40092" xr:uid="{A073A3D9-FBA9-4541-A07A-FF64F13876D7}"/>
    <cellStyle name="Normal 2 4 5 3 2 5 3 3" xfId="14789" xr:uid="{00000000-0005-0000-0000-00001C300000}"/>
    <cellStyle name="Normal 2 4 5 3 2 5 3 4" xfId="31658" xr:uid="{86B956F8-C33C-4AF0-9646-6B3C3F50DA69}"/>
    <cellStyle name="Normal 2 4 5 3 2 5 4" xfId="19006" xr:uid="{00000000-0005-0000-0000-00001D300000}"/>
    <cellStyle name="Normal 2 4 5 3 2 5 4 2" xfId="35875" xr:uid="{DC420299-5566-432D-83A3-2BD87C0C7FFF}"/>
    <cellStyle name="Normal 2 4 5 3 2 5 5" xfId="10571" xr:uid="{00000000-0005-0000-0000-00001E300000}"/>
    <cellStyle name="Normal 2 4 5 3 2 5 6" xfId="27441" xr:uid="{F1E41A4D-0A99-4C83-9983-772B4F3525EB}"/>
    <cellStyle name="Normal 2 4 5 3 2 6" xfId="2483" xr:uid="{00000000-0005-0000-0000-00001F300000}"/>
    <cellStyle name="Normal 2 4 5 3 2 6 2" xfId="6767" xr:uid="{00000000-0005-0000-0000-000020300000}"/>
    <cellStyle name="Normal 2 4 5 3 2 6 2 2" xfId="23637" xr:uid="{00000000-0005-0000-0000-000021300000}"/>
    <cellStyle name="Normal 2 4 5 3 2 6 2 2 2" xfId="40505" xr:uid="{DFFFD7EB-0DB9-4E9A-BDEC-112B3777E57F}"/>
    <cellStyle name="Normal 2 4 5 3 2 6 2 3" xfId="15202" xr:uid="{00000000-0005-0000-0000-000022300000}"/>
    <cellStyle name="Normal 2 4 5 3 2 6 2 4" xfId="32071" xr:uid="{DE02C797-21E0-481D-8C17-87808BEDF6B1}"/>
    <cellStyle name="Normal 2 4 5 3 2 6 3" xfId="19419" xr:uid="{00000000-0005-0000-0000-000023300000}"/>
    <cellStyle name="Normal 2 4 5 3 2 6 3 2" xfId="36288" xr:uid="{B527DE9E-6CF9-496A-8F84-45F693F66115}"/>
    <cellStyle name="Normal 2 4 5 3 2 6 4" xfId="10984" xr:uid="{00000000-0005-0000-0000-000024300000}"/>
    <cellStyle name="Normal 2 4 5 3 2 6 5" xfId="27854" xr:uid="{F948E6BA-EB36-4400-96DF-40F4C3ED788A}"/>
    <cellStyle name="Normal 2 4 5 3 2 7" xfId="4701" xr:uid="{00000000-0005-0000-0000-000025300000}"/>
    <cellStyle name="Normal 2 4 5 3 2 7 2" xfId="21571" xr:uid="{00000000-0005-0000-0000-000026300000}"/>
    <cellStyle name="Normal 2 4 5 3 2 7 2 2" xfId="38439" xr:uid="{A0A766EB-6F88-4CBF-9F60-CCB4336178B0}"/>
    <cellStyle name="Normal 2 4 5 3 2 7 3" xfId="13136" xr:uid="{00000000-0005-0000-0000-000027300000}"/>
    <cellStyle name="Normal 2 4 5 3 2 7 4" xfId="30005" xr:uid="{713C6374-0561-405A-A7B9-D3B6BDB96111}"/>
    <cellStyle name="Normal 2 4 5 3 2 8" xfId="17353" xr:uid="{00000000-0005-0000-0000-000028300000}"/>
    <cellStyle name="Normal 2 4 5 3 2 8 2" xfId="34222" xr:uid="{0DFEFE61-4C58-48F2-812B-25EA036A8165}"/>
    <cellStyle name="Normal 2 4 5 3 2 9" xfId="8918" xr:uid="{00000000-0005-0000-0000-000029300000}"/>
    <cellStyle name="Normal 2 4 5 3 3" xfId="797" xr:uid="{00000000-0005-0000-0000-00002A300000}"/>
    <cellStyle name="Normal 2 4 5 3 3 2" xfId="3036" xr:uid="{00000000-0005-0000-0000-00002B300000}"/>
    <cellStyle name="Normal 2 4 5 3 3 2 2" xfId="7259" xr:uid="{00000000-0005-0000-0000-00002C300000}"/>
    <cellStyle name="Normal 2 4 5 3 3 2 2 2" xfId="24129" xr:uid="{00000000-0005-0000-0000-00002D300000}"/>
    <cellStyle name="Normal 2 4 5 3 3 2 2 2 2" xfId="40997" xr:uid="{0A935C44-BDCD-49BD-90D4-244DAE376FDD}"/>
    <cellStyle name="Normal 2 4 5 3 3 2 2 3" xfId="15694" xr:uid="{00000000-0005-0000-0000-00002E300000}"/>
    <cellStyle name="Normal 2 4 5 3 3 2 2 4" xfId="32563" xr:uid="{38F02BB8-4ECE-4585-9A1D-E8712A6E26CD}"/>
    <cellStyle name="Normal 2 4 5 3 3 2 3" xfId="19911" xr:uid="{00000000-0005-0000-0000-00002F300000}"/>
    <cellStyle name="Normal 2 4 5 3 3 2 3 2" xfId="36780" xr:uid="{858E30D3-19E5-4EF5-ADC5-C13E0DBE8300}"/>
    <cellStyle name="Normal 2 4 5 3 3 2 4" xfId="11476" xr:uid="{00000000-0005-0000-0000-000030300000}"/>
    <cellStyle name="Normal 2 4 5 3 3 2 5" xfId="28346" xr:uid="{2D35200C-2577-4C43-965D-A6CDBD854396}"/>
    <cellStyle name="Normal 2 4 5 3 3 3" xfId="5114" xr:uid="{00000000-0005-0000-0000-000031300000}"/>
    <cellStyle name="Normal 2 4 5 3 3 3 2" xfId="21984" xr:uid="{00000000-0005-0000-0000-000032300000}"/>
    <cellStyle name="Normal 2 4 5 3 3 3 2 2" xfId="38852" xr:uid="{00E1A861-62ED-4D0F-9E9A-E1BB0839ACCF}"/>
    <cellStyle name="Normal 2 4 5 3 3 3 3" xfId="13549" xr:uid="{00000000-0005-0000-0000-000033300000}"/>
    <cellStyle name="Normal 2 4 5 3 3 3 4" xfId="30418" xr:uid="{C1EF6069-D31E-4E57-BDB4-BE1FEE035EA8}"/>
    <cellStyle name="Normal 2 4 5 3 3 4" xfId="17766" xr:uid="{00000000-0005-0000-0000-000034300000}"/>
    <cellStyle name="Normal 2 4 5 3 3 4 2" xfId="34635" xr:uid="{BFD9AF63-59DE-46FE-A4A3-A484A9702088}"/>
    <cellStyle name="Normal 2 4 5 3 3 5" xfId="9331" xr:uid="{00000000-0005-0000-0000-000035300000}"/>
    <cellStyle name="Normal 2 4 5 3 3 6" xfId="26201" xr:uid="{6882D88C-7120-47CD-A7A8-5E75F2DDD057}"/>
    <cellStyle name="Normal 2 4 5 3 4" xfId="1219" xr:uid="{00000000-0005-0000-0000-000036300000}"/>
    <cellStyle name="Normal 2 4 5 3 4 2" xfId="3449" xr:uid="{00000000-0005-0000-0000-000037300000}"/>
    <cellStyle name="Normal 2 4 5 3 4 2 2" xfId="7672" xr:uid="{00000000-0005-0000-0000-000038300000}"/>
    <cellStyle name="Normal 2 4 5 3 4 2 2 2" xfId="24542" xr:uid="{00000000-0005-0000-0000-000039300000}"/>
    <cellStyle name="Normal 2 4 5 3 4 2 2 2 2" xfId="41410" xr:uid="{CE0D3738-E4C0-48FF-AB52-2587536E416F}"/>
    <cellStyle name="Normal 2 4 5 3 4 2 2 3" xfId="16107" xr:uid="{00000000-0005-0000-0000-00003A300000}"/>
    <cellStyle name="Normal 2 4 5 3 4 2 2 4" xfId="32976" xr:uid="{4D4E7F56-B709-498A-805E-B69FC3D30C89}"/>
    <cellStyle name="Normal 2 4 5 3 4 2 3" xfId="20324" xr:uid="{00000000-0005-0000-0000-00003B300000}"/>
    <cellStyle name="Normal 2 4 5 3 4 2 3 2" xfId="37193" xr:uid="{CAEDE73D-576E-482F-BEF3-5A9D79E9A359}"/>
    <cellStyle name="Normal 2 4 5 3 4 2 4" xfId="11889" xr:uid="{00000000-0005-0000-0000-00003C300000}"/>
    <cellStyle name="Normal 2 4 5 3 4 2 5" xfId="28759" xr:uid="{428B130E-FA2F-4D09-9DA5-ED422A280A62}"/>
    <cellStyle name="Normal 2 4 5 3 4 3" xfId="5527" xr:uid="{00000000-0005-0000-0000-00003D300000}"/>
    <cellStyle name="Normal 2 4 5 3 4 3 2" xfId="22397" xr:uid="{00000000-0005-0000-0000-00003E300000}"/>
    <cellStyle name="Normal 2 4 5 3 4 3 2 2" xfId="39265" xr:uid="{DCB8DE6C-36F0-423F-A80A-AF2488017261}"/>
    <cellStyle name="Normal 2 4 5 3 4 3 3" xfId="13962" xr:uid="{00000000-0005-0000-0000-00003F300000}"/>
    <cellStyle name="Normal 2 4 5 3 4 3 4" xfId="30831" xr:uid="{EEE058AC-0249-4AEA-BABD-E17F9300F36B}"/>
    <cellStyle name="Normal 2 4 5 3 4 4" xfId="18179" xr:uid="{00000000-0005-0000-0000-000040300000}"/>
    <cellStyle name="Normal 2 4 5 3 4 4 2" xfId="35048" xr:uid="{65D988DB-3EB5-45FD-88B0-5C80AF53EB51}"/>
    <cellStyle name="Normal 2 4 5 3 4 5" xfId="9744" xr:uid="{00000000-0005-0000-0000-000041300000}"/>
    <cellStyle name="Normal 2 4 5 3 4 6" xfId="26614" xr:uid="{6FC3F177-2268-4A07-9730-F6C7B1F0B57B}"/>
    <cellStyle name="Normal 2 4 5 3 5" xfId="1632" xr:uid="{00000000-0005-0000-0000-000042300000}"/>
    <cellStyle name="Normal 2 4 5 3 5 2" xfId="3862" xr:uid="{00000000-0005-0000-0000-000043300000}"/>
    <cellStyle name="Normal 2 4 5 3 5 2 2" xfId="8085" xr:uid="{00000000-0005-0000-0000-000044300000}"/>
    <cellStyle name="Normal 2 4 5 3 5 2 2 2" xfId="24955" xr:uid="{00000000-0005-0000-0000-000045300000}"/>
    <cellStyle name="Normal 2 4 5 3 5 2 2 2 2" xfId="41823" xr:uid="{682E3088-D205-4825-9619-3BF28445F715}"/>
    <cellStyle name="Normal 2 4 5 3 5 2 2 3" xfId="16520" xr:uid="{00000000-0005-0000-0000-000046300000}"/>
    <cellStyle name="Normal 2 4 5 3 5 2 2 4" xfId="33389" xr:uid="{2AF58564-DA5F-4398-9CCB-9F3B3D1686F2}"/>
    <cellStyle name="Normal 2 4 5 3 5 2 3" xfId="20737" xr:uid="{00000000-0005-0000-0000-000047300000}"/>
    <cellStyle name="Normal 2 4 5 3 5 2 3 2" xfId="37606" xr:uid="{D5DFE539-69B1-4E0C-8D3F-60891A35D574}"/>
    <cellStyle name="Normal 2 4 5 3 5 2 4" xfId="12302" xr:uid="{00000000-0005-0000-0000-000048300000}"/>
    <cellStyle name="Normal 2 4 5 3 5 2 5" xfId="29172" xr:uid="{3927F95C-E1A8-4B2C-944E-C269D22A5A8F}"/>
    <cellStyle name="Normal 2 4 5 3 5 3" xfId="5940" xr:uid="{00000000-0005-0000-0000-000049300000}"/>
    <cellStyle name="Normal 2 4 5 3 5 3 2" xfId="22810" xr:uid="{00000000-0005-0000-0000-00004A300000}"/>
    <cellStyle name="Normal 2 4 5 3 5 3 2 2" xfId="39678" xr:uid="{0D1092AF-9160-47F2-A5FF-11729E732CA2}"/>
    <cellStyle name="Normal 2 4 5 3 5 3 3" xfId="14375" xr:uid="{00000000-0005-0000-0000-00004B300000}"/>
    <cellStyle name="Normal 2 4 5 3 5 3 4" xfId="31244" xr:uid="{7A5EE6AC-93AA-4844-9B93-AF5DB35ACA2A}"/>
    <cellStyle name="Normal 2 4 5 3 5 4" xfId="18592" xr:uid="{00000000-0005-0000-0000-00004C300000}"/>
    <cellStyle name="Normal 2 4 5 3 5 4 2" xfId="35461" xr:uid="{E9A09A47-9447-4CE2-AD46-B9ABD6A9D1F1}"/>
    <cellStyle name="Normal 2 4 5 3 5 5" xfId="10157" xr:uid="{00000000-0005-0000-0000-00004D300000}"/>
    <cellStyle name="Normal 2 4 5 3 5 6" xfId="27027" xr:uid="{946EE321-94B9-49D0-9440-908039CDEF0E}"/>
    <cellStyle name="Normal 2 4 5 3 6" xfId="2046" xr:uid="{00000000-0005-0000-0000-00004E300000}"/>
    <cellStyle name="Normal 2 4 5 3 6 2" xfId="4275" xr:uid="{00000000-0005-0000-0000-00004F300000}"/>
    <cellStyle name="Normal 2 4 5 3 6 2 2" xfId="8498" xr:uid="{00000000-0005-0000-0000-000050300000}"/>
    <cellStyle name="Normal 2 4 5 3 6 2 2 2" xfId="25368" xr:uid="{00000000-0005-0000-0000-000051300000}"/>
    <cellStyle name="Normal 2 4 5 3 6 2 2 2 2" xfId="42236" xr:uid="{51757C88-1CF0-4CCA-A302-3D952D1F7060}"/>
    <cellStyle name="Normal 2 4 5 3 6 2 2 3" xfId="16933" xr:uid="{00000000-0005-0000-0000-000052300000}"/>
    <cellStyle name="Normal 2 4 5 3 6 2 2 4" xfId="33802" xr:uid="{BF346A65-4A4B-4D3D-9510-236A1E7C8447}"/>
    <cellStyle name="Normal 2 4 5 3 6 2 3" xfId="21150" xr:uid="{00000000-0005-0000-0000-000053300000}"/>
    <cellStyle name="Normal 2 4 5 3 6 2 3 2" xfId="38019" xr:uid="{5E5553CA-31E6-4286-B7F8-53B11048D7AA}"/>
    <cellStyle name="Normal 2 4 5 3 6 2 4" xfId="12715" xr:uid="{00000000-0005-0000-0000-000054300000}"/>
    <cellStyle name="Normal 2 4 5 3 6 2 5" xfId="29585" xr:uid="{8A0DCBD5-BCF4-4EAA-8904-F3052706656A}"/>
    <cellStyle name="Normal 2 4 5 3 6 3" xfId="6353" xr:uid="{00000000-0005-0000-0000-000055300000}"/>
    <cellStyle name="Normal 2 4 5 3 6 3 2" xfId="23223" xr:uid="{00000000-0005-0000-0000-000056300000}"/>
    <cellStyle name="Normal 2 4 5 3 6 3 2 2" xfId="40091" xr:uid="{61AC7C5C-0A41-440F-A79E-D5C361772E85}"/>
    <cellStyle name="Normal 2 4 5 3 6 3 3" xfId="14788" xr:uid="{00000000-0005-0000-0000-000057300000}"/>
    <cellStyle name="Normal 2 4 5 3 6 3 4" xfId="31657" xr:uid="{DFBD497C-B97D-4D1A-A300-50C4842C04C2}"/>
    <cellStyle name="Normal 2 4 5 3 6 4" xfId="19005" xr:uid="{00000000-0005-0000-0000-000058300000}"/>
    <cellStyle name="Normal 2 4 5 3 6 4 2" xfId="35874" xr:uid="{922F57BA-FA8C-4958-B3DF-10E804917226}"/>
    <cellStyle name="Normal 2 4 5 3 6 5" xfId="10570" xr:uid="{00000000-0005-0000-0000-000059300000}"/>
    <cellStyle name="Normal 2 4 5 3 6 6" xfId="27440" xr:uid="{242507FD-3727-40A2-8AF4-1D936F7A410C}"/>
    <cellStyle name="Normal 2 4 5 3 7" xfId="2482" xr:uid="{00000000-0005-0000-0000-00005A300000}"/>
    <cellStyle name="Normal 2 4 5 3 7 2" xfId="6766" xr:uid="{00000000-0005-0000-0000-00005B300000}"/>
    <cellStyle name="Normal 2 4 5 3 7 2 2" xfId="23636" xr:uid="{00000000-0005-0000-0000-00005C300000}"/>
    <cellStyle name="Normal 2 4 5 3 7 2 2 2" xfId="40504" xr:uid="{901FA91D-DBEA-40A8-AEF1-CC801AFF0F2B}"/>
    <cellStyle name="Normal 2 4 5 3 7 2 3" xfId="15201" xr:uid="{00000000-0005-0000-0000-00005D300000}"/>
    <cellStyle name="Normal 2 4 5 3 7 2 4" xfId="32070" xr:uid="{34DE621D-405D-43F1-AAFF-19A523B62EC8}"/>
    <cellStyle name="Normal 2 4 5 3 7 3" xfId="19418" xr:uid="{00000000-0005-0000-0000-00005E300000}"/>
    <cellStyle name="Normal 2 4 5 3 7 3 2" xfId="36287" xr:uid="{E31FA391-7697-4EA5-A5A0-59D5ABA71E3C}"/>
    <cellStyle name="Normal 2 4 5 3 7 4" xfId="10983" xr:uid="{00000000-0005-0000-0000-00005F300000}"/>
    <cellStyle name="Normal 2 4 5 3 7 5" xfId="27853" xr:uid="{79E24FF6-FB1C-44B9-AB9E-45132FEDF676}"/>
    <cellStyle name="Normal 2 4 5 3 8" xfId="4700" xr:uid="{00000000-0005-0000-0000-000060300000}"/>
    <cellStyle name="Normal 2 4 5 3 8 2" xfId="21570" xr:uid="{00000000-0005-0000-0000-000061300000}"/>
    <cellStyle name="Normal 2 4 5 3 8 2 2" xfId="38438" xr:uid="{11394F98-B0C2-46E8-A53D-741FAB9ED712}"/>
    <cellStyle name="Normal 2 4 5 3 8 3" xfId="13135" xr:uid="{00000000-0005-0000-0000-000062300000}"/>
    <cellStyle name="Normal 2 4 5 3 8 4" xfId="30004" xr:uid="{44B75360-D0A4-413E-A642-5B90C117FF4B}"/>
    <cellStyle name="Normal 2 4 5 3 9" xfId="17352" xr:uid="{00000000-0005-0000-0000-000063300000}"/>
    <cellStyle name="Normal 2 4 5 3 9 2" xfId="34221" xr:uid="{0DE1EAF6-BDD2-456C-BC79-0BB90E5C8AA9}"/>
    <cellStyle name="Normal 2 4 5 4" xfId="310" xr:uid="{00000000-0005-0000-0000-000064300000}"/>
    <cellStyle name="Normal 2 4 5 4 10" xfId="25789" xr:uid="{1E1E1130-1E46-4592-A211-C1C3DA1D5693}"/>
    <cellStyle name="Normal 2 4 5 4 2" xfId="799" xr:uid="{00000000-0005-0000-0000-000065300000}"/>
    <cellStyle name="Normal 2 4 5 4 2 2" xfId="3038" xr:uid="{00000000-0005-0000-0000-000066300000}"/>
    <cellStyle name="Normal 2 4 5 4 2 2 2" xfId="7261" xr:uid="{00000000-0005-0000-0000-000067300000}"/>
    <cellStyle name="Normal 2 4 5 4 2 2 2 2" xfId="24131" xr:uid="{00000000-0005-0000-0000-000068300000}"/>
    <cellStyle name="Normal 2 4 5 4 2 2 2 2 2" xfId="40999" xr:uid="{899CDE27-DB38-4F7D-90A0-7FFA06B4D69D}"/>
    <cellStyle name="Normal 2 4 5 4 2 2 2 3" xfId="15696" xr:uid="{00000000-0005-0000-0000-000069300000}"/>
    <cellStyle name="Normal 2 4 5 4 2 2 2 4" xfId="32565" xr:uid="{92FBB469-A349-4E35-A807-1EC2F651BEAB}"/>
    <cellStyle name="Normal 2 4 5 4 2 2 3" xfId="19913" xr:uid="{00000000-0005-0000-0000-00006A300000}"/>
    <cellStyle name="Normal 2 4 5 4 2 2 3 2" xfId="36782" xr:uid="{37471319-35A1-4BA8-BB46-08705400CD46}"/>
    <cellStyle name="Normal 2 4 5 4 2 2 4" xfId="11478" xr:uid="{00000000-0005-0000-0000-00006B300000}"/>
    <cellStyle name="Normal 2 4 5 4 2 2 5" xfId="28348" xr:uid="{626251F7-DCA9-4BE2-95DE-3153CBD1FCCC}"/>
    <cellStyle name="Normal 2 4 5 4 2 3" xfId="5116" xr:uid="{00000000-0005-0000-0000-00006C300000}"/>
    <cellStyle name="Normal 2 4 5 4 2 3 2" xfId="21986" xr:uid="{00000000-0005-0000-0000-00006D300000}"/>
    <cellStyle name="Normal 2 4 5 4 2 3 2 2" xfId="38854" xr:uid="{0E12EEAA-B270-4A19-B232-192C5D4EE92B}"/>
    <cellStyle name="Normal 2 4 5 4 2 3 3" xfId="13551" xr:uid="{00000000-0005-0000-0000-00006E300000}"/>
    <cellStyle name="Normal 2 4 5 4 2 3 4" xfId="30420" xr:uid="{49C34EA1-AE28-47EF-BD6F-20D72094B111}"/>
    <cellStyle name="Normal 2 4 5 4 2 4" xfId="17768" xr:uid="{00000000-0005-0000-0000-00006F300000}"/>
    <cellStyle name="Normal 2 4 5 4 2 4 2" xfId="34637" xr:uid="{AE1F2F5B-C972-4298-B04F-2512E6CE6A30}"/>
    <cellStyle name="Normal 2 4 5 4 2 5" xfId="9333" xr:uid="{00000000-0005-0000-0000-000070300000}"/>
    <cellStyle name="Normal 2 4 5 4 2 6" xfId="26203" xr:uid="{214DAD83-EF42-4479-8867-7EA8123867ED}"/>
    <cellStyle name="Normal 2 4 5 4 3" xfId="1221" xr:uid="{00000000-0005-0000-0000-000071300000}"/>
    <cellStyle name="Normal 2 4 5 4 3 2" xfId="3451" xr:uid="{00000000-0005-0000-0000-000072300000}"/>
    <cellStyle name="Normal 2 4 5 4 3 2 2" xfId="7674" xr:uid="{00000000-0005-0000-0000-000073300000}"/>
    <cellStyle name="Normal 2 4 5 4 3 2 2 2" xfId="24544" xr:uid="{00000000-0005-0000-0000-000074300000}"/>
    <cellStyle name="Normal 2 4 5 4 3 2 2 2 2" xfId="41412" xr:uid="{20C1A21E-84DD-45EC-9C36-F663FF4DC374}"/>
    <cellStyle name="Normal 2 4 5 4 3 2 2 3" xfId="16109" xr:uid="{00000000-0005-0000-0000-000075300000}"/>
    <cellStyle name="Normal 2 4 5 4 3 2 2 4" xfId="32978" xr:uid="{89E11DB3-187D-40E8-8AF5-DA3FCEAA006A}"/>
    <cellStyle name="Normal 2 4 5 4 3 2 3" xfId="20326" xr:uid="{00000000-0005-0000-0000-000076300000}"/>
    <cellStyle name="Normal 2 4 5 4 3 2 3 2" xfId="37195" xr:uid="{EFE92B62-9759-48C1-8B1A-F1481F8436C2}"/>
    <cellStyle name="Normal 2 4 5 4 3 2 4" xfId="11891" xr:uid="{00000000-0005-0000-0000-000077300000}"/>
    <cellStyle name="Normal 2 4 5 4 3 2 5" xfId="28761" xr:uid="{704059A1-21A5-479F-8E39-02D67056FCE5}"/>
    <cellStyle name="Normal 2 4 5 4 3 3" xfId="5529" xr:uid="{00000000-0005-0000-0000-000078300000}"/>
    <cellStyle name="Normal 2 4 5 4 3 3 2" xfId="22399" xr:uid="{00000000-0005-0000-0000-000079300000}"/>
    <cellStyle name="Normal 2 4 5 4 3 3 2 2" xfId="39267" xr:uid="{C4E45B06-3BFD-4430-81D4-ADB040483676}"/>
    <cellStyle name="Normal 2 4 5 4 3 3 3" xfId="13964" xr:uid="{00000000-0005-0000-0000-00007A300000}"/>
    <cellStyle name="Normal 2 4 5 4 3 3 4" xfId="30833" xr:uid="{E0F46E6F-4D28-45F3-A581-666C42F913CD}"/>
    <cellStyle name="Normal 2 4 5 4 3 4" xfId="18181" xr:uid="{00000000-0005-0000-0000-00007B300000}"/>
    <cellStyle name="Normal 2 4 5 4 3 4 2" xfId="35050" xr:uid="{D3BD3A51-43DE-43DD-AFC9-26BAF6FD018A}"/>
    <cellStyle name="Normal 2 4 5 4 3 5" xfId="9746" xr:uid="{00000000-0005-0000-0000-00007C300000}"/>
    <cellStyle name="Normal 2 4 5 4 3 6" xfId="26616" xr:uid="{7DB168CC-AC1E-419C-8F73-22E61C18829F}"/>
    <cellStyle name="Normal 2 4 5 4 4" xfId="1634" xr:uid="{00000000-0005-0000-0000-00007D300000}"/>
    <cellStyle name="Normal 2 4 5 4 4 2" xfId="3864" xr:uid="{00000000-0005-0000-0000-00007E300000}"/>
    <cellStyle name="Normal 2 4 5 4 4 2 2" xfId="8087" xr:uid="{00000000-0005-0000-0000-00007F300000}"/>
    <cellStyle name="Normal 2 4 5 4 4 2 2 2" xfId="24957" xr:uid="{00000000-0005-0000-0000-000080300000}"/>
    <cellStyle name="Normal 2 4 5 4 4 2 2 2 2" xfId="41825" xr:uid="{EF525E05-D44E-4BD8-9EC6-538D6A0BE18D}"/>
    <cellStyle name="Normal 2 4 5 4 4 2 2 3" xfId="16522" xr:uid="{00000000-0005-0000-0000-000081300000}"/>
    <cellStyle name="Normal 2 4 5 4 4 2 2 4" xfId="33391" xr:uid="{78961F71-9B8C-45C4-A900-AB010B56C9CC}"/>
    <cellStyle name="Normal 2 4 5 4 4 2 3" xfId="20739" xr:uid="{00000000-0005-0000-0000-000082300000}"/>
    <cellStyle name="Normal 2 4 5 4 4 2 3 2" xfId="37608" xr:uid="{914D5AEE-29C3-419F-A72E-4A1B7916FF6C}"/>
    <cellStyle name="Normal 2 4 5 4 4 2 4" xfId="12304" xr:uid="{00000000-0005-0000-0000-000083300000}"/>
    <cellStyle name="Normal 2 4 5 4 4 2 5" xfId="29174" xr:uid="{11FE67A2-B2D0-46CE-9CB7-1D4755A58B18}"/>
    <cellStyle name="Normal 2 4 5 4 4 3" xfId="5942" xr:uid="{00000000-0005-0000-0000-000084300000}"/>
    <cellStyle name="Normal 2 4 5 4 4 3 2" xfId="22812" xr:uid="{00000000-0005-0000-0000-000085300000}"/>
    <cellStyle name="Normal 2 4 5 4 4 3 2 2" xfId="39680" xr:uid="{E38C3DE0-FFBF-4609-87BE-DB3A6CCC1329}"/>
    <cellStyle name="Normal 2 4 5 4 4 3 3" xfId="14377" xr:uid="{00000000-0005-0000-0000-000086300000}"/>
    <cellStyle name="Normal 2 4 5 4 4 3 4" xfId="31246" xr:uid="{ECF874BD-4405-4751-B82F-036422EFFD95}"/>
    <cellStyle name="Normal 2 4 5 4 4 4" xfId="18594" xr:uid="{00000000-0005-0000-0000-000087300000}"/>
    <cellStyle name="Normal 2 4 5 4 4 4 2" xfId="35463" xr:uid="{D68651E0-DC72-4222-8332-29F12CE1E3E0}"/>
    <cellStyle name="Normal 2 4 5 4 4 5" xfId="10159" xr:uid="{00000000-0005-0000-0000-000088300000}"/>
    <cellStyle name="Normal 2 4 5 4 4 6" xfId="27029" xr:uid="{FAD80546-C489-496E-B85B-291FBE426EBA}"/>
    <cellStyle name="Normal 2 4 5 4 5" xfId="2048" xr:uid="{00000000-0005-0000-0000-000089300000}"/>
    <cellStyle name="Normal 2 4 5 4 5 2" xfId="4277" xr:uid="{00000000-0005-0000-0000-00008A300000}"/>
    <cellStyle name="Normal 2 4 5 4 5 2 2" xfId="8500" xr:uid="{00000000-0005-0000-0000-00008B300000}"/>
    <cellStyle name="Normal 2 4 5 4 5 2 2 2" xfId="25370" xr:uid="{00000000-0005-0000-0000-00008C300000}"/>
    <cellStyle name="Normal 2 4 5 4 5 2 2 2 2" xfId="42238" xr:uid="{9958C92A-9BA5-4EF9-B7DC-5BA68403F317}"/>
    <cellStyle name="Normal 2 4 5 4 5 2 2 3" xfId="16935" xr:uid="{00000000-0005-0000-0000-00008D300000}"/>
    <cellStyle name="Normal 2 4 5 4 5 2 2 4" xfId="33804" xr:uid="{31F53D7F-6997-4101-BF8C-A17B69B99394}"/>
    <cellStyle name="Normal 2 4 5 4 5 2 3" xfId="21152" xr:uid="{00000000-0005-0000-0000-00008E300000}"/>
    <cellStyle name="Normal 2 4 5 4 5 2 3 2" xfId="38021" xr:uid="{9F099100-6E94-4D75-AD02-8D8B71F739A6}"/>
    <cellStyle name="Normal 2 4 5 4 5 2 4" xfId="12717" xr:uid="{00000000-0005-0000-0000-00008F300000}"/>
    <cellStyle name="Normal 2 4 5 4 5 2 5" xfId="29587" xr:uid="{3BB04D78-58CE-4053-94E0-5DC95730B7F8}"/>
    <cellStyle name="Normal 2 4 5 4 5 3" xfId="6355" xr:uid="{00000000-0005-0000-0000-000090300000}"/>
    <cellStyle name="Normal 2 4 5 4 5 3 2" xfId="23225" xr:uid="{00000000-0005-0000-0000-000091300000}"/>
    <cellStyle name="Normal 2 4 5 4 5 3 2 2" xfId="40093" xr:uid="{406FD6C1-C84C-4CC7-8BBC-557D223D5DE8}"/>
    <cellStyle name="Normal 2 4 5 4 5 3 3" xfId="14790" xr:uid="{00000000-0005-0000-0000-000092300000}"/>
    <cellStyle name="Normal 2 4 5 4 5 3 4" xfId="31659" xr:uid="{08DA9F59-6D9C-43DE-83D2-717498991B2E}"/>
    <cellStyle name="Normal 2 4 5 4 5 4" xfId="19007" xr:uid="{00000000-0005-0000-0000-000093300000}"/>
    <cellStyle name="Normal 2 4 5 4 5 4 2" xfId="35876" xr:uid="{55791C57-B488-444B-BB6A-30301BAC4A5A}"/>
    <cellStyle name="Normal 2 4 5 4 5 5" xfId="10572" xr:uid="{00000000-0005-0000-0000-000094300000}"/>
    <cellStyle name="Normal 2 4 5 4 5 6" xfId="27442" xr:uid="{BB38261A-5369-4190-BA55-D1ED016D31CB}"/>
    <cellStyle name="Normal 2 4 5 4 6" xfId="2484" xr:uid="{00000000-0005-0000-0000-000095300000}"/>
    <cellStyle name="Normal 2 4 5 4 6 2" xfId="6768" xr:uid="{00000000-0005-0000-0000-000096300000}"/>
    <cellStyle name="Normal 2 4 5 4 6 2 2" xfId="23638" xr:uid="{00000000-0005-0000-0000-000097300000}"/>
    <cellStyle name="Normal 2 4 5 4 6 2 2 2" xfId="40506" xr:uid="{8C895404-587F-4A21-9685-1B9DA912C239}"/>
    <cellStyle name="Normal 2 4 5 4 6 2 3" xfId="15203" xr:uid="{00000000-0005-0000-0000-000098300000}"/>
    <cellStyle name="Normal 2 4 5 4 6 2 4" xfId="32072" xr:uid="{700D0C65-1546-486F-A8A6-FDDF8D895C51}"/>
    <cellStyle name="Normal 2 4 5 4 6 3" xfId="19420" xr:uid="{00000000-0005-0000-0000-000099300000}"/>
    <cellStyle name="Normal 2 4 5 4 6 3 2" xfId="36289" xr:uid="{7D618524-9D61-4E2E-9E77-4F4E6D0BCAB7}"/>
    <cellStyle name="Normal 2 4 5 4 6 4" xfId="10985" xr:uid="{00000000-0005-0000-0000-00009A300000}"/>
    <cellStyle name="Normal 2 4 5 4 6 5" xfId="27855" xr:uid="{3E82A37A-C79B-4709-A705-BB5B3A33AC96}"/>
    <cellStyle name="Normal 2 4 5 4 7" xfId="4702" xr:uid="{00000000-0005-0000-0000-00009B300000}"/>
    <cellStyle name="Normal 2 4 5 4 7 2" xfId="21572" xr:uid="{00000000-0005-0000-0000-00009C300000}"/>
    <cellStyle name="Normal 2 4 5 4 7 2 2" xfId="38440" xr:uid="{9DA9FA9E-0B1E-4A37-A2F0-4063108A7A50}"/>
    <cellStyle name="Normal 2 4 5 4 7 3" xfId="13137" xr:uid="{00000000-0005-0000-0000-00009D300000}"/>
    <cellStyle name="Normal 2 4 5 4 7 4" xfId="30006" xr:uid="{61D53EA7-28E1-4DC2-8D63-50E7E0BCA55F}"/>
    <cellStyle name="Normal 2 4 5 4 8" xfId="17354" xr:uid="{00000000-0005-0000-0000-00009E300000}"/>
    <cellStyle name="Normal 2 4 5 4 8 2" xfId="34223" xr:uid="{46BC2275-271A-47A6-AE1E-FC69F2421760}"/>
    <cellStyle name="Normal 2 4 5 4 9" xfId="8919" xr:uid="{00000000-0005-0000-0000-00009F300000}"/>
    <cellStyle name="Normal 2 4 5 5" xfId="792" xr:uid="{00000000-0005-0000-0000-0000A0300000}"/>
    <cellStyle name="Normal 2 4 5 5 2" xfId="3031" xr:uid="{00000000-0005-0000-0000-0000A1300000}"/>
    <cellStyle name="Normal 2 4 5 5 2 2" xfId="7254" xr:uid="{00000000-0005-0000-0000-0000A2300000}"/>
    <cellStyle name="Normal 2 4 5 5 2 2 2" xfId="24124" xr:uid="{00000000-0005-0000-0000-0000A3300000}"/>
    <cellStyle name="Normal 2 4 5 5 2 2 2 2" xfId="40992" xr:uid="{BA2019F5-33AF-4791-9D92-C5EDC7212A8E}"/>
    <cellStyle name="Normal 2 4 5 5 2 2 3" xfId="15689" xr:uid="{00000000-0005-0000-0000-0000A4300000}"/>
    <cellStyle name="Normal 2 4 5 5 2 2 4" xfId="32558" xr:uid="{50CB7071-DCD3-4759-A0E1-5EAFF7AFBF31}"/>
    <cellStyle name="Normal 2 4 5 5 2 3" xfId="19906" xr:uid="{00000000-0005-0000-0000-0000A5300000}"/>
    <cellStyle name="Normal 2 4 5 5 2 3 2" xfId="36775" xr:uid="{13A32433-32BB-4959-88D4-3633E4BC4856}"/>
    <cellStyle name="Normal 2 4 5 5 2 4" xfId="11471" xr:uid="{00000000-0005-0000-0000-0000A6300000}"/>
    <cellStyle name="Normal 2 4 5 5 2 5" xfId="28341" xr:uid="{333C3A89-9A9B-4BCC-B00A-D2EC6144380B}"/>
    <cellStyle name="Normal 2 4 5 5 3" xfId="5109" xr:uid="{00000000-0005-0000-0000-0000A7300000}"/>
    <cellStyle name="Normal 2 4 5 5 3 2" xfId="21979" xr:uid="{00000000-0005-0000-0000-0000A8300000}"/>
    <cellStyle name="Normal 2 4 5 5 3 2 2" xfId="38847" xr:uid="{26BDF4CF-FFF5-4816-86B6-24013CA74249}"/>
    <cellStyle name="Normal 2 4 5 5 3 3" xfId="13544" xr:uid="{00000000-0005-0000-0000-0000A9300000}"/>
    <cellStyle name="Normal 2 4 5 5 3 4" xfId="30413" xr:uid="{4090B8C3-82A2-479A-8B36-56B0DEDE3E75}"/>
    <cellStyle name="Normal 2 4 5 5 4" xfId="17761" xr:uid="{00000000-0005-0000-0000-0000AA300000}"/>
    <cellStyle name="Normal 2 4 5 5 4 2" xfId="34630" xr:uid="{C0DEFFB3-65CB-48BC-9AEC-9FD95A253083}"/>
    <cellStyle name="Normal 2 4 5 5 5" xfId="9326" xr:uid="{00000000-0005-0000-0000-0000AB300000}"/>
    <cellStyle name="Normal 2 4 5 5 6" xfId="26196" xr:uid="{382FD73A-71B0-4B90-8EAB-902372716A07}"/>
    <cellStyle name="Normal 2 4 5 6" xfId="1214" xr:uid="{00000000-0005-0000-0000-0000AC300000}"/>
    <cellStyle name="Normal 2 4 5 6 2" xfId="3444" xr:uid="{00000000-0005-0000-0000-0000AD300000}"/>
    <cellStyle name="Normal 2 4 5 6 2 2" xfId="7667" xr:uid="{00000000-0005-0000-0000-0000AE300000}"/>
    <cellStyle name="Normal 2 4 5 6 2 2 2" xfId="24537" xr:uid="{00000000-0005-0000-0000-0000AF300000}"/>
    <cellStyle name="Normal 2 4 5 6 2 2 2 2" xfId="41405" xr:uid="{3E3322EA-9774-4B08-9FC9-27D626072C39}"/>
    <cellStyle name="Normal 2 4 5 6 2 2 3" xfId="16102" xr:uid="{00000000-0005-0000-0000-0000B0300000}"/>
    <cellStyle name="Normal 2 4 5 6 2 2 4" xfId="32971" xr:uid="{910E3F2B-F8E0-411E-9C8F-3EFF80FD3F75}"/>
    <cellStyle name="Normal 2 4 5 6 2 3" xfId="20319" xr:uid="{00000000-0005-0000-0000-0000B1300000}"/>
    <cellStyle name="Normal 2 4 5 6 2 3 2" xfId="37188" xr:uid="{9F470B7F-0612-4065-8E3E-840E7FEF0DFC}"/>
    <cellStyle name="Normal 2 4 5 6 2 4" xfId="11884" xr:uid="{00000000-0005-0000-0000-0000B2300000}"/>
    <cellStyle name="Normal 2 4 5 6 2 5" xfId="28754" xr:uid="{1407F61F-DFCD-4F4D-815E-C9CF09E2B093}"/>
    <cellStyle name="Normal 2 4 5 6 3" xfId="5522" xr:uid="{00000000-0005-0000-0000-0000B3300000}"/>
    <cellStyle name="Normal 2 4 5 6 3 2" xfId="22392" xr:uid="{00000000-0005-0000-0000-0000B4300000}"/>
    <cellStyle name="Normal 2 4 5 6 3 2 2" xfId="39260" xr:uid="{DAF946FB-7A33-45BF-B41B-EBD7A969147D}"/>
    <cellStyle name="Normal 2 4 5 6 3 3" xfId="13957" xr:uid="{00000000-0005-0000-0000-0000B5300000}"/>
    <cellStyle name="Normal 2 4 5 6 3 4" xfId="30826" xr:uid="{DC340481-2613-454B-ACB2-D138D61BD78D}"/>
    <cellStyle name="Normal 2 4 5 6 4" xfId="18174" xr:uid="{00000000-0005-0000-0000-0000B6300000}"/>
    <cellStyle name="Normal 2 4 5 6 4 2" xfId="35043" xr:uid="{36D05943-30D7-452B-99A8-ED93D4BE521E}"/>
    <cellStyle name="Normal 2 4 5 6 5" xfId="9739" xr:uid="{00000000-0005-0000-0000-0000B7300000}"/>
    <cellStyle name="Normal 2 4 5 6 6" xfId="26609" xr:uid="{C01A40C8-205E-4039-AD92-203504ADC2F0}"/>
    <cellStyle name="Normal 2 4 5 7" xfId="1627" xr:uid="{00000000-0005-0000-0000-0000B8300000}"/>
    <cellStyle name="Normal 2 4 5 7 2" xfId="3857" xr:uid="{00000000-0005-0000-0000-0000B9300000}"/>
    <cellStyle name="Normal 2 4 5 7 2 2" xfId="8080" xr:uid="{00000000-0005-0000-0000-0000BA300000}"/>
    <cellStyle name="Normal 2 4 5 7 2 2 2" xfId="24950" xr:uid="{00000000-0005-0000-0000-0000BB300000}"/>
    <cellStyle name="Normal 2 4 5 7 2 2 2 2" xfId="41818" xr:uid="{75AFF3BA-0088-4C38-BBF5-47003ADF793D}"/>
    <cellStyle name="Normal 2 4 5 7 2 2 3" xfId="16515" xr:uid="{00000000-0005-0000-0000-0000BC300000}"/>
    <cellStyle name="Normal 2 4 5 7 2 2 4" xfId="33384" xr:uid="{911F5E99-999D-49C1-B302-5C5C0F713DC2}"/>
    <cellStyle name="Normal 2 4 5 7 2 3" xfId="20732" xr:uid="{00000000-0005-0000-0000-0000BD300000}"/>
    <cellStyle name="Normal 2 4 5 7 2 3 2" xfId="37601" xr:uid="{EABBE4DE-CE84-4633-BC4C-C0C6D7D036DB}"/>
    <cellStyle name="Normal 2 4 5 7 2 4" xfId="12297" xr:uid="{00000000-0005-0000-0000-0000BE300000}"/>
    <cellStyle name="Normal 2 4 5 7 2 5" xfId="29167" xr:uid="{D59D2AC4-DD22-4124-9FD7-D4DB4E5E3896}"/>
    <cellStyle name="Normal 2 4 5 7 3" xfId="5935" xr:uid="{00000000-0005-0000-0000-0000BF300000}"/>
    <cellStyle name="Normal 2 4 5 7 3 2" xfId="22805" xr:uid="{00000000-0005-0000-0000-0000C0300000}"/>
    <cellStyle name="Normal 2 4 5 7 3 2 2" xfId="39673" xr:uid="{A6D50A99-E0A8-492E-992A-EB260C8195AD}"/>
    <cellStyle name="Normal 2 4 5 7 3 3" xfId="14370" xr:uid="{00000000-0005-0000-0000-0000C1300000}"/>
    <cellStyle name="Normal 2 4 5 7 3 4" xfId="31239" xr:uid="{8065A0C2-FC08-4374-9A26-72E94BB567F4}"/>
    <cellStyle name="Normal 2 4 5 7 4" xfId="18587" xr:uid="{00000000-0005-0000-0000-0000C2300000}"/>
    <cellStyle name="Normal 2 4 5 7 4 2" xfId="35456" xr:uid="{D3D74EC8-1A62-4D01-BBDB-A9D8F4BD8DBF}"/>
    <cellStyle name="Normal 2 4 5 7 5" xfId="10152" xr:uid="{00000000-0005-0000-0000-0000C3300000}"/>
    <cellStyle name="Normal 2 4 5 7 6" xfId="27022" xr:uid="{A7BBDA1D-CAB8-41F9-A11B-292F18272BDA}"/>
    <cellStyle name="Normal 2 4 5 8" xfId="2041" xr:uid="{00000000-0005-0000-0000-0000C4300000}"/>
    <cellStyle name="Normal 2 4 5 8 2" xfId="4270" xr:uid="{00000000-0005-0000-0000-0000C5300000}"/>
    <cellStyle name="Normal 2 4 5 8 2 2" xfId="8493" xr:uid="{00000000-0005-0000-0000-0000C6300000}"/>
    <cellStyle name="Normal 2 4 5 8 2 2 2" xfId="25363" xr:uid="{00000000-0005-0000-0000-0000C7300000}"/>
    <cellStyle name="Normal 2 4 5 8 2 2 2 2" xfId="42231" xr:uid="{6D9AF149-7982-4CF7-9443-F0C9AF72B507}"/>
    <cellStyle name="Normal 2 4 5 8 2 2 3" xfId="16928" xr:uid="{00000000-0005-0000-0000-0000C8300000}"/>
    <cellStyle name="Normal 2 4 5 8 2 2 4" xfId="33797" xr:uid="{4487AEBC-C61F-4E46-BEAF-1F5A4B94789C}"/>
    <cellStyle name="Normal 2 4 5 8 2 3" xfId="21145" xr:uid="{00000000-0005-0000-0000-0000C9300000}"/>
    <cellStyle name="Normal 2 4 5 8 2 3 2" xfId="38014" xr:uid="{FAD2C559-3613-4AF9-8925-85A4D4C6AA82}"/>
    <cellStyle name="Normal 2 4 5 8 2 4" xfId="12710" xr:uid="{00000000-0005-0000-0000-0000CA300000}"/>
    <cellStyle name="Normal 2 4 5 8 2 5" xfId="29580" xr:uid="{E095E1B8-5D7C-412D-9D91-2CAD3315EEA0}"/>
    <cellStyle name="Normal 2 4 5 8 3" xfId="6348" xr:uid="{00000000-0005-0000-0000-0000CB300000}"/>
    <cellStyle name="Normal 2 4 5 8 3 2" xfId="23218" xr:uid="{00000000-0005-0000-0000-0000CC300000}"/>
    <cellStyle name="Normal 2 4 5 8 3 2 2" xfId="40086" xr:uid="{96099877-0ADA-483D-A41F-20750D0C19D1}"/>
    <cellStyle name="Normal 2 4 5 8 3 3" xfId="14783" xr:uid="{00000000-0005-0000-0000-0000CD300000}"/>
    <cellStyle name="Normal 2 4 5 8 3 4" xfId="31652" xr:uid="{A6B65A93-DC94-4AA5-BC5A-6B5EBD79075B}"/>
    <cellStyle name="Normal 2 4 5 8 4" xfId="19000" xr:uid="{00000000-0005-0000-0000-0000CE300000}"/>
    <cellStyle name="Normal 2 4 5 8 4 2" xfId="35869" xr:uid="{36C72AED-FE24-45FB-B7CD-B721CF2E678C}"/>
    <cellStyle name="Normal 2 4 5 8 5" xfId="10565" xr:uid="{00000000-0005-0000-0000-0000CF300000}"/>
    <cellStyle name="Normal 2 4 5 8 6" xfId="27435" xr:uid="{341B6ED5-2AA7-40D3-B245-151710E83EFF}"/>
    <cellStyle name="Normal 2 4 5 9" xfId="2477" xr:uid="{00000000-0005-0000-0000-0000D0300000}"/>
    <cellStyle name="Normal 2 4 5 9 2" xfId="6761" xr:uid="{00000000-0005-0000-0000-0000D1300000}"/>
    <cellStyle name="Normal 2 4 5 9 2 2" xfId="23631" xr:uid="{00000000-0005-0000-0000-0000D2300000}"/>
    <cellStyle name="Normal 2 4 5 9 2 2 2" xfId="40499" xr:uid="{ACAC9C7C-BB63-493E-AA40-FFFB9F2A460A}"/>
    <cellStyle name="Normal 2 4 5 9 2 3" xfId="15196" xr:uid="{00000000-0005-0000-0000-0000D3300000}"/>
    <cellStyle name="Normal 2 4 5 9 2 4" xfId="32065" xr:uid="{5FE07B00-EC75-4432-B390-2D201EFE1442}"/>
    <cellStyle name="Normal 2 4 5 9 3" xfId="19413" xr:uid="{00000000-0005-0000-0000-0000D4300000}"/>
    <cellStyle name="Normal 2 4 5 9 3 2" xfId="36282" xr:uid="{901ED9B7-511D-497B-9B00-433B42722D2A}"/>
    <cellStyle name="Normal 2 4 5 9 4" xfId="10978" xr:uid="{00000000-0005-0000-0000-0000D5300000}"/>
    <cellStyle name="Normal 2 4 5 9 5" xfId="27848" xr:uid="{121568E4-9BCF-4B70-804C-714C659FB618}"/>
    <cellStyle name="Normal 2 4 6" xfId="311" xr:uid="{00000000-0005-0000-0000-0000D6300000}"/>
    <cellStyle name="Normal 2 4 7" xfId="312" xr:uid="{00000000-0005-0000-0000-0000D7300000}"/>
    <cellStyle name="Normal 2 4 7 10" xfId="8920" xr:uid="{00000000-0005-0000-0000-0000D8300000}"/>
    <cellStyle name="Normal 2 4 7 11" xfId="25790" xr:uid="{A003F93F-7435-4E7B-869E-E7BF408A7E5A}"/>
    <cellStyle name="Normal 2 4 7 2" xfId="313" xr:uid="{00000000-0005-0000-0000-0000D9300000}"/>
    <cellStyle name="Normal 2 4 7 2 10" xfId="25791" xr:uid="{772FA6DF-E7E5-4573-918B-9CC68D2006EB}"/>
    <cellStyle name="Normal 2 4 7 2 2" xfId="801" xr:uid="{00000000-0005-0000-0000-0000DA300000}"/>
    <cellStyle name="Normal 2 4 7 2 2 2" xfId="3040" xr:uid="{00000000-0005-0000-0000-0000DB300000}"/>
    <cellStyle name="Normal 2 4 7 2 2 2 2" xfId="7263" xr:uid="{00000000-0005-0000-0000-0000DC300000}"/>
    <cellStyle name="Normal 2 4 7 2 2 2 2 2" xfId="24133" xr:uid="{00000000-0005-0000-0000-0000DD300000}"/>
    <cellStyle name="Normal 2 4 7 2 2 2 2 2 2" xfId="41001" xr:uid="{8A4786F8-9DA4-4655-9023-F533645DA0BE}"/>
    <cellStyle name="Normal 2 4 7 2 2 2 2 3" xfId="15698" xr:uid="{00000000-0005-0000-0000-0000DE300000}"/>
    <cellStyle name="Normal 2 4 7 2 2 2 2 4" xfId="32567" xr:uid="{8DADC67A-0038-464A-B040-2D9F720F6A61}"/>
    <cellStyle name="Normal 2 4 7 2 2 2 3" xfId="19915" xr:uid="{00000000-0005-0000-0000-0000DF300000}"/>
    <cellStyle name="Normal 2 4 7 2 2 2 3 2" xfId="36784" xr:uid="{A62E1BF6-14AE-434E-A480-2F28F2FD7908}"/>
    <cellStyle name="Normal 2 4 7 2 2 2 4" xfId="11480" xr:uid="{00000000-0005-0000-0000-0000E0300000}"/>
    <cellStyle name="Normal 2 4 7 2 2 2 5" xfId="28350" xr:uid="{B69D5818-E52B-4858-8C76-78B8216C0F33}"/>
    <cellStyle name="Normal 2 4 7 2 2 3" xfId="5118" xr:uid="{00000000-0005-0000-0000-0000E1300000}"/>
    <cellStyle name="Normal 2 4 7 2 2 3 2" xfId="21988" xr:uid="{00000000-0005-0000-0000-0000E2300000}"/>
    <cellStyle name="Normal 2 4 7 2 2 3 2 2" xfId="38856" xr:uid="{D387B9FE-8249-4F01-99E3-C5A2D777528F}"/>
    <cellStyle name="Normal 2 4 7 2 2 3 3" xfId="13553" xr:uid="{00000000-0005-0000-0000-0000E3300000}"/>
    <cellStyle name="Normal 2 4 7 2 2 3 4" xfId="30422" xr:uid="{37CF93C6-1D7E-4DF6-B801-20891F5D5446}"/>
    <cellStyle name="Normal 2 4 7 2 2 4" xfId="17770" xr:uid="{00000000-0005-0000-0000-0000E4300000}"/>
    <cellStyle name="Normal 2 4 7 2 2 4 2" xfId="34639" xr:uid="{A7877A55-A5ED-47DF-BDF1-6C34AEE10DC7}"/>
    <cellStyle name="Normal 2 4 7 2 2 5" xfId="9335" xr:uid="{00000000-0005-0000-0000-0000E5300000}"/>
    <cellStyle name="Normal 2 4 7 2 2 6" xfId="26205" xr:uid="{9A062880-6A42-4E24-ACE0-B1D8E4DBB8D7}"/>
    <cellStyle name="Normal 2 4 7 2 3" xfId="1223" xr:uid="{00000000-0005-0000-0000-0000E6300000}"/>
    <cellStyle name="Normal 2 4 7 2 3 2" xfId="3453" xr:uid="{00000000-0005-0000-0000-0000E7300000}"/>
    <cellStyle name="Normal 2 4 7 2 3 2 2" xfId="7676" xr:uid="{00000000-0005-0000-0000-0000E8300000}"/>
    <cellStyle name="Normal 2 4 7 2 3 2 2 2" xfId="24546" xr:uid="{00000000-0005-0000-0000-0000E9300000}"/>
    <cellStyle name="Normal 2 4 7 2 3 2 2 2 2" xfId="41414" xr:uid="{4459CAA8-6C3D-44C1-81B5-98C5C0574182}"/>
    <cellStyle name="Normal 2 4 7 2 3 2 2 3" xfId="16111" xr:uid="{00000000-0005-0000-0000-0000EA300000}"/>
    <cellStyle name="Normal 2 4 7 2 3 2 2 4" xfId="32980" xr:uid="{C0CFE2A6-D38B-445A-964E-9913614D1AEC}"/>
    <cellStyle name="Normal 2 4 7 2 3 2 3" xfId="20328" xr:uid="{00000000-0005-0000-0000-0000EB300000}"/>
    <cellStyle name="Normal 2 4 7 2 3 2 3 2" xfId="37197" xr:uid="{28292F3B-0980-45B9-8DE8-754899BB5C4B}"/>
    <cellStyle name="Normal 2 4 7 2 3 2 4" xfId="11893" xr:uid="{00000000-0005-0000-0000-0000EC300000}"/>
    <cellStyle name="Normal 2 4 7 2 3 2 5" xfId="28763" xr:uid="{29E6D671-6373-466C-9961-6C3D039963EC}"/>
    <cellStyle name="Normal 2 4 7 2 3 3" xfId="5531" xr:uid="{00000000-0005-0000-0000-0000ED300000}"/>
    <cellStyle name="Normal 2 4 7 2 3 3 2" xfId="22401" xr:uid="{00000000-0005-0000-0000-0000EE300000}"/>
    <cellStyle name="Normal 2 4 7 2 3 3 2 2" xfId="39269" xr:uid="{316F2963-C653-41F2-92AE-1E2C13C76A3B}"/>
    <cellStyle name="Normal 2 4 7 2 3 3 3" xfId="13966" xr:uid="{00000000-0005-0000-0000-0000EF300000}"/>
    <cellStyle name="Normal 2 4 7 2 3 3 4" xfId="30835" xr:uid="{FA48E9DA-1251-4011-AB22-ACF511E79050}"/>
    <cellStyle name="Normal 2 4 7 2 3 4" xfId="18183" xr:uid="{00000000-0005-0000-0000-0000F0300000}"/>
    <cellStyle name="Normal 2 4 7 2 3 4 2" xfId="35052" xr:uid="{49841B72-47D4-4D35-8715-076062DDB9D2}"/>
    <cellStyle name="Normal 2 4 7 2 3 5" xfId="9748" xr:uid="{00000000-0005-0000-0000-0000F1300000}"/>
    <cellStyle name="Normal 2 4 7 2 3 6" xfId="26618" xr:uid="{F737A37A-FC9A-43A1-8A0E-DD6403D7B4CD}"/>
    <cellStyle name="Normal 2 4 7 2 4" xfId="1636" xr:uid="{00000000-0005-0000-0000-0000F2300000}"/>
    <cellStyle name="Normal 2 4 7 2 4 2" xfId="3866" xr:uid="{00000000-0005-0000-0000-0000F3300000}"/>
    <cellStyle name="Normal 2 4 7 2 4 2 2" xfId="8089" xr:uid="{00000000-0005-0000-0000-0000F4300000}"/>
    <cellStyle name="Normal 2 4 7 2 4 2 2 2" xfId="24959" xr:uid="{00000000-0005-0000-0000-0000F5300000}"/>
    <cellStyle name="Normal 2 4 7 2 4 2 2 2 2" xfId="41827" xr:uid="{1152CFD5-A541-4474-B00F-BC9839182DD9}"/>
    <cellStyle name="Normal 2 4 7 2 4 2 2 3" xfId="16524" xr:uid="{00000000-0005-0000-0000-0000F6300000}"/>
    <cellStyle name="Normal 2 4 7 2 4 2 2 4" xfId="33393" xr:uid="{1E000316-6C22-48D5-8139-50EED5D06188}"/>
    <cellStyle name="Normal 2 4 7 2 4 2 3" xfId="20741" xr:uid="{00000000-0005-0000-0000-0000F7300000}"/>
    <cellStyle name="Normal 2 4 7 2 4 2 3 2" xfId="37610" xr:uid="{CFCB258D-7D2A-4C56-9139-072B445C324C}"/>
    <cellStyle name="Normal 2 4 7 2 4 2 4" xfId="12306" xr:uid="{00000000-0005-0000-0000-0000F8300000}"/>
    <cellStyle name="Normal 2 4 7 2 4 2 5" xfId="29176" xr:uid="{F13C141B-8CD1-4196-9610-7C165C1FC846}"/>
    <cellStyle name="Normal 2 4 7 2 4 3" xfId="5944" xr:uid="{00000000-0005-0000-0000-0000F9300000}"/>
    <cellStyle name="Normal 2 4 7 2 4 3 2" xfId="22814" xr:uid="{00000000-0005-0000-0000-0000FA300000}"/>
    <cellStyle name="Normal 2 4 7 2 4 3 2 2" xfId="39682" xr:uid="{0A367CC7-5E93-4DB8-8F5C-2C1DB39E84A6}"/>
    <cellStyle name="Normal 2 4 7 2 4 3 3" xfId="14379" xr:uid="{00000000-0005-0000-0000-0000FB300000}"/>
    <cellStyle name="Normal 2 4 7 2 4 3 4" xfId="31248" xr:uid="{F91C850C-BDA7-4000-8532-B3FE951B49F9}"/>
    <cellStyle name="Normal 2 4 7 2 4 4" xfId="18596" xr:uid="{00000000-0005-0000-0000-0000FC300000}"/>
    <cellStyle name="Normal 2 4 7 2 4 4 2" xfId="35465" xr:uid="{B4FE0215-1531-4FEF-BE63-ED12C0686168}"/>
    <cellStyle name="Normal 2 4 7 2 4 5" xfId="10161" xr:uid="{00000000-0005-0000-0000-0000FD300000}"/>
    <cellStyle name="Normal 2 4 7 2 4 6" xfId="27031" xr:uid="{950F953D-89F2-4DAD-AECE-EE78DACC09CC}"/>
    <cellStyle name="Normal 2 4 7 2 5" xfId="2050" xr:uid="{00000000-0005-0000-0000-0000FE300000}"/>
    <cellStyle name="Normal 2 4 7 2 5 2" xfId="4279" xr:uid="{00000000-0005-0000-0000-0000FF300000}"/>
    <cellStyle name="Normal 2 4 7 2 5 2 2" xfId="8502" xr:uid="{00000000-0005-0000-0000-000000310000}"/>
    <cellStyle name="Normal 2 4 7 2 5 2 2 2" xfId="25372" xr:uid="{00000000-0005-0000-0000-000001310000}"/>
    <cellStyle name="Normal 2 4 7 2 5 2 2 2 2" xfId="42240" xr:uid="{61597A07-0551-4B00-BB29-3681F399C082}"/>
    <cellStyle name="Normal 2 4 7 2 5 2 2 3" xfId="16937" xr:uid="{00000000-0005-0000-0000-000002310000}"/>
    <cellStyle name="Normal 2 4 7 2 5 2 2 4" xfId="33806" xr:uid="{B7F0347A-727B-4B85-84CD-0BA69E4D8BFB}"/>
    <cellStyle name="Normal 2 4 7 2 5 2 3" xfId="21154" xr:uid="{00000000-0005-0000-0000-000003310000}"/>
    <cellStyle name="Normal 2 4 7 2 5 2 3 2" xfId="38023" xr:uid="{BBBC75B6-7BD0-495F-AE93-C689F6EDA46A}"/>
    <cellStyle name="Normal 2 4 7 2 5 2 4" xfId="12719" xr:uid="{00000000-0005-0000-0000-000004310000}"/>
    <cellStyle name="Normal 2 4 7 2 5 2 5" xfId="29589" xr:uid="{5B3A9042-317B-4775-A6F2-85921A18F275}"/>
    <cellStyle name="Normal 2 4 7 2 5 3" xfId="6357" xr:uid="{00000000-0005-0000-0000-000005310000}"/>
    <cellStyle name="Normal 2 4 7 2 5 3 2" xfId="23227" xr:uid="{00000000-0005-0000-0000-000006310000}"/>
    <cellStyle name="Normal 2 4 7 2 5 3 2 2" xfId="40095" xr:uid="{EF5414F0-4D43-4AD2-8B15-F6ADAF824ACE}"/>
    <cellStyle name="Normal 2 4 7 2 5 3 3" xfId="14792" xr:uid="{00000000-0005-0000-0000-000007310000}"/>
    <cellStyle name="Normal 2 4 7 2 5 3 4" xfId="31661" xr:uid="{26F9FA2A-BF11-4E37-A3FD-9B584AAD91A9}"/>
    <cellStyle name="Normal 2 4 7 2 5 4" xfId="19009" xr:uid="{00000000-0005-0000-0000-000008310000}"/>
    <cellStyle name="Normal 2 4 7 2 5 4 2" xfId="35878" xr:uid="{E9C70F29-DA48-4586-A024-2E078CCC7C53}"/>
    <cellStyle name="Normal 2 4 7 2 5 5" xfId="10574" xr:uid="{00000000-0005-0000-0000-000009310000}"/>
    <cellStyle name="Normal 2 4 7 2 5 6" xfId="27444" xr:uid="{CAB2020C-6C5A-446C-88CC-7CE6805A8841}"/>
    <cellStyle name="Normal 2 4 7 2 6" xfId="2486" xr:uid="{00000000-0005-0000-0000-00000A310000}"/>
    <cellStyle name="Normal 2 4 7 2 6 2" xfId="6770" xr:uid="{00000000-0005-0000-0000-00000B310000}"/>
    <cellStyle name="Normal 2 4 7 2 6 2 2" xfId="23640" xr:uid="{00000000-0005-0000-0000-00000C310000}"/>
    <cellStyle name="Normal 2 4 7 2 6 2 2 2" xfId="40508" xr:uid="{405102B5-BA3C-4CFA-B41A-EE75DBB095D1}"/>
    <cellStyle name="Normal 2 4 7 2 6 2 3" xfId="15205" xr:uid="{00000000-0005-0000-0000-00000D310000}"/>
    <cellStyle name="Normal 2 4 7 2 6 2 4" xfId="32074" xr:uid="{123AC78A-91DF-407B-BF36-06E195413E3E}"/>
    <cellStyle name="Normal 2 4 7 2 6 3" xfId="19422" xr:uid="{00000000-0005-0000-0000-00000E310000}"/>
    <cellStyle name="Normal 2 4 7 2 6 3 2" xfId="36291" xr:uid="{368D4622-E430-4EDC-A45B-2A44A1B76DDB}"/>
    <cellStyle name="Normal 2 4 7 2 6 4" xfId="10987" xr:uid="{00000000-0005-0000-0000-00000F310000}"/>
    <cellStyle name="Normal 2 4 7 2 6 5" xfId="27857" xr:uid="{80DF096D-86CD-4087-8F88-A839B5F70283}"/>
    <cellStyle name="Normal 2 4 7 2 7" xfId="4704" xr:uid="{00000000-0005-0000-0000-000010310000}"/>
    <cellStyle name="Normal 2 4 7 2 7 2" xfId="21574" xr:uid="{00000000-0005-0000-0000-000011310000}"/>
    <cellStyle name="Normal 2 4 7 2 7 2 2" xfId="38442" xr:uid="{0428C393-E5C6-48F9-9290-3BDD4F9A79E9}"/>
    <cellStyle name="Normal 2 4 7 2 7 3" xfId="13139" xr:uid="{00000000-0005-0000-0000-000012310000}"/>
    <cellStyle name="Normal 2 4 7 2 7 4" xfId="30008" xr:uid="{2F0BFF57-5D0C-4B83-B465-31D610C58D43}"/>
    <cellStyle name="Normal 2 4 7 2 8" xfId="17356" xr:uid="{00000000-0005-0000-0000-000013310000}"/>
    <cellStyle name="Normal 2 4 7 2 8 2" xfId="34225" xr:uid="{434E97C6-7408-4448-A980-637D3062E73A}"/>
    <cellStyle name="Normal 2 4 7 2 9" xfId="8921" xr:uid="{00000000-0005-0000-0000-000014310000}"/>
    <cellStyle name="Normal 2 4 7 3" xfId="800" xr:uid="{00000000-0005-0000-0000-000015310000}"/>
    <cellStyle name="Normal 2 4 7 3 2" xfId="3039" xr:uid="{00000000-0005-0000-0000-000016310000}"/>
    <cellStyle name="Normal 2 4 7 3 2 2" xfId="7262" xr:uid="{00000000-0005-0000-0000-000017310000}"/>
    <cellStyle name="Normal 2 4 7 3 2 2 2" xfId="24132" xr:uid="{00000000-0005-0000-0000-000018310000}"/>
    <cellStyle name="Normal 2 4 7 3 2 2 2 2" xfId="41000" xr:uid="{3B6F127F-2232-4C8A-8C1D-2DD72CBF732A}"/>
    <cellStyle name="Normal 2 4 7 3 2 2 3" xfId="15697" xr:uid="{00000000-0005-0000-0000-000019310000}"/>
    <cellStyle name="Normal 2 4 7 3 2 2 4" xfId="32566" xr:uid="{91D72D55-E909-4845-AC4F-C0B46A9EDFB5}"/>
    <cellStyle name="Normal 2 4 7 3 2 3" xfId="19914" xr:uid="{00000000-0005-0000-0000-00001A310000}"/>
    <cellStyle name="Normal 2 4 7 3 2 3 2" xfId="36783" xr:uid="{37B630A6-46B1-4FBA-B5A3-B29DA73776C6}"/>
    <cellStyle name="Normal 2 4 7 3 2 4" xfId="11479" xr:uid="{00000000-0005-0000-0000-00001B310000}"/>
    <cellStyle name="Normal 2 4 7 3 2 5" xfId="28349" xr:uid="{949085F9-4F2A-4E8C-BBED-A3F41CC747B4}"/>
    <cellStyle name="Normal 2 4 7 3 3" xfId="5117" xr:uid="{00000000-0005-0000-0000-00001C310000}"/>
    <cellStyle name="Normal 2 4 7 3 3 2" xfId="21987" xr:uid="{00000000-0005-0000-0000-00001D310000}"/>
    <cellStyle name="Normal 2 4 7 3 3 2 2" xfId="38855" xr:uid="{E71AEF27-E3B2-467D-991E-0F7C3F9D5CA6}"/>
    <cellStyle name="Normal 2 4 7 3 3 3" xfId="13552" xr:uid="{00000000-0005-0000-0000-00001E310000}"/>
    <cellStyle name="Normal 2 4 7 3 3 4" xfId="30421" xr:uid="{4C92DB00-997A-497E-A87B-84055341AB3D}"/>
    <cellStyle name="Normal 2 4 7 3 4" xfId="17769" xr:uid="{00000000-0005-0000-0000-00001F310000}"/>
    <cellStyle name="Normal 2 4 7 3 4 2" xfId="34638" xr:uid="{1080AFE8-0F13-4333-A246-0CCA056D598D}"/>
    <cellStyle name="Normal 2 4 7 3 5" xfId="9334" xr:uid="{00000000-0005-0000-0000-000020310000}"/>
    <cellStyle name="Normal 2 4 7 3 6" xfId="26204" xr:uid="{BCDADEE2-B580-43F3-B206-9EB7B7D6175A}"/>
    <cellStyle name="Normal 2 4 7 4" xfId="1222" xr:uid="{00000000-0005-0000-0000-000021310000}"/>
    <cellStyle name="Normal 2 4 7 4 2" xfId="3452" xr:uid="{00000000-0005-0000-0000-000022310000}"/>
    <cellStyle name="Normal 2 4 7 4 2 2" xfId="7675" xr:uid="{00000000-0005-0000-0000-000023310000}"/>
    <cellStyle name="Normal 2 4 7 4 2 2 2" xfId="24545" xr:uid="{00000000-0005-0000-0000-000024310000}"/>
    <cellStyle name="Normal 2 4 7 4 2 2 2 2" xfId="41413" xr:uid="{D533582D-DB97-4C1C-BF7C-05A2C3C20631}"/>
    <cellStyle name="Normal 2 4 7 4 2 2 3" xfId="16110" xr:uid="{00000000-0005-0000-0000-000025310000}"/>
    <cellStyle name="Normal 2 4 7 4 2 2 4" xfId="32979" xr:uid="{E0BE7B8E-5154-41AD-98C8-8AF77E6F3642}"/>
    <cellStyle name="Normal 2 4 7 4 2 3" xfId="20327" xr:uid="{00000000-0005-0000-0000-000026310000}"/>
    <cellStyle name="Normal 2 4 7 4 2 3 2" xfId="37196" xr:uid="{C43A5849-54D8-4AFE-B2A5-74A202A16BE9}"/>
    <cellStyle name="Normal 2 4 7 4 2 4" xfId="11892" xr:uid="{00000000-0005-0000-0000-000027310000}"/>
    <cellStyle name="Normal 2 4 7 4 2 5" xfId="28762" xr:uid="{9AE514E4-5404-4A0C-9B7A-23CF3B8F022E}"/>
    <cellStyle name="Normal 2 4 7 4 3" xfId="5530" xr:uid="{00000000-0005-0000-0000-000028310000}"/>
    <cellStyle name="Normal 2 4 7 4 3 2" xfId="22400" xr:uid="{00000000-0005-0000-0000-000029310000}"/>
    <cellStyle name="Normal 2 4 7 4 3 2 2" xfId="39268" xr:uid="{4700D112-90E9-47FD-9173-2431A6CEBC72}"/>
    <cellStyle name="Normal 2 4 7 4 3 3" xfId="13965" xr:uid="{00000000-0005-0000-0000-00002A310000}"/>
    <cellStyle name="Normal 2 4 7 4 3 4" xfId="30834" xr:uid="{954849CB-9A22-478F-AC48-C96844E0DF8D}"/>
    <cellStyle name="Normal 2 4 7 4 4" xfId="18182" xr:uid="{00000000-0005-0000-0000-00002B310000}"/>
    <cellStyle name="Normal 2 4 7 4 4 2" xfId="35051" xr:uid="{1E2B889A-B88D-4733-A20D-49E672E96CB1}"/>
    <cellStyle name="Normal 2 4 7 4 5" xfId="9747" xr:uid="{00000000-0005-0000-0000-00002C310000}"/>
    <cellStyle name="Normal 2 4 7 4 6" xfId="26617" xr:uid="{DDBF4191-1C51-4247-8EFA-3A51FFD50864}"/>
    <cellStyle name="Normal 2 4 7 5" xfId="1635" xr:uid="{00000000-0005-0000-0000-00002D310000}"/>
    <cellStyle name="Normal 2 4 7 5 2" xfId="3865" xr:uid="{00000000-0005-0000-0000-00002E310000}"/>
    <cellStyle name="Normal 2 4 7 5 2 2" xfId="8088" xr:uid="{00000000-0005-0000-0000-00002F310000}"/>
    <cellStyle name="Normal 2 4 7 5 2 2 2" xfId="24958" xr:uid="{00000000-0005-0000-0000-000030310000}"/>
    <cellStyle name="Normal 2 4 7 5 2 2 2 2" xfId="41826" xr:uid="{8322B3BC-9DC5-47B9-96F6-644577C9A338}"/>
    <cellStyle name="Normal 2 4 7 5 2 2 3" xfId="16523" xr:uid="{00000000-0005-0000-0000-000031310000}"/>
    <cellStyle name="Normal 2 4 7 5 2 2 4" xfId="33392" xr:uid="{47247581-1139-4EE1-AD1B-A67DD6681855}"/>
    <cellStyle name="Normal 2 4 7 5 2 3" xfId="20740" xr:uid="{00000000-0005-0000-0000-000032310000}"/>
    <cellStyle name="Normal 2 4 7 5 2 3 2" xfId="37609" xr:uid="{D0190A8E-7A8C-4CA5-BE27-D43043E0030E}"/>
    <cellStyle name="Normal 2 4 7 5 2 4" xfId="12305" xr:uid="{00000000-0005-0000-0000-000033310000}"/>
    <cellStyle name="Normal 2 4 7 5 2 5" xfId="29175" xr:uid="{5A6057B4-E429-4F0E-977D-6C52DA1F90D3}"/>
    <cellStyle name="Normal 2 4 7 5 3" xfId="5943" xr:uid="{00000000-0005-0000-0000-000034310000}"/>
    <cellStyle name="Normal 2 4 7 5 3 2" xfId="22813" xr:uid="{00000000-0005-0000-0000-000035310000}"/>
    <cellStyle name="Normal 2 4 7 5 3 2 2" xfId="39681" xr:uid="{7FC4E894-D933-4808-B993-5153D31C32B3}"/>
    <cellStyle name="Normal 2 4 7 5 3 3" xfId="14378" xr:uid="{00000000-0005-0000-0000-000036310000}"/>
    <cellStyle name="Normal 2 4 7 5 3 4" xfId="31247" xr:uid="{9258065C-487F-4E88-A0B4-64F7152E5B78}"/>
    <cellStyle name="Normal 2 4 7 5 4" xfId="18595" xr:uid="{00000000-0005-0000-0000-000037310000}"/>
    <cellStyle name="Normal 2 4 7 5 4 2" xfId="35464" xr:uid="{2EBEB9D4-0657-48AD-821B-BDBF48358073}"/>
    <cellStyle name="Normal 2 4 7 5 5" xfId="10160" xr:uid="{00000000-0005-0000-0000-000038310000}"/>
    <cellStyle name="Normal 2 4 7 5 6" xfId="27030" xr:uid="{05A440B6-893D-4145-AB6D-19A8C526126B}"/>
    <cellStyle name="Normal 2 4 7 6" xfId="2049" xr:uid="{00000000-0005-0000-0000-000039310000}"/>
    <cellStyle name="Normal 2 4 7 6 2" xfId="4278" xr:uid="{00000000-0005-0000-0000-00003A310000}"/>
    <cellStyle name="Normal 2 4 7 6 2 2" xfId="8501" xr:uid="{00000000-0005-0000-0000-00003B310000}"/>
    <cellStyle name="Normal 2 4 7 6 2 2 2" xfId="25371" xr:uid="{00000000-0005-0000-0000-00003C310000}"/>
    <cellStyle name="Normal 2 4 7 6 2 2 2 2" xfId="42239" xr:uid="{BCC6E0E9-16E1-4F7A-B905-352E30320679}"/>
    <cellStyle name="Normal 2 4 7 6 2 2 3" xfId="16936" xr:uid="{00000000-0005-0000-0000-00003D310000}"/>
    <cellStyle name="Normal 2 4 7 6 2 2 4" xfId="33805" xr:uid="{5B5BF499-0443-4AEE-BAD8-F22652E460D7}"/>
    <cellStyle name="Normal 2 4 7 6 2 3" xfId="21153" xr:uid="{00000000-0005-0000-0000-00003E310000}"/>
    <cellStyle name="Normal 2 4 7 6 2 3 2" xfId="38022" xr:uid="{3A147284-0B15-4C1F-AE53-B60E7A3C0BAA}"/>
    <cellStyle name="Normal 2 4 7 6 2 4" xfId="12718" xr:uid="{00000000-0005-0000-0000-00003F310000}"/>
    <cellStyle name="Normal 2 4 7 6 2 5" xfId="29588" xr:uid="{C6DF3F76-E2B7-42F7-9C90-EEB704583714}"/>
    <cellStyle name="Normal 2 4 7 6 3" xfId="6356" xr:uid="{00000000-0005-0000-0000-000040310000}"/>
    <cellStyle name="Normal 2 4 7 6 3 2" xfId="23226" xr:uid="{00000000-0005-0000-0000-000041310000}"/>
    <cellStyle name="Normal 2 4 7 6 3 2 2" xfId="40094" xr:uid="{2D459147-D30C-4F15-8BDC-8C6B28A9C595}"/>
    <cellStyle name="Normal 2 4 7 6 3 3" xfId="14791" xr:uid="{00000000-0005-0000-0000-000042310000}"/>
    <cellStyle name="Normal 2 4 7 6 3 4" xfId="31660" xr:uid="{FD5663D7-FE38-43E7-8CF4-BC37073070D5}"/>
    <cellStyle name="Normal 2 4 7 6 4" xfId="19008" xr:uid="{00000000-0005-0000-0000-000043310000}"/>
    <cellStyle name="Normal 2 4 7 6 4 2" xfId="35877" xr:uid="{669E66EE-6BFF-44AE-B9D0-1E510A289D9E}"/>
    <cellStyle name="Normal 2 4 7 6 5" xfId="10573" xr:uid="{00000000-0005-0000-0000-000044310000}"/>
    <cellStyle name="Normal 2 4 7 6 6" xfId="27443" xr:uid="{B8441281-E085-4ED9-B67D-D1D9CA4812BF}"/>
    <cellStyle name="Normal 2 4 7 7" xfId="2485" xr:uid="{00000000-0005-0000-0000-000045310000}"/>
    <cellStyle name="Normal 2 4 7 7 2" xfId="6769" xr:uid="{00000000-0005-0000-0000-000046310000}"/>
    <cellStyle name="Normal 2 4 7 7 2 2" xfId="23639" xr:uid="{00000000-0005-0000-0000-000047310000}"/>
    <cellStyle name="Normal 2 4 7 7 2 2 2" xfId="40507" xr:uid="{19B46EB4-1ECD-43AE-95F7-A679E4E1892E}"/>
    <cellStyle name="Normal 2 4 7 7 2 3" xfId="15204" xr:uid="{00000000-0005-0000-0000-000048310000}"/>
    <cellStyle name="Normal 2 4 7 7 2 4" xfId="32073" xr:uid="{A0376B37-28E2-4A27-9932-B410FC97308B}"/>
    <cellStyle name="Normal 2 4 7 7 3" xfId="19421" xr:uid="{00000000-0005-0000-0000-000049310000}"/>
    <cellStyle name="Normal 2 4 7 7 3 2" xfId="36290" xr:uid="{690D63D6-0449-4223-929F-3D61C887BAED}"/>
    <cellStyle name="Normal 2 4 7 7 4" xfId="10986" xr:uid="{00000000-0005-0000-0000-00004A310000}"/>
    <cellStyle name="Normal 2 4 7 7 5" xfId="27856" xr:uid="{60C24C39-5406-408F-BF49-2E939828BE32}"/>
    <cellStyle name="Normal 2 4 7 8" xfId="4703" xr:uid="{00000000-0005-0000-0000-00004B310000}"/>
    <cellStyle name="Normal 2 4 7 8 2" xfId="21573" xr:uid="{00000000-0005-0000-0000-00004C310000}"/>
    <cellStyle name="Normal 2 4 7 8 2 2" xfId="38441" xr:uid="{0D616E67-9D4B-41E8-B767-CBE600234596}"/>
    <cellStyle name="Normal 2 4 7 8 3" xfId="13138" xr:uid="{00000000-0005-0000-0000-00004D310000}"/>
    <cellStyle name="Normal 2 4 7 8 4" xfId="30007" xr:uid="{A9FA828C-AEBF-4881-9835-51E0914FA0EA}"/>
    <cellStyle name="Normal 2 4 7 9" xfId="17355" xr:uid="{00000000-0005-0000-0000-00004E310000}"/>
    <cellStyle name="Normal 2 4 7 9 2" xfId="34224" xr:uid="{738DCFE3-AAD0-432A-9A2C-ECF9A23E448A}"/>
    <cellStyle name="Normal 2 4 8" xfId="314" xr:uid="{00000000-0005-0000-0000-00004F310000}"/>
    <cellStyle name="Normal 2 4 8 10" xfId="25792" xr:uid="{3966A3D1-28A5-44CB-8BFC-7685400D5DFE}"/>
    <cellStyle name="Normal 2 4 8 2" xfId="802" xr:uid="{00000000-0005-0000-0000-000050310000}"/>
    <cellStyle name="Normal 2 4 8 2 2" xfId="3041" xr:uid="{00000000-0005-0000-0000-000051310000}"/>
    <cellStyle name="Normal 2 4 8 2 2 2" xfId="7264" xr:uid="{00000000-0005-0000-0000-000052310000}"/>
    <cellStyle name="Normal 2 4 8 2 2 2 2" xfId="24134" xr:uid="{00000000-0005-0000-0000-000053310000}"/>
    <cellStyle name="Normal 2 4 8 2 2 2 2 2" xfId="41002" xr:uid="{F21918F3-1BBB-4CC5-831E-176DD85B4728}"/>
    <cellStyle name="Normal 2 4 8 2 2 2 3" xfId="15699" xr:uid="{00000000-0005-0000-0000-000054310000}"/>
    <cellStyle name="Normal 2 4 8 2 2 2 4" xfId="32568" xr:uid="{36A3E68B-9E03-40C6-990A-209BA82BC6C9}"/>
    <cellStyle name="Normal 2 4 8 2 2 3" xfId="19916" xr:uid="{00000000-0005-0000-0000-000055310000}"/>
    <cellStyle name="Normal 2 4 8 2 2 3 2" xfId="36785" xr:uid="{CDAF59FB-B0FA-4147-B0A2-4690DD24D6E0}"/>
    <cellStyle name="Normal 2 4 8 2 2 4" xfId="11481" xr:uid="{00000000-0005-0000-0000-000056310000}"/>
    <cellStyle name="Normal 2 4 8 2 2 5" xfId="28351" xr:uid="{0BB38125-2581-4A98-AE3F-21674531B954}"/>
    <cellStyle name="Normal 2 4 8 2 3" xfId="5119" xr:uid="{00000000-0005-0000-0000-000057310000}"/>
    <cellStyle name="Normal 2 4 8 2 3 2" xfId="21989" xr:uid="{00000000-0005-0000-0000-000058310000}"/>
    <cellStyle name="Normal 2 4 8 2 3 2 2" xfId="38857" xr:uid="{56E43D55-1A5D-44C0-B5D7-7F4727EAC1F6}"/>
    <cellStyle name="Normal 2 4 8 2 3 3" xfId="13554" xr:uid="{00000000-0005-0000-0000-000059310000}"/>
    <cellStyle name="Normal 2 4 8 2 3 4" xfId="30423" xr:uid="{DC314DEE-CD2B-460C-A394-A10BBCC0C53E}"/>
    <cellStyle name="Normal 2 4 8 2 4" xfId="17771" xr:uid="{00000000-0005-0000-0000-00005A310000}"/>
    <cellStyle name="Normal 2 4 8 2 4 2" xfId="34640" xr:uid="{43983206-BBEE-4A1F-8499-CA1850EC4835}"/>
    <cellStyle name="Normal 2 4 8 2 5" xfId="9336" xr:uid="{00000000-0005-0000-0000-00005B310000}"/>
    <cellStyle name="Normal 2 4 8 2 6" xfId="26206" xr:uid="{42CA9B3F-A0B5-40D1-9402-1470E2A52146}"/>
    <cellStyle name="Normal 2 4 8 3" xfId="1224" xr:uid="{00000000-0005-0000-0000-00005C310000}"/>
    <cellStyle name="Normal 2 4 8 3 2" xfId="3454" xr:uid="{00000000-0005-0000-0000-00005D310000}"/>
    <cellStyle name="Normal 2 4 8 3 2 2" xfId="7677" xr:uid="{00000000-0005-0000-0000-00005E310000}"/>
    <cellStyle name="Normal 2 4 8 3 2 2 2" xfId="24547" xr:uid="{00000000-0005-0000-0000-00005F310000}"/>
    <cellStyle name="Normal 2 4 8 3 2 2 2 2" xfId="41415" xr:uid="{56098F05-39D7-4C1F-88AB-B4D456CFFC16}"/>
    <cellStyle name="Normal 2 4 8 3 2 2 3" xfId="16112" xr:uid="{00000000-0005-0000-0000-000060310000}"/>
    <cellStyle name="Normal 2 4 8 3 2 2 4" xfId="32981" xr:uid="{D92C3470-D468-4524-A0FB-8734BDB6E03E}"/>
    <cellStyle name="Normal 2 4 8 3 2 3" xfId="20329" xr:uid="{00000000-0005-0000-0000-000061310000}"/>
    <cellStyle name="Normal 2 4 8 3 2 3 2" xfId="37198" xr:uid="{768B55EA-E7BF-46B0-8148-0892D2FC7905}"/>
    <cellStyle name="Normal 2 4 8 3 2 4" xfId="11894" xr:uid="{00000000-0005-0000-0000-000062310000}"/>
    <cellStyle name="Normal 2 4 8 3 2 5" xfId="28764" xr:uid="{16A64958-7E07-4FBB-A4C0-5DA871A8233B}"/>
    <cellStyle name="Normal 2 4 8 3 3" xfId="5532" xr:uid="{00000000-0005-0000-0000-000063310000}"/>
    <cellStyle name="Normal 2 4 8 3 3 2" xfId="22402" xr:uid="{00000000-0005-0000-0000-000064310000}"/>
    <cellStyle name="Normal 2 4 8 3 3 2 2" xfId="39270" xr:uid="{581D41A8-8A18-4E3F-A54D-5566CC5549F0}"/>
    <cellStyle name="Normal 2 4 8 3 3 3" xfId="13967" xr:uid="{00000000-0005-0000-0000-000065310000}"/>
    <cellStyle name="Normal 2 4 8 3 3 4" xfId="30836" xr:uid="{6958B56E-B663-4013-BAD6-78326708EF55}"/>
    <cellStyle name="Normal 2 4 8 3 4" xfId="18184" xr:uid="{00000000-0005-0000-0000-000066310000}"/>
    <cellStyle name="Normal 2 4 8 3 4 2" xfId="35053" xr:uid="{390AABE4-2280-4EB6-BB56-D0B0160D4F3F}"/>
    <cellStyle name="Normal 2 4 8 3 5" xfId="9749" xr:uid="{00000000-0005-0000-0000-000067310000}"/>
    <cellStyle name="Normal 2 4 8 3 6" xfId="26619" xr:uid="{E1872B0C-9C85-4847-8C5B-BA9F661F600E}"/>
    <cellStyle name="Normal 2 4 8 4" xfId="1637" xr:uid="{00000000-0005-0000-0000-000068310000}"/>
    <cellStyle name="Normal 2 4 8 4 2" xfId="3867" xr:uid="{00000000-0005-0000-0000-000069310000}"/>
    <cellStyle name="Normal 2 4 8 4 2 2" xfId="8090" xr:uid="{00000000-0005-0000-0000-00006A310000}"/>
    <cellStyle name="Normal 2 4 8 4 2 2 2" xfId="24960" xr:uid="{00000000-0005-0000-0000-00006B310000}"/>
    <cellStyle name="Normal 2 4 8 4 2 2 2 2" xfId="41828" xr:uid="{A8EB9F37-2554-41A3-9BE1-8C9933C67CCA}"/>
    <cellStyle name="Normal 2 4 8 4 2 2 3" xfId="16525" xr:uid="{00000000-0005-0000-0000-00006C310000}"/>
    <cellStyle name="Normal 2 4 8 4 2 2 4" xfId="33394" xr:uid="{9E687952-CCEC-4AF4-BA61-DAC063FE691A}"/>
    <cellStyle name="Normal 2 4 8 4 2 3" xfId="20742" xr:uid="{00000000-0005-0000-0000-00006D310000}"/>
    <cellStyle name="Normal 2 4 8 4 2 3 2" xfId="37611" xr:uid="{6DFA3893-C76C-47AF-A7C2-1D8DE6A4144C}"/>
    <cellStyle name="Normal 2 4 8 4 2 4" xfId="12307" xr:uid="{00000000-0005-0000-0000-00006E310000}"/>
    <cellStyle name="Normal 2 4 8 4 2 5" xfId="29177" xr:uid="{AC3C6F2F-1F59-4353-8A2B-1658A46FBFB0}"/>
    <cellStyle name="Normal 2 4 8 4 3" xfId="5945" xr:uid="{00000000-0005-0000-0000-00006F310000}"/>
    <cellStyle name="Normal 2 4 8 4 3 2" xfId="22815" xr:uid="{00000000-0005-0000-0000-000070310000}"/>
    <cellStyle name="Normal 2 4 8 4 3 2 2" xfId="39683" xr:uid="{C1358E8B-7067-40F5-B5FD-C2E10FD08BCF}"/>
    <cellStyle name="Normal 2 4 8 4 3 3" xfId="14380" xr:uid="{00000000-0005-0000-0000-000071310000}"/>
    <cellStyle name="Normal 2 4 8 4 3 4" xfId="31249" xr:uid="{FB9A7255-E5F5-432A-93A5-536B690229F8}"/>
    <cellStyle name="Normal 2 4 8 4 4" xfId="18597" xr:uid="{00000000-0005-0000-0000-000072310000}"/>
    <cellStyle name="Normal 2 4 8 4 4 2" xfId="35466" xr:uid="{35BCD628-55C1-44D5-A4F7-CA45FFA268CB}"/>
    <cellStyle name="Normal 2 4 8 4 5" xfId="10162" xr:uid="{00000000-0005-0000-0000-000073310000}"/>
    <cellStyle name="Normal 2 4 8 4 6" xfId="27032" xr:uid="{325550E5-9929-487E-A7EB-DE586E1BB483}"/>
    <cellStyle name="Normal 2 4 8 5" xfId="2051" xr:uid="{00000000-0005-0000-0000-000074310000}"/>
    <cellStyle name="Normal 2 4 8 5 2" xfId="4280" xr:uid="{00000000-0005-0000-0000-000075310000}"/>
    <cellStyle name="Normal 2 4 8 5 2 2" xfId="8503" xr:uid="{00000000-0005-0000-0000-000076310000}"/>
    <cellStyle name="Normal 2 4 8 5 2 2 2" xfId="25373" xr:uid="{00000000-0005-0000-0000-000077310000}"/>
    <cellStyle name="Normal 2 4 8 5 2 2 2 2" xfId="42241" xr:uid="{9610E7F6-048A-4B88-9108-02D29C152A6A}"/>
    <cellStyle name="Normal 2 4 8 5 2 2 3" xfId="16938" xr:uid="{00000000-0005-0000-0000-000078310000}"/>
    <cellStyle name="Normal 2 4 8 5 2 2 4" xfId="33807" xr:uid="{2E912454-E6C2-48A0-8CC5-FF929A37A014}"/>
    <cellStyle name="Normal 2 4 8 5 2 3" xfId="21155" xr:uid="{00000000-0005-0000-0000-000079310000}"/>
    <cellStyle name="Normal 2 4 8 5 2 3 2" xfId="38024" xr:uid="{3455D23F-94EA-44F0-B147-4E84102C8F27}"/>
    <cellStyle name="Normal 2 4 8 5 2 4" xfId="12720" xr:uid="{00000000-0005-0000-0000-00007A310000}"/>
    <cellStyle name="Normal 2 4 8 5 2 5" xfId="29590" xr:uid="{B5AA5215-F18C-4BA9-8357-3B32881FFBDF}"/>
    <cellStyle name="Normal 2 4 8 5 3" xfId="6358" xr:uid="{00000000-0005-0000-0000-00007B310000}"/>
    <cellStyle name="Normal 2 4 8 5 3 2" xfId="23228" xr:uid="{00000000-0005-0000-0000-00007C310000}"/>
    <cellStyle name="Normal 2 4 8 5 3 2 2" xfId="40096" xr:uid="{5F2DB888-BC0E-4E7D-811E-755890E92BA2}"/>
    <cellStyle name="Normal 2 4 8 5 3 3" xfId="14793" xr:uid="{00000000-0005-0000-0000-00007D310000}"/>
    <cellStyle name="Normal 2 4 8 5 3 4" xfId="31662" xr:uid="{CDF8737C-946E-46BA-8476-1BC2119BAF2A}"/>
    <cellStyle name="Normal 2 4 8 5 4" xfId="19010" xr:uid="{00000000-0005-0000-0000-00007E310000}"/>
    <cellStyle name="Normal 2 4 8 5 4 2" xfId="35879" xr:uid="{D8908EA5-2A87-4041-9354-D328599CC8CF}"/>
    <cellStyle name="Normal 2 4 8 5 5" xfId="10575" xr:uid="{00000000-0005-0000-0000-00007F310000}"/>
    <cellStyle name="Normal 2 4 8 5 6" xfId="27445" xr:uid="{63B53ABB-BA36-4226-AEF6-6F70D7210653}"/>
    <cellStyle name="Normal 2 4 8 6" xfId="2487" xr:uid="{00000000-0005-0000-0000-000080310000}"/>
    <cellStyle name="Normal 2 4 8 6 2" xfId="6771" xr:uid="{00000000-0005-0000-0000-000081310000}"/>
    <cellStyle name="Normal 2 4 8 6 2 2" xfId="23641" xr:uid="{00000000-0005-0000-0000-000082310000}"/>
    <cellStyle name="Normal 2 4 8 6 2 2 2" xfId="40509" xr:uid="{41C8D8F8-A512-4740-8A12-CA051C86EE31}"/>
    <cellStyle name="Normal 2 4 8 6 2 3" xfId="15206" xr:uid="{00000000-0005-0000-0000-000083310000}"/>
    <cellStyle name="Normal 2 4 8 6 2 4" xfId="32075" xr:uid="{5E1C7E69-31E9-4112-9239-93B3F56BEB28}"/>
    <cellStyle name="Normal 2 4 8 6 3" xfId="19423" xr:uid="{00000000-0005-0000-0000-000084310000}"/>
    <cellStyle name="Normal 2 4 8 6 3 2" xfId="36292" xr:uid="{97D1467B-C60C-43A4-9A34-A836F179D8D7}"/>
    <cellStyle name="Normal 2 4 8 6 4" xfId="10988" xr:uid="{00000000-0005-0000-0000-000085310000}"/>
    <cellStyle name="Normal 2 4 8 6 5" xfId="27858" xr:uid="{CC302F83-33B6-46AB-99CD-0C4EA2A36ADD}"/>
    <cellStyle name="Normal 2 4 8 7" xfId="4705" xr:uid="{00000000-0005-0000-0000-000086310000}"/>
    <cellStyle name="Normal 2 4 8 7 2" xfId="21575" xr:uid="{00000000-0005-0000-0000-000087310000}"/>
    <cellStyle name="Normal 2 4 8 7 2 2" xfId="38443" xr:uid="{2DD233D1-55E7-4236-BAFD-04512C4AB133}"/>
    <cellStyle name="Normal 2 4 8 7 3" xfId="13140" xr:uid="{00000000-0005-0000-0000-000088310000}"/>
    <cellStyle name="Normal 2 4 8 7 4" xfId="30009" xr:uid="{502F67F6-7B54-415A-8C44-7363E18BBE96}"/>
    <cellStyle name="Normal 2 4 8 8" xfId="17357" xr:uid="{00000000-0005-0000-0000-000089310000}"/>
    <cellStyle name="Normal 2 4 8 8 2" xfId="34226" xr:uid="{6F05238B-DD7B-45A9-9B4E-651A3ACF4F99}"/>
    <cellStyle name="Normal 2 4 8 9" xfId="8922" xr:uid="{00000000-0005-0000-0000-00008A310000}"/>
    <cellStyle name="Normal 2 5" xfId="315" xr:uid="{00000000-0005-0000-0000-00008B310000}"/>
    <cellStyle name="Normal 2 5 10" xfId="4706" xr:uid="{00000000-0005-0000-0000-00008C310000}"/>
    <cellStyle name="Normal 2 5 10 2" xfId="21576" xr:uid="{00000000-0005-0000-0000-00008D310000}"/>
    <cellStyle name="Normal 2 5 10 2 2" xfId="38444" xr:uid="{09A3F524-7CE0-4A82-AC4E-8E6BE561BC26}"/>
    <cellStyle name="Normal 2 5 10 3" xfId="13141" xr:uid="{00000000-0005-0000-0000-00008E310000}"/>
    <cellStyle name="Normal 2 5 10 4" xfId="30010" xr:uid="{3EF0BB1A-2F02-4E8D-8E80-303A56727FE7}"/>
    <cellStyle name="Normal 2 5 11" xfId="17358" xr:uid="{00000000-0005-0000-0000-00008F310000}"/>
    <cellStyle name="Normal 2 5 11 2" xfId="34227" xr:uid="{F59935E1-57D3-4DB7-AABF-80661F32C182}"/>
    <cellStyle name="Normal 2 5 12" xfId="8923" xr:uid="{00000000-0005-0000-0000-000090310000}"/>
    <cellStyle name="Normal 2 5 13" xfId="25793" xr:uid="{FA27CC61-C0A6-478D-9142-36A3A4DC6DE7}"/>
    <cellStyle name="Normal 2 5 2" xfId="316" xr:uid="{00000000-0005-0000-0000-000091310000}"/>
    <cellStyle name="Normal 2 5 3" xfId="317" xr:uid="{00000000-0005-0000-0000-000092310000}"/>
    <cellStyle name="Normal 2 5 4" xfId="318" xr:uid="{00000000-0005-0000-0000-000093310000}"/>
    <cellStyle name="Normal 2 5 4 10" xfId="17359" xr:uid="{00000000-0005-0000-0000-000094310000}"/>
    <cellStyle name="Normal 2 5 4 10 2" xfId="34228" xr:uid="{0B075AAC-2FCD-4F89-9090-395D6268D1B3}"/>
    <cellStyle name="Normal 2 5 4 11" xfId="8924" xr:uid="{00000000-0005-0000-0000-000095310000}"/>
    <cellStyle name="Normal 2 5 4 12" xfId="25794" xr:uid="{13A4423F-A881-4E79-B0C2-7BFEF7E6A066}"/>
    <cellStyle name="Normal 2 5 4 2" xfId="319" xr:uid="{00000000-0005-0000-0000-000096310000}"/>
    <cellStyle name="Normal 2 5 4 2 10" xfId="8925" xr:uid="{00000000-0005-0000-0000-000097310000}"/>
    <cellStyle name="Normal 2 5 4 2 11" xfId="25795" xr:uid="{1A52BBA9-0D75-437E-BE49-626EE33EBAC6}"/>
    <cellStyle name="Normal 2 5 4 2 2" xfId="320" xr:uid="{00000000-0005-0000-0000-000098310000}"/>
    <cellStyle name="Normal 2 5 4 2 2 10" xfId="25796" xr:uid="{D7419CC3-B5A1-4D0D-827F-DFA897C4D93C}"/>
    <cellStyle name="Normal 2 5 4 2 2 2" xfId="806" xr:uid="{00000000-0005-0000-0000-000099310000}"/>
    <cellStyle name="Normal 2 5 4 2 2 2 2" xfId="3045" xr:uid="{00000000-0005-0000-0000-00009A310000}"/>
    <cellStyle name="Normal 2 5 4 2 2 2 2 2" xfId="7268" xr:uid="{00000000-0005-0000-0000-00009B310000}"/>
    <cellStyle name="Normal 2 5 4 2 2 2 2 2 2" xfId="24138" xr:uid="{00000000-0005-0000-0000-00009C310000}"/>
    <cellStyle name="Normal 2 5 4 2 2 2 2 2 2 2" xfId="41006" xr:uid="{6B45025A-FF79-41F7-BEDA-BCDC25979F19}"/>
    <cellStyle name="Normal 2 5 4 2 2 2 2 2 3" xfId="15703" xr:uid="{00000000-0005-0000-0000-00009D310000}"/>
    <cellStyle name="Normal 2 5 4 2 2 2 2 2 4" xfId="32572" xr:uid="{0F0563FD-D275-4707-BAEE-467EED7CEA35}"/>
    <cellStyle name="Normal 2 5 4 2 2 2 2 3" xfId="19920" xr:uid="{00000000-0005-0000-0000-00009E310000}"/>
    <cellStyle name="Normal 2 5 4 2 2 2 2 3 2" xfId="36789" xr:uid="{ED59230F-637D-48A3-BA8F-325BBECBAEE6}"/>
    <cellStyle name="Normal 2 5 4 2 2 2 2 4" xfId="11485" xr:uid="{00000000-0005-0000-0000-00009F310000}"/>
    <cellStyle name="Normal 2 5 4 2 2 2 2 5" xfId="28355" xr:uid="{E0C9111B-EF35-46D2-86D3-405FF25C058F}"/>
    <cellStyle name="Normal 2 5 4 2 2 2 3" xfId="5123" xr:uid="{00000000-0005-0000-0000-0000A0310000}"/>
    <cellStyle name="Normal 2 5 4 2 2 2 3 2" xfId="21993" xr:uid="{00000000-0005-0000-0000-0000A1310000}"/>
    <cellStyle name="Normal 2 5 4 2 2 2 3 2 2" xfId="38861" xr:uid="{F8BA6B8D-7B76-4424-919A-6DA6DF212F54}"/>
    <cellStyle name="Normal 2 5 4 2 2 2 3 3" xfId="13558" xr:uid="{00000000-0005-0000-0000-0000A2310000}"/>
    <cellStyle name="Normal 2 5 4 2 2 2 3 4" xfId="30427" xr:uid="{90542751-EAAD-47A7-A538-914332445192}"/>
    <cellStyle name="Normal 2 5 4 2 2 2 4" xfId="17775" xr:uid="{00000000-0005-0000-0000-0000A3310000}"/>
    <cellStyle name="Normal 2 5 4 2 2 2 4 2" xfId="34644" xr:uid="{629D6E23-07A2-4DD9-8757-630D6129591C}"/>
    <cellStyle name="Normal 2 5 4 2 2 2 5" xfId="9340" xr:uid="{00000000-0005-0000-0000-0000A4310000}"/>
    <cellStyle name="Normal 2 5 4 2 2 2 6" xfId="26210" xr:uid="{B7A332F0-CCF1-4687-9B50-0D20AEC422DB}"/>
    <cellStyle name="Normal 2 5 4 2 2 3" xfId="1228" xr:uid="{00000000-0005-0000-0000-0000A5310000}"/>
    <cellStyle name="Normal 2 5 4 2 2 3 2" xfId="3458" xr:uid="{00000000-0005-0000-0000-0000A6310000}"/>
    <cellStyle name="Normal 2 5 4 2 2 3 2 2" xfId="7681" xr:uid="{00000000-0005-0000-0000-0000A7310000}"/>
    <cellStyle name="Normal 2 5 4 2 2 3 2 2 2" xfId="24551" xr:uid="{00000000-0005-0000-0000-0000A8310000}"/>
    <cellStyle name="Normal 2 5 4 2 2 3 2 2 2 2" xfId="41419" xr:uid="{9FCC9AD9-EBC7-44B8-BE61-934BACA8D0FA}"/>
    <cellStyle name="Normal 2 5 4 2 2 3 2 2 3" xfId="16116" xr:uid="{00000000-0005-0000-0000-0000A9310000}"/>
    <cellStyle name="Normal 2 5 4 2 2 3 2 2 4" xfId="32985" xr:uid="{B605DAE5-EF7D-4316-B069-0963A7326E52}"/>
    <cellStyle name="Normal 2 5 4 2 2 3 2 3" xfId="20333" xr:uid="{00000000-0005-0000-0000-0000AA310000}"/>
    <cellStyle name="Normal 2 5 4 2 2 3 2 3 2" xfId="37202" xr:uid="{B6E5BD42-09D0-4877-B0B6-43121638FD7E}"/>
    <cellStyle name="Normal 2 5 4 2 2 3 2 4" xfId="11898" xr:uid="{00000000-0005-0000-0000-0000AB310000}"/>
    <cellStyle name="Normal 2 5 4 2 2 3 2 5" xfId="28768" xr:uid="{4C82A6EF-9E54-4848-AA5E-C4ECA0D59313}"/>
    <cellStyle name="Normal 2 5 4 2 2 3 3" xfId="5536" xr:uid="{00000000-0005-0000-0000-0000AC310000}"/>
    <cellStyle name="Normal 2 5 4 2 2 3 3 2" xfId="22406" xr:uid="{00000000-0005-0000-0000-0000AD310000}"/>
    <cellStyle name="Normal 2 5 4 2 2 3 3 2 2" xfId="39274" xr:uid="{FE4C829A-73DC-4C94-BBAE-DB189FB0C00B}"/>
    <cellStyle name="Normal 2 5 4 2 2 3 3 3" xfId="13971" xr:uid="{00000000-0005-0000-0000-0000AE310000}"/>
    <cellStyle name="Normal 2 5 4 2 2 3 3 4" xfId="30840" xr:uid="{DD07D1D6-9018-40CA-8E48-D04D544279BB}"/>
    <cellStyle name="Normal 2 5 4 2 2 3 4" xfId="18188" xr:uid="{00000000-0005-0000-0000-0000AF310000}"/>
    <cellStyle name="Normal 2 5 4 2 2 3 4 2" xfId="35057" xr:uid="{1FE27F28-ADEC-4239-B6EF-73478328961E}"/>
    <cellStyle name="Normal 2 5 4 2 2 3 5" xfId="9753" xr:uid="{00000000-0005-0000-0000-0000B0310000}"/>
    <cellStyle name="Normal 2 5 4 2 2 3 6" xfId="26623" xr:uid="{FDC946F8-0B82-400C-B389-E84FC9647377}"/>
    <cellStyle name="Normal 2 5 4 2 2 4" xfId="1641" xr:uid="{00000000-0005-0000-0000-0000B1310000}"/>
    <cellStyle name="Normal 2 5 4 2 2 4 2" xfId="3871" xr:uid="{00000000-0005-0000-0000-0000B2310000}"/>
    <cellStyle name="Normal 2 5 4 2 2 4 2 2" xfId="8094" xr:uid="{00000000-0005-0000-0000-0000B3310000}"/>
    <cellStyle name="Normal 2 5 4 2 2 4 2 2 2" xfId="24964" xr:uid="{00000000-0005-0000-0000-0000B4310000}"/>
    <cellStyle name="Normal 2 5 4 2 2 4 2 2 2 2" xfId="41832" xr:uid="{D206E39D-D489-4FD6-9A9C-2FDAC9A8A81E}"/>
    <cellStyle name="Normal 2 5 4 2 2 4 2 2 3" xfId="16529" xr:uid="{00000000-0005-0000-0000-0000B5310000}"/>
    <cellStyle name="Normal 2 5 4 2 2 4 2 2 4" xfId="33398" xr:uid="{7D096DD4-51B7-436D-8800-CA3764481DE0}"/>
    <cellStyle name="Normal 2 5 4 2 2 4 2 3" xfId="20746" xr:uid="{00000000-0005-0000-0000-0000B6310000}"/>
    <cellStyle name="Normal 2 5 4 2 2 4 2 3 2" xfId="37615" xr:uid="{97E25A18-9EAA-4E17-950A-A233EDC4488A}"/>
    <cellStyle name="Normal 2 5 4 2 2 4 2 4" xfId="12311" xr:uid="{00000000-0005-0000-0000-0000B7310000}"/>
    <cellStyle name="Normal 2 5 4 2 2 4 2 5" xfId="29181" xr:uid="{FDF578FC-C82B-4B11-95DE-C0921F7270DA}"/>
    <cellStyle name="Normal 2 5 4 2 2 4 3" xfId="5949" xr:uid="{00000000-0005-0000-0000-0000B8310000}"/>
    <cellStyle name="Normal 2 5 4 2 2 4 3 2" xfId="22819" xr:uid="{00000000-0005-0000-0000-0000B9310000}"/>
    <cellStyle name="Normal 2 5 4 2 2 4 3 2 2" xfId="39687" xr:uid="{E4C7E1EE-D938-48BB-BC54-7B91F701B456}"/>
    <cellStyle name="Normal 2 5 4 2 2 4 3 3" xfId="14384" xr:uid="{00000000-0005-0000-0000-0000BA310000}"/>
    <cellStyle name="Normal 2 5 4 2 2 4 3 4" xfId="31253" xr:uid="{7479728B-19F2-4FA0-AB2A-DC08230690EC}"/>
    <cellStyle name="Normal 2 5 4 2 2 4 4" xfId="18601" xr:uid="{00000000-0005-0000-0000-0000BB310000}"/>
    <cellStyle name="Normal 2 5 4 2 2 4 4 2" xfId="35470" xr:uid="{516E5005-C7B0-4803-A3E4-ECB2211BCD0F}"/>
    <cellStyle name="Normal 2 5 4 2 2 4 5" xfId="10166" xr:uid="{00000000-0005-0000-0000-0000BC310000}"/>
    <cellStyle name="Normal 2 5 4 2 2 4 6" xfId="27036" xr:uid="{8D444A30-D835-4D72-BB6D-DF0AA898152C}"/>
    <cellStyle name="Normal 2 5 4 2 2 5" xfId="2055" xr:uid="{00000000-0005-0000-0000-0000BD310000}"/>
    <cellStyle name="Normal 2 5 4 2 2 5 2" xfId="4284" xr:uid="{00000000-0005-0000-0000-0000BE310000}"/>
    <cellStyle name="Normal 2 5 4 2 2 5 2 2" xfId="8507" xr:uid="{00000000-0005-0000-0000-0000BF310000}"/>
    <cellStyle name="Normal 2 5 4 2 2 5 2 2 2" xfId="25377" xr:uid="{00000000-0005-0000-0000-0000C0310000}"/>
    <cellStyle name="Normal 2 5 4 2 2 5 2 2 2 2" xfId="42245" xr:uid="{F9712B88-21A7-4518-9BCC-CABBA26A2276}"/>
    <cellStyle name="Normal 2 5 4 2 2 5 2 2 3" xfId="16942" xr:uid="{00000000-0005-0000-0000-0000C1310000}"/>
    <cellStyle name="Normal 2 5 4 2 2 5 2 2 4" xfId="33811" xr:uid="{4F4C4D44-6444-47C2-B0B6-B7BCBA2E1B37}"/>
    <cellStyle name="Normal 2 5 4 2 2 5 2 3" xfId="21159" xr:uid="{00000000-0005-0000-0000-0000C2310000}"/>
    <cellStyle name="Normal 2 5 4 2 2 5 2 3 2" xfId="38028" xr:uid="{582926D3-437C-46AB-812E-CBBCAAB079C5}"/>
    <cellStyle name="Normal 2 5 4 2 2 5 2 4" xfId="12724" xr:uid="{00000000-0005-0000-0000-0000C3310000}"/>
    <cellStyle name="Normal 2 5 4 2 2 5 2 5" xfId="29594" xr:uid="{A629118F-854E-4E44-B527-ADB6BFB3D113}"/>
    <cellStyle name="Normal 2 5 4 2 2 5 3" xfId="6362" xr:uid="{00000000-0005-0000-0000-0000C4310000}"/>
    <cellStyle name="Normal 2 5 4 2 2 5 3 2" xfId="23232" xr:uid="{00000000-0005-0000-0000-0000C5310000}"/>
    <cellStyle name="Normal 2 5 4 2 2 5 3 2 2" xfId="40100" xr:uid="{8B33F5B8-D4D7-44A6-BA80-FA4ED104F006}"/>
    <cellStyle name="Normal 2 5 4 2 2 5 3 3" xfId="14797" xr:uid="{00000000-0005-0000-0000-0000C6310000}"/>
    <cellStyle name="Normal 2 5 4 2 2 5 3 4" xfId="31666" xr:uid="{886513D5-326D-4243-B74C-5287CA5DD44F}"/>
    <cellStyle name="Normal 2 5 4 2 2 5 4" xfId="19014" xr:uid="{00000000-0005-0000-0000-0000C7310000}"/>
    <cellStyle name="Normal 2 5 4 2 2 5 4 2" xfId="35883" xr:uid="{69BE5480-CEC8-4DB1-9754-06FB6BFEFEDC}"/>
    <cellStyle name="Normal 2 5 4 2 2 5 5" xfId="10579" xr:uid="{00000000-0005-0000-0000-0000C8310000}"/>
    <cellStyle name="Normal 2 5 4 2 2 5 6" xfId="27449" xr:uid="{CD6C19DD-EEF5-499D-9FC6-6CB184D54F2E}"/>
    <cellStyle name="Normal 2 5 4 2 2 6" xfId="2491" xr:uid="{00000000-0005-0000-0000-0000C9310000}"/>
    <cellStyle name="Normal 2 5 4 2 2 6 2" xfId="6775" xr:uid="{00000000-0005-0000-0000-0000CA310000}"/>
    <cellStyle name="Normal 2 5 4 2 2 6 2 2" xfId="23645" xr:uid="{00000000-0005-0000-0000-0000CB310000}"/>
    <cellStyle name="Normal 2 5 4 2 2 6 2 2 2" xfId="40513" xr:uid="{4299534E-3AF2-414D-ACB7-6C05D58E96AE}"/>
    <cellStyle name="Normal 2 5 4 2 2 6 2 3" xfId="15210" xr:uid="{00000000-0005-0000-0000-0000CC310000}"/>
    <cellStyle name="Normal 2 5 4 2 2 6 2 4" xfId="32079" xr:uid="{865808BD-B1E1-4DAC-8AA7-056A3A40FC2C}"/>
    <cellStyle name="Normal 2 5 4 2 2 6 3" xfId="19427" xr:uid="{00000000-0005-0000-0000-0000CD310000}"/>
    <cellStyle name="Normal 2 5 4 2 2 6 3 2" xfId="36296" xr:uid="{301EFF55-CF48-47B7-B0EB-155923DF9C04}"/>
    <cellStyle name="Normal 2 5 4 2 2 6 4" xfId="10992" xr:uid="{00000000-0005-0000-0000-0000CE310000}"/>
    <cellStyle name="Normal 2 5 4 2 2 6 5" xfId="27862" xr:uid="{7A922CB4-D0C1-4FE2-B1E3-0759B8E4AFBC}"/>
    <cellStyle name="Normal 2 5 4 2 2 7" xfId="4709" xr:uid="{00000000-0005-0000-0000-0000CF310000}"/>
    <cellStyle name="Normal 2 5 4 2 2 7 2" xfId="21579" xr:uid="{00000000-0005-0000-0000-0000D0310000}"/>
    <cellStyle name="Normal 2 5 4 2 2 7 2 2" xfId="38447" xr:uid="{E5F5FAD9-CA82-40A2-AE89-81DB3D302BE6}"/>
    <cellStyle name="Normal 2 5 4 2 2 7 3" xfId="13144" xr:uid="{00000000-0005-0000-0000-0000D1310000}"/>
    <cellStyle name="Normal 2 5 4 2 2 7 4" xfId="30013" xr:uid="{FD56F16B-5AC0-4F26-9BF5-ACB320ECAACE}"/>
    <cellStyle name="Normal 2 5 4 2 2 8" xfId="17361" xr:uid="{00000000-0005-0000-0000-0000D2310000}"/>
    <cellStyle name="Normal 2 5 4 2 2 8 2" xfId="34230" xr:uid="{FEC52E6A-20CC-4B9F-A82B-DA21743988F6}"/>
    <cellStyle name="Normal 2 5 4 2 2 9" xfId="8926" xr:uid="{00000000-0005-0000-0000-0000D3310000}"/>
    <cellStyle name="Normal 2 5 4 2 3" xfId="805" xr:uid="{00000000-0005-0000-0000-0000D4310000}"/>
    <cellStyle name="Normal 2 5 4 2 3 2" xfId="3044" xr:uid="{00000000-0005-0000-0000-0000D5310000}"/>
    <cellStyle name="Normal 2 5 4 2 3 2 2" xfId="7267" xr:uid="{00000000-0005-0000-0000-0000D6310000}"/>
    <cellStyle name="Normal 2 5 4 2 3 2 2 2" xfId="24137" xr:uid="{00000000-0005-0000-0000-0000D7310000}"/>
    <cellStyle name="Normal 2 5 4 2 3 2 2 2 2" xfId="41005" xr:uid="{9C0DAE03-8240-44B8-9DD6-595C41588656}"/>
    <cellStyle name="Normal 2 5 4 2 3 2 2 3" xfId="15702" xr:uid="{00000000-0005-0000-0000-0000D8310000}"/>
    <cellStyle name="Normal 2 5 4 2 3 2 2 4" xfId="32571" xr:uid="{A68BDC79-0C3E-4430-BC4F-C58467651C9B}"/>
    <cellStyle name="Normal 2 5 4 2 3 2 3" xfId="19919" xr:uid="{00000000-0005-0000-0000-0000D9310000}"/>
    <cellStyle name="Normal 2 5 4 2 3 2 3 2" xfId="36788" xr:uid="{068450F1-64EA-474B-89FE-7423DA47B2BE}"/>
    <cellStyle name="Normal 2 5 4 2 3 2 4" xfId="11484" xr:uid="{00000000-0005-0000-0000-0000DA310000}"/>
    <cellStyle name="Normal 2 5 4 2 3 2 5" xfId="28354" xr:uid="{19985D75-78EB-46A9-A4C9-F2EFF7876F08}"/>
    <cellStyle name="Normal 2 5 4 2 3 3" xfId="5122" xr:uid="{00000000-0005-0000-0000-0000DB310000}"/>
    <cellStyle name="Normal 2 5 4 2 3 3 2" xfId="21992" xr:uid="{00000000-0005-0000-0000-0000DC310000}"/>
    <cellStyle name="Normal 2 5 4 2 3 3 2 2" xfId="38860" xr:uid="{32E6BAD5-BE54-4F5C-A496-FF19E9420A30}"/>
    <cellStyle name="Normal 2 5 4 2 3 3 3" xfId="13557" xr:uid="{00000000-0005-0000-0000-0000DD310000}"/>
    <cellStyle name="Normal 2 5 4 2 3 3 4" xfId="30426" xr:uid="{27AE8E44-0C9E-487D-B7AA-4C61056A14BD}"/>
    <cellStyle name="Normal 2 5 4 2 3 4" xfId="17774" xr:uid="{00000000-0005-0000-0000-0000DE310000}"/>
    <cellStyle name="Normal 2 5 4 2 3 4 2" xfId="34643" xr:uid="{A947D085-B724-404F-BEDB-512D4B035312}"/>
    <cellStyle name="Normal 2 5 4 2 3 5" xfId="9339" xr:uid="{00000000-0005-0000-0000-0000DF310000}"/>
    <cellStyle name="Normal 2 5 4 2 3 6" xfId="26209" xr:uid="{F8D0A0F2-9B81-45ED-94B4-A589D61C7073}"/>
    <cellStyle name="Normal 2 5 4 2 4" xfId="1227" xr:uid="{00000000-0005-0000-0000-0000E0310000}"/>
    <cellStyle name="Normal 2 5 4 2 4 2" xfId="3457" xr:uid="{00000000-0005-0000-0000-0000E1310000}"/>
    <cellStyle name="Normal 2 5 4 2 4 2 2" xfId="7680" xr:uid="{00000000-0005-0000-0000-0000E2310000}"/>
    <cellStyle name="Normal 2 5 4 2 4 2 2 2" xfId="24550" xr:uid="{00000000-0005-0000-0000-0000E3310000}"/>
    <cellStyle name="Normal 2 5 4 2 4 2 2 2 2" xfId="41418" xr:uid="{D2A950AB-3CBD-4ADC-9562-67CDF0119DB1}"/>
    <cellStyle name="Normal 2 5 4 2 4 2 2 3" xfId="16115" xr:uid="{00000000-0005-0000-0000-0000E4310000}"/>
    <cellStyle name="Normal 2 5 4 2 4 2 2 4" xfId="32984" xr:uid="{42C028B4-1C3A-4E9C-9364-71E09F6D59F8}"/>
    <cellStyle name="Normal 2 5 4 2 4 2 3" xfId="20332" xr:uid="{00000000-0005-0000-0000-0000E5310000}"/>
    <cellStyle name="Normal 2 5 4 2 4 2 3 2" xfId="37201" xr:uid="{1429DE1D-7D49-46E6-BC4D-08625F9247A8}"/>
    <cellStyle name="Normal 2 5 4 2 4 2 4" xfId="11897" xr:uid="{00000000-0005-0000-0000-0000E6310000}"/>
    <cellStyle name="Normal 2 5 4 2 4 2 5" xfId="28767" xr:uid="{18FF5B56-4377-42E2-B721-136A5AC3843F}"/>
    <cellStyle name="Normal 2 5 4 2 4 3" xfId="5535" xr:uid="{00000000-0005-0000-0000-0000E7310000}"/>
    <cellStyle name="Normal 2 5 4 2 4 3 2" xfId="22405" xr:uid="{00000000-0005-0000-0000-0000E8310000}"/>
    <cellStyle name="Normal 2 5 4 2 4 3 2 2" xfId="39273" xr:uid="{D9655ECC-AAF6-4023-B08D-84F6AC880EF4}"/>
    <cellStyle name="Normal 2 5 4 2 4 3 3" xfId="13970" xr:uid="{00000000-0005-0000-0000-0000E9310000}"/>
    <cellStyle name="Normal 2 5 4 2 4 3 4" xfId="30839" xr:uid="{7908A6B7-3523-4DE0-9428-DA193388F39E}"/>
    <cellStyle name="Normal 2 5 4 2 4 4" xfId="18187" xr:uid="{00000000-0005-0000-0000-0000EA310000}"/>
    <cellStyle name="Normal 2 5 4 2 4 4 2" xfId="35056" xr:uid="{2C2D74A4-7A61-481E-B3C0-0D9AE1538EFB}"/>
    <cellStyle name="Normal 2 5 4 2 4 5" xfId="9752" xr:uid="{00000000-0005-0000-0000-0000EB310000}"/>
    <cellStyle name="Normal 2 5 4 2 4 6" xfId="26622" xr:uid="{8059F93E-3D62-4C25-9C53-7C05D540C1F5}"/>
    <cellStyle name="Normal 2 5 4 2 5" xfId="1640" xr:uid="{00000000-0005-0000-0000-0000EC310000}"/>
    <cellStyle name="Normal 2 5 4 2 5 2" xfId="3870" xr:uid="{00000000-0005-0000-0000-0000ED310000}"/>
    <cellStyle name="Normal 2 5 4 2 5 2 2" xfId="8093" xr:uid="{00000000-0005-0000-0000-0000EE310000}"/>
    <cellStyle name="Normal 2 5 4 2 5 2 2 2" xfId="24963" xr:uid="{00000000-0005-0000-0000-0000EF310000}"/>
    <cellStyle name="Normal 2 5 4 2 5 2 2 2 2" xfId="41831" xr:uid="{B96DF1E9-990D-467B-B1A4-8BC18133C8E2}"/>
    <cellStyle name="Normal 2 5 4 2 5 2 2 3" xfId="16528" xr:uid="{00000000-0005-0000-0000-0000F0310000}"/>
    <cellStyle name="Normal 2 5 4 2 5 2 2 4" xfId="33397" xr:uid="{66470AAA-77D1-483A-990C-49645C96ACA5}"/>
    <cellStyle name="Normal 2 5 4 2 5 2 3" xfId="20745" xr:uid="{00000000-0005-0000-0000-0000F1310000}"/>
    <cellStyle name="Normal 2 5 4 2 5 2 3 2" xfId="37614" xr:uid="{25426C22-B80C-47AB-8B4F-CEC78A739FD0}"/>
    <cellStyle name="Normal 2 5 4 2 5 2 4" xfId="12310" xr:uid="{00000000-0005-0000-0000-0000F2310000}"/>
    <cellStyle name="Normal 2 5 4 2 5 2 5" xfId="29180" xr:uid="{6A9A10D7-739E-485D-9FB6-CF895212F114}"/>
    <cellStyle name="Normal 2 5 4 2 5 3" xfId="5948" xr:uid="{00000000-0005-0000-0000-0000F3310000}"/>
    <cellStyle name="Normal 2 5 4 2 5 3 2" xfId="22818" xr:uid="{00000000-0005-0000-0000-0000F4310000}"/>
    <cellStyle name="Normal 2 5 4 2 5 3 2 2" xfId="39686" xr:uid="{D5C99C11-AD8E-4D07-97AF-7E32640055AA}"/>
    <cellStyle name="Normal 2 5 4 2 5 3 3" xfId="14383" xr:uid="{00000000-0005-0000-0000-0000F5310000}"/>
    <cellStyle name="Normal 2 5 4 2 5 3 4" xfId="31252" xr:uid="{BDC6CFDC-F412-413D-8BB0-7FCC59C52434}"/>
    <cellStyle name="Normal 2 5 4 2 5 4" xfId="18600" xr:uid="{00000000-0005-0000-0000-0000F6310000}"/>
    <cellStyle name="Normal 2 5 4 2 5 4 2" xfId="35469" xr:uid="{12C433EC-63B6-4945-BB32-909FAC9E1174}"/>
    <cellStyle name="Normal 2 5 4 2 5 5" xfId="10165" xr:uid="{00000000-0005-0000-0000-0000F7310000}"/>
    <cellStyle name="Normal 2 5 4 2 5 6" xfId="27035" xr:uid="{51145544-893D-4FFD-9B8D-C2C6B8077270}"/>
    <cellStyle name="Normal 2 5 4 2 6" xfId="2054" xr:uid="{00000000-0005-0000-0000-0000F8310000}"/>
    <cellStyle name="Normal 2 5 4 2 6 2" xfId="4283" xr:uid="{00000000-0005-0000-0000-0000F9310000}"/>
    <cellStyle name="Normal 2 5 4 2 6 2 2" xfId="8506" xr:uid="{00000000-0005-0000-0000-0000FA310000}"/>
    <cellStyle name="Normal 2 5 4 2 6 2 2 2" xfId="25376" xr:uid="{00000000-0005-0000-0000-0000FB310000}"/>
    <cellStyle name="Normal 2 5 4 2 6 2 2 2 2" xfId="42244" xr:uid="{4AAD32C6-1CE3-4521-86FA-AD70A417ACF8}"/>
    <cellStyle name="Normal 2 5 4 2 6 2 2 3" xfId="16941" xr:uid="{00000000-0005-0000-0000-0000FC310000}"/>
    <cellStyle name="Normal 2 5 4 2 6 2 2 4" xfId="33810" xr:uid="{958976D5-26E2-4FF1-BB80-8E8F57448D55}"/>
    <cellStyle name="Normal 2 5 4 2 6 2 3" xfId="21158" xr:uid="{00000000-0005-0000-0000-0000FD310000}"/>
    <cellStyle name="Normal 2 5 4 2 6 2 3 2" xfId="38027" xr:uid="{8D432C09-9CCF-4934-BB2D-79BD38DF6E6A}"/>
    <cellStyle name="Normal 2 5 4 2 6 2 4" xfId="12723" xr:uid="{00000000-0005-0000-0000-0000FE310000}"/>
    <cellStyle name="Normal 2 5 4 2 6 2 5" xfId="29593" xr:uid="{D57542B3-900E-4C55-9548-219B16B69B2F}"/>
    <cellStyle name="Normal 2 5 4 2 6 3" xfId="6361" xr:uid="{00000000-0005-0000-0000-0000FF310000}"/>
    <cellStyle name="Normal 2 5 4 2 6 3 2" xfId="23231" xr:uid="{00000000-0005-0000-0000-000000320000}"/>
    <cellStyle name="Normal 2 5 4 2 6 3 2 2" xfId="40099" xr:uid="{E087C6FA-E711-4184-9068-BC62E106AA3D}"/>
    <cellStyle name="Normal 2 5 4 2 6 3 3" xfId="14796" xr:uid="{00000000-0005-0000-0000-000001320000}"/>
    <cellStyle name="Normal 2 5 4 2 6 3 4" xfId="31665" xr:uid="{AA1D54C3-93E7-4E5A-B985-85B4DE8930B8}"/>
    <cellStyle name="Normal 2 5 4 2 6 4" xfId="19013" xr:uid="{00000000-0005-0000-0000-000002320000}"/>
    <cellStyle name="Normal 2 5 4 2 6 4 2" xfId="35882" xr:uid="{C270C036-1853-4B96-874B-9996E08C28C7}"/>
    <cellStyle name="Normal 2 5 4 2 6 5" xfId="10578" xr:uid="{00000000-0005-0000-0000-000003320000}"/>
    <cellStyle name="Normal 2 5 4 2 6 6" xfId="27448" xr:uid="{6F3FD3E2-E0F0-4DD2-A77D-76C673E5B66F}"/>
    <cellStyle name="Normal 2 5 4 2 7" xfId="2490" xr:uid="{00000000-0005-0000-0000-000004320000}"/>
    <cellStyle name="Normal 2 5 4 2 7 2" xfId="6774" xr:uid="{00000000-0005-0000-0000-000005320000}"/>
    <cellStyle name="Normal 2 5 4 2 7 2 2" xfId="23644" xr:uid="{00000000-0005-0000-0000-000006320000}"/>
    <cellStyle name="Normal 2 5 4 2 7 2 2 2" xfId="40512" xr:uid="{9E5A3D3E-3384-4A19-B9B5-54BAAF3CA1E9}"/>
    <cellStyle name="Normal 2 5 4 2 7 2 3" xfId="15209" xr:uid="{00000000-0005-0000-0000-000007320000}"/>
    <cellStyle name="Normal 2 5 4 2 7 2 4" xfId="32078" xr:uid="{18E4A8C5-8F11-47A4-B932-8ADD23C0F073}"/>
    <cellStyle name="Normal 2 5 4 2 7 3" xfId="19426" xr:uid="{00000000-0005-0000-0000-000008320000}"/>
    <cellStyle name="Normal 2 5 4 2 7 3 2" xfId="36295" xr:uid="{5BCA356B-9E34-40E6-916E-755DC2AEED59}"/>
    <cellStyle name="Normal 2 5 4 2 7 4" xfId="10991" xr:uid="{00000000-0005-0000-0000-000009320000}"/>
    <cellStyle name="Normal 2 5 4 2 7 5" xfId="27861" xr:uid="{133B39B0-3533-4676-A6BE-43A62A19759C}"/>
    <cellStyle name="Normal 2 5 4 2 8" xfId="4708" xr:uid="{00000000-0005-0000-0000-00000A320000}"/>
    <cellStyle name="Normal 2 5 4 2 8 2" xfId="21578" xr:uid="{00000000-0005-0000-0000-00000B320000}"/>
    <cellStyle name="Normal 2 5 4 2 8 2 2" xfId="38446" xr:uid="{9C13CE3F-A3B6-4647-8CB5-910FDC33BF4A}"/>
    <cellStyle name="Normal 2 5 4 2 8 3" xfId="13143" xr:uid="{00000000-0005-0000-0000-00000C320000}"/>
    <cellStyle name="Normal 2 5 4 2 8 4" xfId="30012" xr:uid="{B7111DD7-2B74-4286-BC69-E22EE1250C78}"/>
    <cellStyle name="Normal 2 5 4 2 9" xfId="17360" xr:uid="{00000000-0005-0000-0000-00000D320000}"/>
    <cellStyle name="Normal 2 5 4 2 9 2" xfId="34229" xr:uid="{DE1B2808-0C23-4A51-B719-5009CFDD28F0}"/>
    <cellStyle name="Normal 2 5 4 3" xfId="321" xr:uid="{00000000-0005-0000-0000-00000E320000}"/>
    <cellStyle name="Normal 2 5 4 3 10" xfId="25797" xr:uid="{D2628A67-A1B0-4665-9064-AB0885D31633}"/>
    <cellStyle name="Normal 2 5 4 3 2" xfId="807" xr:uid="{00000000-0005-0000-0000-00000F320000}"/>
    <cellStyle name="Normal 2 5 4 3 2 2" xfId="3046" xr:uid="{00000000-0005-0000-0000-000010320000}"/>
    <cellStyle name="Normal 2 5 4 3 2 2 2" xfId="7269" xr:uid="{00000000-0005-0000-0000-000011320000}"/>
    <cellStyle name="Normal 2 5 4 3 2 2 2 2" xfId="24139" xr:uid="{00000000-0005-0000-0000-000012320000}"/>
    <cellStyle name="Normal 2 5 4 3 2 2 2 2 2" xfId="41007" xr:uid="{B6D05F9A-1286-498E-92B9-067750603FDC}"/>
    <cellStyle name="Normal 2 5 4 3 2 2 2 3" xfId="15704" xr:uid="{00000000-0005-0000-0000-000013320000}"/>
    <cellStyle name="Normal 2 5 4 3 2 2 2 4" xfId="32573" xr:uid="{D1696BB7-020E-4557-908C-3EE1AD593975}"/>
    <cellStyle name="Normal 2 5 4 3 2 2 3" xfId="19921" xr:uid="{00000000-0005-0000-0000-000014320000}"/>
    <cellStyle name="Normal 2 5 4 3 2 2 3 2" xfId="36790" xr:uid="{CE41582A-5BBA-4CC0-BEAD-E7CDCC0ABF8E}"/>
    <cellStyle name="Normal 2 5 4 3 2 2 4" xfId="11486" xr:uid="{00000000-0005-0000-0000-000015320000}"/>
    <cellStyle name="Normal 2 5 4 3 2 2 5" xfId="28356" xr:uid="{D1AF361C-2178-46C5-829F-675B7E7E23DF}"/>
    <cellStyle name="Normal 2 5 4 3 2 3" xfId="5124" xr:uid="{00000000-0005-0000-0000-000016320000}"/>
    <cellStyle name="Normal 2 5 4 3 2 3 2" xfId="21994" xr:uid="{00000000-0005-0000-0000-000017320000}"/>
    <cellStyle name="Normal 2 5 4 3 2 3 2 2" xfId="38862" xr:uid="{87B2AF00-CDFC-4E43-87CA-3B46E561BC86}"/>
    <cellStyle name="Normal 2 5 4 3 2 3 3" xfId="13559" xr:uid="{00000000-0005-0000-0000-000018320000}"/>
    <cellStyle name="Normal 2 5 4 3 2 3 4" xfId="30428" xr:uid="{E10993AA-C361-4EE0-A0F1-1B800BE6C85F}"/>
    <cellStyle name="Normal 2 5 4 3 2 4" xfId="17776" xr:uid="{00000000-0005-0000-0000-000019320000}"/>
    <cellStyle name="Normal 2 5 4 3 2 4 2" xfId="34645" xr:uid="{BE6D6241-CD02-40AB-9A93-9CCF9ABE2700}"/>
    <cellStyle name="Normal 2 5 4 3 2 5" xfId="9341" xr:uid="{00000000-0005-0000-0000-00001A320000}"/>
    <cellStyle name="Normal 2 5 4 3 2 6" xfId="26211" xr:uid="{1BB18BE6-70FE-47A4-B3E3-A21A8CF7A24B}"/>
    <cellStyle name="Normal 2 5 4 3 3" xfId="1229" xr:uid="{00000000-0005-0000-0000-00001B320000}"/>
    <cellStyle name="Normal 2 5 4 3 3 2" xfId="3459" xr:uid="{00000000-0005-0000-0000-00001C320000}"/>
    <cellStyle name="Normal 2 5 4 3 3 2 2" xfId="7682" xr:uid="{00000000-0005-0000-0000-00001D320000}"/>
    <cellStyle name="Normal 2 5 4 3 3 2 2 2" xfId="24552" xr:uid="{00000000-0005-0000-0000-00001E320000}"/>
    <cellStyle name="Normal 2 5 4 3 3 2 2 2 2" xfId="41420" xr:uid="{9DA0430A-43E3-4091-B1EC-101D757C7411}"/>
    <cellStyle name="Normal 2 5 4 3 3 2 2 3" xfId="16117" xr:uid="{00000000-0005-0000-0000-00001F320000}"/>
    <cellStyle name="Normal 2 5 4 3 3 2 2 4" xfId="32986" xr:uid="{CD8C257C-E2CC-48CA-BAA9-7E5B1AC35067}"/>
    <cellStyle name="Normal 2 5 4 3 3 2 3" xfId="20334" xr:uid="{00000000-0005-0000-0000-000020320000}"/>
    <cellStyle name="Normal 2 5 4 3 3 2 3 2" xfId="37203" xr:uid="{CAFFE393-27FC-4E3A-9C00-425134E93B29}"/>
    <cellStyle name="Normal 2 5 4 3 3 2 4" xfId="11899" xr:uid="{00000000-0005-0000-0000-000021320000}"/>
    <cellStyle name="Normal 2 5 4 3 3 2 5" xfId="28769" xr:uid="{178C3824-456E-4898-A3DA-A7C9B7272803}"/>
    <cellStyle name="Normal 2 5 4 3 3 3" xfId="5537" xr:uid="{00000000-0005-0000-0000-000022320000}"/>
    <cellStyle name="Normal 2 5 4 3 3 3 2" xfId="22407" xr:uid="{00000000-0005-0000-0000-000023320000}"/>
    <cellStyle name="Normal 2 5 4 3 3 3 2 2" xfId="39275" xr:uid="{2BF6CE41-BA8B-4141-92BA-3B41453AED81}"/>
    <cellStyle name="Normal 2 5 4 3 3 3 3" xfId="13972" xr:uid="{00000000-0005-0000-0000-000024320000}"/>
    <cellStyle name="Normal 2 5 4 3 3 3 4" xfId="30841" xr:uid="{AE644256-92B0-4A35-AF8A-9ABC92A4E8A2}"/>
    <cellStyle name="Normal 2 5 4 3 3 4" xfId="18189" xr:uid="{00000000-0005-0000-0000-000025320000}"/>
    <cellStyle name="Normal 2 5 4 3 3 4 2" xfId="35058" xr:uid="{AEA8DCAC-46CE-4AFD-9EAF-DA88BF203D1F}"/>
    <cellStyle name="Normal 2 5 4 3 3 5" xfId="9754" xr:uid="{00000000-0005-0000-0000-000026320000}"/>
    <cellStyle name="Normal 2 5 4 3 3 6" xfId="26624" xr:uid="{82F4AA4B-5ED5-41DB-9699-E0056B90A037}"/>
    <cellStyle name="Normal 2 5 4 3 4" xfId="1642" xr:uid="{00000000-0005-0000-0000-000027320000}"/>
    <cellStyle name="Normal 2 5 4 3 4 2" xfId="3872" xr:uid="{00000000-0005-0000-0000-000028320000}"/>
    <cellStyle name="Normal 2 5 4 3 4 2 2" xfId="8095" xr:uid="{00000000-0005-0000-0000-000029320000}"/>
    <cellStyle name="Normal 2 5 4 3 4 2 2 2" xfId="24965" xr:uid="{00000000-0005-0000-0000-00002A320000}"/>
    <cellStyle name="Normal 2 5 4 3 4 2 2 2 2" xfId="41833" xr:uid="{6B901503-B515-43B6-A868-A05D8C7F6058}"/>
    <cellStyle name="Normal 2 5 4 3 4 2 2 3" xfId="16530" xr:uid="{00000000-0005-0000-0000-00002B320000}"/>
    <cellStyle name="Normal 2 5 4 3 4 2 2 4" xfId="33399" xr:uid="{A0D47E29-4002-4DB3-8F8C-F2536FC789E2}"/>
    <cellStyle name="Normal 2 5 4 3 4 2 3" xfId="20747" xr:uid="{00000000-0005-0000-0000-00002C320000}"/>
    <cellStyle name="Normal 2 5 4 3 4 2 3 2" xfId="37616" xr:uid="{323EC8DC-9B6C-4415-A31C-361236EBEC9B}"/>
    <cellStyle name="Normal 2 5 4 3 4 2 4" xfId="12312" xr:uid="{00000000-0005-0000-0000-00002D320000}"/>
    <cellStyle name="Normal 2 5 4 3 4 2 5" xfId="29182" xr:uid="{01E4B912-C188-497B-A06A-D839C2ACE903}"/>
    <cellStyle name="Normal 2 5 4 3 4 3" xfId="5950" xr:uid="{00000000-0005-0000-0000-00002E320000}"/>
    <cellStyle name="Normal 2 5 4 3 4 3 2" xfId="22820" xr:uid="{00000000-0005-0000-0000-00002F320000}"/>
    <cellStyle name="Normal 2 5 4 3 4 3 2 2" xfId="39688" xr:uid="{B8CA3073-7AB4-4B25-BC8A-DFAD28A6C6AF}"/>
    <cellStyle name="Normal 2 5 4 3 4 3 3" xfId="14385" xr:uid="{00000000-0005-0000-0000-000030320000}"/>
    <cellStyle name="Normal 2 5 4 3 4 3 4" xfId="31254" xr:uid="{37838276-AE04-4507-8113-2625A450C357}"/>
    <cellStyle name="Normal 2 5 4 3 4 4" xfId="18602" xr:uid="{00000000-0005-0000-0000-000031320000}"/>
    <cellStyle name="Normal 2 5 4 3 4 4 2" xfId="35471" xr:uid="{1CA096E6-5817-49F6-8E1A-85FF8C296A8E}"/>
    <cellStyle name="Normal 2 5 4 3 4 5" xfId="10167" xr:uid="{00000000-0005-0000-0000-000032320000}"/>
    <cellStyle name="Normal 2 5 4 3 4 6" xfId="27037" xr:uid="{55DA4D84-8CC0-428F-AAEC-8180CEC726FB}"/>
    <cellStyle name="Normal 2 5 4 3 5" xfId="2056" xr:uid="{00000000-0005-0000-0000-000033320000}"/>
    <cellStyle name="Normal 2 5 4 3 5 2" xfId="4285" xr:uid="{00000000-0005-0000-0000-000034320000}"/>
    <cellStyle name="Normal 2 5 4 3 5 2 2" xfId="8508" xr:uid="{00000000-0005-0000-0000-000035320000}"/>
    <cellStyle name="Normal 2 5 4 3 5 2 2 2" xfId="25378" xr:uid="{00000000-0005-0000-0000-000036320000}"/>
    <cellStyle name="Normal 2 5 4 3 5 2 2 2 2" xfId="42246" xr:uid="{0A9C7077-C582-4A74-9774-98345EEB9B44}"/>
    <cellStyle name="Normal 2 5 4 3 5 2 2 3" xfId="16943" xr:uid="{00000000-0005-0000-0000-000037320000}"/>
    <cellStyle name="Normal 2 5 4 3 5 2 2 4" xfId="33812" xr:uid="{6F02BE60-BAB3-42FC-BE5D-539CA1DF854E}"/>
    <cellStyle name="Normal 2 5 4 3 5 2 3" xfId="21160" xr:uid="{00000000-0005-0000-0000-000038320000}"/>
    <cellStyle name="Normal 2 5 4 3 5 2 3 2" xfId="38029" xr:uid="{4B9529E8-F761-445C-B4C2-D2C2A150E34D}"/>
    <cellStyle name="Normal 2 5 4 3 5 2 4" xfId="12725" xr:uid="{00000000-0005-0000-0000-000039320000}"/>
    <cellStyle name="Normal 2 5 4 3 5 2 5" xfId="29595" xr:uid="{1D3BD3E6-549C-456D-83F8-41B50D527970}"/>
    <cellStyle name="Normal 2 5 4 3 5 3" xfId="6363" xr:uid="{00000000-0005-0000-0000-00003A320000}"/>
    <cellStyle name="Normal 2 5 4 3 5 3 2" xfId="23233" xr:uid="{00000000-0005-0000-0000-00003B320000}"/>
    <cellStyle name="Normal 2 5 4 3 5 3 2 2" xfId="40101" xr:uid="{0746102F-5952-4159-8527-D4A4B5664DD8}"/>
    <cellStyle name="Normal 2 5 4 3 5 3 3" xfId="14798" xr:uid="{00000000-0005-0000-0000-00003C320000}"/>
    <cellStyle name="Normal 2 5 4 3 5 3 4" xfId="31667" xr:uid="{71B3F1F7-AC4E-47DE-BFC7-7478ADA9FB8D}"/>
    <cellStyle name="Normal 2 5 4 3 5 4" xfId="19015" xr:uid="{00000000-0005-0000-0000-00003D320000}"/>
    <cellStyle name="Normal 2 5 4 3 5 4 2" xfId="35884" xr:uid="{36277A0B-A8E6-4B9E-A647-2FEEA2605DD0}"/>
    <cellStyle name="Normal 2 5 4 3 5 5" xfId="10580" xr:uid="{00000000-0005-0000-0000-00003E320000}"/>
    <cellStyle name="Normal 2 5 4 3 5 6" xfId="27450" xr:uid="{F507FEF6-3002-4CEF-9050-276DE3A68BED}"/>
    <cellStyle name="Normal 2 5 4 3 6" xfId="2492" xr:uid="{00000000-0005-0000-0000-00003F320000}"/>
    <cellStyle name="Normal 2 5 4 3 6 2" xfId="6776" xr:uid="{00000000-0005-0000-0000-000040320000}"/>
    <cellStyle name="Normal 2 5 4 3 6 2 2" xfId="23646" xr:uid="{00000000-0005-0000-0000-000041320000}"/>
    <cellStyle name="Normal 2 5 4 3 6 2 2 2" xfId="40514" xr:uid="{950CD884-A682-42FC-A1EA-BBDDE54ACDF5}"/>
    <cellStyle name="Normal 2 5 4 3 6 2 3" xfId="15211" xr:uid="{00000000-0005-0000-0000-000042320000}"/>
    <cellStyle name="Normal 2 5 4 3 6 2 4" xfId="32080" xr:uid="{0E35C4C4-14D6-423A-9F04-B5F3C383793A}"/>
    <cellStyle name="Normal 2 5 4 3 6 3" xfId="19428" xr:uid="{00000000-0005-0000-0000-000043320000}"/>
    <cellStyle name="Normal 2 5 4 3 6 3 2" xfId="36297" xr:uid="{11BED141-60FD-484E-9E59-FE82946066BE}"/>
    <cellStyle name="Normal 2 5 4 3 6 4" xfId="10993" xr:uid="{00000000-0005-0000-0000-000044320000}"/>
    <cellStyle name="Normal 2 5 4 3 6 5" xfId="27863" xr:uid="{CE262FDF-9AE5-498B-AD79-D5959E63F59D}"/>
    <cellStyle name="Normal 2 5 4 3 7" xfId="4710" xr:uid="{00000000-0005-0000-0000-000045320000}"/>
    <cellStyle name="Normal 2 5 4 3 7 2" xfId="21580" xr:uid="{00000000-0005-0000-0000-000046320000}"/>
    <cellStyle name="Normal 2 5 4 3 7 2 2" xfId="38448" xr:uid="{90CE72A5-6D7D-4E6D-8E09-4B7EA6C8A11D}"/>
    <cellStyle name="Normal 2 5 4 3 7 3" xfId="13145" xr:uid="{00000000-0005-0000-0000-000047320000}"/>
    <cellStyle name="Normal 2 5 4 3 7 4" xfId="30014" xr:uid="{EDD40DB5-A61D-495C-A05F-1B5A91459304}"/>
    <cellStyle name="Normal 2 5 4 3 8" xfId="17362" xr:uid="{00000000-0005-0000-0000-000048320000}"/>
    <cellStyle name="Normal 2 5 4 3 8 2" xfId="34231" xr:uid="{C36ABA02-6670-4D39-8660-42EBEC8E4B46}"/>
    <cellStyle name="Normal 2 5 4 3 9" xfId="8927" xr:uid="{00000000-0005-0000-0000-000049320000}"/>
    <cellStyle name="Normal 2 5 4 4" xfId="804" xr:uid="{00000000-0005-0000-0000-00004A320000}"/>
    <cellStyle name="Normal 2 5 4 4 2" xfId="3043" xr:uid="{00000000-0005-0000-0000-00004B320000}"/>
    <cellStyle name="Normal 2 5 4 4 2 2" xfId="7266" xr:uid="{00000000-0005-0000-0000-00004C320000}"/>
    <cellStyle name="Normal 2 5 4 4 2 2 2" xfId="24136" xr:uid="{00000000-0005-0000-0000-00004D320000}"/>
    <cellStyle name="Normal 2 5 4 4 2 2 2 2" xfId="41004" xr:uid="{B1D852FD-98A3-424E-90F1-AB7673F96716}"/>
    <cellStyle name="Normal 2 5 4 4 2 2 3" xfId="15701" xr:uid="{00000000-0005-0000-0000-00004E320000}"/>
    <cellStyle name="Normal 2 5 4 4 2 2 4" xfId="32570" xr:uid="{56A8EAA6-74C5-45A2-B100-18272DD330A2}"/>
    <cellStyle name="Normal 2 5 4 4 2 3" xfId="19918" xr:uid="{00000000-0005-0000-0000-00004F320000}"/>
    <cellStyle name="Normal 2 5 4 4 2 3 2" xfId="36787" xr:uid="{3B55F893-046A-4C3B-B2BE-2811DD2DA3B2}"/>
    <cellStyle name="Normal 2 5 4 4 2 4" xfId="11483" xr:uid="{00000000-0005-0000-0000-000050320000}"/>
    <cellStyle name="Normal 2 5 4 4 2 5" xfId="28353" xr:uid="{35DB3C6E-DF33-4802-9FD8-06CF6B057434}"/>
    <cellStyle name="Normal 2 5 4 4 3" xfId="5121" xr:uid="{00000000-0005-0000-0000-000051320000}"/>
    <cellStyle name="Normal 2 5 4 4 3 2" xfId="21991" xr:uid="{00000000-0005-0000-0000-000052320000}"/>
    <cellStyle name="Normal 2 5 4 4 3 2 2" xfId="38859" xr:uid="{F7DC5906-C5A9-48B9-BF0C-36723B3D6187}"/>
    <cellStyle name="Normal 2 5 4 4 3 3" xfId="13556" xr:uid="{00000000-0005-0000-0000-000053320000}"/>
    <cellStyle name="Normal 2 5 4 4 3 4" xfId="30425" xr:uid="{64155D3E-BC2F-4DC9-A0D0-627CE0F4851E}"/>
    <cellStyle name="Normal 2 5 4 4 4" xfId="17773" xr:uid="{00000000-0005-0000-0000-000054320000}"/>
    <cellStyle name="Normal 2 5 4 4 4 2" xfId="34642" xr:uid="{D51EF3D1-E7A5-4921-B755-ECEA1963341A}"/>
    <cellStyle name="Normal 2 5 4 4 5" xfId="9338" xr:uid="{00000000-0005-0000-0000-000055320000}"/>
    <cellStyle name="Normal 2 5 4 4 6" xfId="26208" xr:uid="{858D7D6B-BAF6-4A70-9981-71ED943921C5}"/>
    <cellStyle name="Normal 2 5 4 5" xfId="1226" xr:uid="{00000000-0005-0000-0000-000056320000}"/>
    <cellStyle name="Normal 2 5 4 5 2" xfId="3456" xr:uid="{00000000-0005-0000-0000-000057320000}"/>
    <cellStyle name="Normal 2 5 4 5 2 2" xfId="7679" xr:uid="{00000000-0005-0000-0000-000058320000}"/>
    <cellStyle name="Normal 2 5 4 5 2 2 2" xfId="24549" xr:uid="{00000000-0005-0000-0000-000059320000}"/>
    <cellStyle name="Normal 2 5 4 5 2 2 2 2" xfId="41417" xr:uid="{F5560E5A-5DBD-4B77-8320-9DCB49064A3C}"/>
    <cellStyle name="Normal 2 5 4 5 2 2 3" xfId="16114" xr:uid="{00000000-0005-0000-0000-00005A320000}"/>
    <cellStyle name="Normal 2 5 4 5 2 2 4" xfId="32983" xr:uid="{1D190070-9C41-4642-BA78-BA5C38C88C2F}"/>
    <cellStyle name="Normal 2 5 4 5 2 3" xfId="20331" xr:uid="{00000000-0005-0000-0000-00005B320000}"/>
    <cellStyle name="Normal 2 5 4 5 2 3 2" xfId="37200" xr:uid="{47FBDF2E-C9C8-420A-8B33-6DF0299B2F23}"/>
    <cellStyle name="Normal 2 5 4 5 2 4" xfId="11896" xr:uid="{00000000-0005-0000-0000-00005C320000}"/>
    <cellStyle name="Normal 2 5 4 5 2 5" xfId="28766" xr:uid="{0CC01813-46B1-409B-A822-5BD5545C3431}"/>
    <cellStyle name="Normal 2 5 4 5 3" xfId="5534" xr:uid="{00000000-0005-0000-0000-00005D320000}"/>
    <cellStyle name="Normal 2 5 4 5 3 2" xfId="22404" xr:uid="{00000000-0005-0000-0000-00005E320000}"/>
    <cellStyle name="Normal 2 5 4 5 3 2 2" xfId="39272" xr:uid="{D076A450-8556-41C7-9E3D-D0D05DE43330}"/>
    <cellStyle name="Normal 2 5 4 5 3 3" xfId="13969" xr:uid="{00000000-0005-0000-0000-00005F320000}"/>
    <cellStyle name="Normal 2 5 4 5 3 4" xfId="30838" xr:uid="{8A8AF1B1-D385-43AA-B1F7-9F344A1355DF}"/>
    <cellStyle name="Normal 2 5 4 5 4" xfId="18186" xr:uid="{00000000-0005-0000-0000-000060320000}"/>
    <cellStyle name="Normal 2 5 4 5 4 2" xfId="35055" xr:uid="{DFB0F065-DF12-4A0C-B633-DAE089260CBB}"/>
    <cellStyle name="Normal 2 5 4 5 5" xfId="9751" xr:uid="{00000000-0005-0000-0000-000061320000}"/>
    <cellStyle name="Normal 2 5 4 5 6" xfId="26621" xr:uid="{E57DEEE9-2C6E-4224-B02F-D180C9AFCC23}"/>
    <cellStyle name="Normal 2 5 4 6" xfId="1639" xr:uid="{00000000-0005-0000-0000-000062320000}"/>
    <cellStyle name="Normal 2 5 4 6 2" xfId="3869" xr:uid="{00000000-0005-0000-0000-000063320000}"/>
    <cellStyle name="Normal 2 5 4 6 2 2" xfId="8092" xr:uid="{00000000-0005-0000-0000-000064320000}"/>
    <cellStyle name="Normal 2 5 4 6 2 2 2" xfId="24962" xr:uid="{00000000-0005-0000-0000-000065320000}"/>
    <cellStyle name="Normal 2 5 4 6 2 2 2 2" xfId="41830" xr:uid="{B01577EC-A063-4349-AAA8-092BC4D3FC7B}"/>
    <cellStyle name="Normal 2 5 4 6 2 2 3" xfId="16527" xr:uid="{00000000-0005-0000-0000-000066320000}"/>
    <cellStyle name="Normal 2 5 4 6 2 2 4" xfId="33396" xr:uid="{F34670EF-171F-4DAE-A723-1AC28604884C}"/>
    <cellStyle name="Normal 2 5 4 6 2 3" xfId="20744" xr:uid="{00000000-0005-0000-0000-000067320000}"/>
    <cellStyle name="Normal 2 5 4 6 2 3 2" xfId="37613" xr:uid="{A1D2C23F-4618-4ADA-AD04-AC3FFC1432F3}"/>
    <cellStyle name="Normal 2 5 4 6 2 4" xfId="12309" xr:uid="{00000000-0005-0000-0000-000068320000}"/>
    <cellStyle name="Normal 2 5 4 6 2 5" xfId="29179" xr:uid="{3583A701-853F-4FDA-B1D2-1FDB240731A7}"/>
    <cellStyle name="Normal 2 5 4 6 3" xfId="5947" xr:uid="{00000000-0005-0000-0000-000069320000}"/>
    <cellStyle name="Normal 2 5 4 6 3 2" xfId="22817" xr:uid="{00000000-0005-0000-0000-00006A320000}"/>
    <cellStyle name="Normal 2 5 4 6 3 2 2" xfId="39685" xr:uid="{268AD947-7C1B-470F-9DBC-1FCD4FAD3CD7}"/>
    <cellStyle name="Normal 2 5 4 6 3 3" xfId="14382" xr:uid="{00000000-0005-0000-0000-00006B320000}"/>
    <cellStyle name="Normal 2 5 4 6 3 4" xfId="31251" xr:uid="{3FC2AF66-E398-4103-9E72-19655FB59AD5}"/>
    <cellStyle name="Normal 2 5 4 6 4" xfId="18599" xr:uid="{00000000-0005-0000-0000-00006C320000}"/>
    <cellStyle name="Normal 2 5 4 6 4 2" xfId="35468" xr:uid="{78EF38D7-59D6-4A7D-B284-3675B31F6BEA}"/>
    <cellStyle name="Normal 2 5 4 6 5" xfId="10164" xr:uid="{00000000-0005-0000-0000-00006D320000}"/>
    <cellStyle name="Normal 2 5 4 6 6" xfId="27034" xr:uid="{F5124A92-F3BA-4DB3-8DE9-9F244721C8F7}"/>
    <cellStyle name="Normal 2 5 4 7" xfId="2053" xr:uid="{00000000-0005-0000-0000-00006E320000}"/>
    <cellStyle name="Normal 2 5 4 7 2" xfId="4282" xr:uid="{00000000-0005-0000-0000-00006F320000}"/>
    <cellStyle name="Normal 2 5 4 7 2 2" xfId="8505" xr:uid="{00000000-0005-0000-0000-000070320000}"/>
    <cellStyle name="Normal 2 5 4 7 2 2 2" xfId="25375" xr:uid="{00000000-0005-0000-0000-000071320000}"/>
    <cellStyle name="Normal 2 5 4 7 2 2 2 2" xfId="42243" xr:uid="{58E78DD4-12E6-4962-9330-65E605969C96}"/>
    <cellStyle name="Normal 2 5 4 7 2 2 3" xfId="16940" xr:uid="{00000000-0005-0000-0000-000072320000}"/>
    <cellStyle name="Normal 2 5 4 7 2 2 4" xfId="33809" xr:uid="{232C14C0-1AB2-49E9-BDDC-CCAF8E692951}"/>
    <cellStyle name="Normal 2 5 4 7 2 3" xfId="21157" xr:uid="{00000000-0005-0000-0000-000073320000}"/>
    <cellStyle name="Normal 2 5 4 7 2 3 2" xfId="38026" xr:uid="{F1333D69-E9B0-458C-B8AF-27B61903AE9A}"/>
    <cellStyle name="Normal 2 5 4 7 2 4" xfId="12722" xr:uid="{00000000-0005-0000-0000-000074320000}"/>
    <cellStyle name="Normal 2 5 4 7 2 5" xfId="29592" xr:uid="{BC621D79-C560-4E57-8BAC-708391A6F3B5}"/>
    <cellStyle name="Normal 2 5 4 7 3" xfId="6360" xr:uid="{00000000-0005-0000-0000-000075320000}"/>
    <cellStyle name="Normal 2 5 4 7 3 2" xfId="23230" xr:uid="{00000000-0005-0000-0000-000076320000}"/>
    <cellStyle name="Normal 2 5 4 7 3 2 2" xfId="40098" xr:uid="{C944D8FA-FC0E-4433-A474-33698765537F}"/>
    <cellStyle name="Normal 2 5 4 7 3 3" xfId="14795" xr:uid="{00000000-0005-0000-0000-000077320000}"/>
    <cellStyle name="Normal 2 5 4 7 3 4" xfId="31664" xr:uid="{EBC7D26B-467D-4053-AAAF-F46DB5042818}"/>
    <cellStyle name="Normal 2 5 4 7 4" xfId="19012" xr:uid="{00000000-0005-0000-0000-000078320000}"/>
    <cellStyle name="Normal 2 5 4 7 4 2" xfId="35881" xr:uid="{55226F59-C423-4655-A98E-6DDCE616C156}"/>
    <cellStyle name="Normal 2 5 4 7 5" xfId="10577" xr:uid="{00000000-0005-0000-0000-000079320000}"/>
    <cellStyle name="Normal 2 5 4 7 6" xfId="27447" xr:uid="{10863BA7-68CD-4FB4-9071-5D234509D4B9}"/>
    <cellStyle name="Normal 2 5 4 8" xfId="2489" xr:uid="{00000000-0005-0000-0000-00007A320000}"/>
    <cellStyle name="Normal 2 5 4 8 2" xfId="6773" xr:uid="{00000000-0005-0000-0000-00007B320000}"/>
    <cellStyle name="Normal 2 5 4 8 2 2" xfId="23643" xr:uid="{00000000-0005-0000-0000-00007C320000}"/>
    <cellStyle name="Normal 2 5 4 8 2 2 2" xfId="40511" xr:uid="{49BA6645-D15E-4FF8-8CE7-7309A3924E35}"/>
    <cellStyle name="Normal 2 5 4 8 2 3" xfId="15208" xr:uid="{00000000-0005-0000-0000-00007D320000}"/>
    <cellStyle name="Normal 2 5 4 8 2 4" xfId="32077" xr:uid="{EABE0E32-B7C5-4667-B900-C5517408C54E}"/>
    <cellStyle name="Normal 2 5 4 8 3" xfId="19425" xr:uid="{00000000-0005-0000-0000-00007E320000}"/>
    <cellStyle name="Normal 2 5 4 8 3 2" xfId="36294" xr:uid="{22C7D845-CDE9-4F5F-8FCB-552D016EF9BC}"/>
    <cellStyle name="Normal 2 5 4 8 4" xfId="10990" xr:uid="{00000000-0005-0000-0000-00007F320000}"/>
    <cellStyle name="Normal 2 5 4 8 5" xfId="27860" xr:uid="{6347CA7D-88C6-45A1-93A7-535ECBF22C7F}"/>
    <cellStyle name="Normal 2 5 4 9" xfId="4707" xr:uid="{00000000-0005-0000-0000-000080320000}"/>
    <cellStyle name="Normal 2 5 4 9 2" xfId="21577" xr:uid="{00000000-0005-0000-0000-000081320000}"/>
    <cellStyle name="Normal 2 5 4 9 2 2" xfId="38445" xr:uid="{3DD2D993-6DD9-427E-AC89-2775472CE410}"/>
    <cellStyle name="Normal 2 5 4 9 3" xfId="13142" xr:uid="{00000000-0005-0000-0000-000082320000}"/>
    <cellStyle name="Normal 2 5 4 9 4" xfId="30011" xr:uid="{847B4D6A-9086-41F0-97BE-55D7EBFC10BF}"/>
    <cellStyle name="Normal 2 5 5" xfId="803" xr:uid="{00000000-0005-0000-0000-000083320000}"/>
    <cellStyle name="Normal 2 5 5 2" xfId="3042" xr:uid="{00000000-0005-0000-0000-000084320000}"/>
    <cellStyle name="Normal 2 5 5 2 2" xfId="7265" xr:uid="{00000000-0005-0000-0000-000085320000}"/>
    <cellStyle name="Normal 2 5 5 2 2 2" xfId="24135" xr:uid="{00000000-0005-0000-0000-000086320000}"/>
    <cellStyle name="Normal 2 5 5 2 2 2 2" xfId="41003" xr:uid="{2DA59659-6F4D-4A1E-B92D-28BDCB1AC645}"/>
    <cellStyle name="Normal 2 5 5 2 2 3" xfId="15700" xr:uid="{00000000-0005-0000-0000-000087320000}"/>
    <cellStyle name="Normal 2 5 5 2 2 4" xfId="32569" xr:uid="{6A412EE4-7D29-444E-A665-EF2A70196333}"/>
    <cellStyle name="Normal 2 5 5 2 3" xfId="19917" xr:uid="{00000000-0005-0000-0000-000088320000}"/>
    <cellStyle name="Normal 2 5 5 2 3 2" xfId="36786" xr:uid="{6A96FB77-42F7-4F96-91F3-60590CFED6BA}"/>
    <cellStyle name="Normal 2 5 5 2 4" xfId="11482" xr:uid="{00000000-0005-0000-0000-000089320000}"/>
    <cellStyle name="Normal 2 5 5 2 5" xfId="28352" xr:uid="{5AAA95F3-7E2A-439E-B5B1-E559AA31E363}"/>
    <cellStyle name="Normal 2 5 5 3" xfId="5120" xr:uid="{00000000-0005-0000-0000-00008A320000}"/>
    <cellStyle name="Normal 2 5 5 3 2" xfId="21990" xr:uid="{00000000-0005-0000-0000-00008B320000}"/>
    <cellStyle name="Normal 2 5 5 3 2 2" xfId="38858" xr:uid="{43669C36-D9D8-406E-B4E6-1D1EC43694D1}"/>
    <cellStyle name="Normal 2 5 5 3 3" xfId="13555" xr:uid="{00000000-0005-0000-0000-00008C320000}"/>
    <cellStyle name="Normal 2 5 5 3 4" xfId="30424" xr:uid="{A5EF5B3A-7C58-48F6-9050-021E248BE24F}"/>
    <cellStyle name="Normal 2 5 5 4" xfId="17772" xr:uid="{00000000-0005-0000-0000-00008D320000}"/>
    <cellStyle name="Normal 2 5 5 4 2" xfId="34641" xr:uid="{2C4DA977-E63C-4E6E-B193-7A6558C67533}"/>
    <cellStyle name="Normal 2 5 5 5" xfId="9337" xr:uid="{00000000-0005-0000-0000-00008E320000}"/>
    <cellStyle name="Normal 2 5 5 6" xfId="26207" xr:uid="{13CA21F0-DA6E-4339-9304-A942B3FF82CF}"/>
    <cellStyle name="Normal 2 5 6" xfId="1225" xr:uid="{00000000-0005-0000-0000-00008F320000}"/>
    <cellStyle name="Normal 2 5 6 2" xfId="3455" xr:uid="{00000000-0005-0000-0000-000090320000}"/>
    <cellStyle name="Normal 2 5 6 2 2" xfId="7678" xr:uid="{00000000-0005-0000-0000-000091320000}"/>
    <cellStyle name="Normal 2 5 6 2 2 2" xfId="24548" xr:uid="{00000000-0005-0000-0000-000092320000}"/>
    <cellStyle name="Normal 2 5 6 2 2 2 2" xfId="41416" xr:uid="{3C2E9BC3-C728-4FAD-AB4F-9A4D2CECD559}"/>
    <cellStyle name="Normal 2 5 6 2 2 3" xfId="16113" xr:uid="{00000000-0005-0000-0000-000093320000}"/>
    <cellStyle name="Normal 2 5 6 2 2 4" xfId="32982" xr:uid="{EC709CE7-A0D9-48BD-9F22-0BAC5D544911}"/>
    <cellStyle name="Normal 2 5 6 2 3" xfId="20330" xr:uid="{00000000-0005-0000-0000-000094320000}"/>
    <cellStyle name="Normal 2 5 6 2 3 2" xfId="37199" xr:uid="{6F814107-5E6A-46BA-BFFF-0ED9A1A52B75}"/>
    <cellStyle name="Normal 2 5 6 2 4" xfId="11895" xr:uid="{00000000-0005-0000-0000-000095320000}"/>
    <cellStyle name="Normal 2 5 6 2 5" xfId="28765" xr:uid="{9A62B80A-A7A7-498D-860E-2B4F26846240}"/>
    <cellStyle name="Normal 2 5 6 3" xfId="5533" xr:uid="{00000000-0005-0000-0000-000096320000}"/>
    <cellStyle name="Normal 2 5 6 3 2" xfId="22403" xr:uid="{00000000-0005-0000-0000-000097320000}"/>
    <cellStyle name="Normal 2 5 6 3 2 2" xfId="39271" xr:uid="{66543E1D-41A1-400D-B215-9EA18BB44DE6}"/>
    <cellStyle name="Normal 2 5 6 3 3" xfId="13968" xr:uid="{00000000-0005-0000-0000-000098320000}"/>
    <cellStyle name="Normal 2 5 6 3 4" xfId="30837" xr:uid="{4D4FBBFA-A975-478A-AC52-BEA25471C7E7}"/>
    <cellStyle name="Normal 2 5 6 4" xfId="18185" xr:uid="{00000000-0005-0000-0000-000099320000}"/>
    <cellStyle name="Normal 2 5 6 4 2" xfId="35054" xr:uid="{32BA0EE5-EDA2-46FC-9149-2FA6ED292E96}"/>
    <cellStyle name="Normal 2 5 6 5" xfId="9750" xr:uid="{00000000-0005-0000-0000-00009A320000}"/>
    <cellStyle name="Normal 2 5 6 6" xfId="26620" xr:uid="{F9F4A49B-861F-4CE8-834E-51B74663E4DB}"/>
    <cellStyle name="Normal 2 5 7" xfId="1638" xr:uid="{00000000-0005-0000-0000-00009B320000}"/>
    <cellStyle name="Normal 2 5 7 2" xfId="3868" xr:uid="{00000000-0005-0000-0000-00009C320000}"/>
    <cellStyle name="Normal 2 5 7 2 2" xfId="8091" xr:uid="{00000000-0005-0000-0000-00009D320000}"/>
    <cellStyle name="Normal 2 5 7 2 2 2" xfId="24961" xr:uid="{00000000-0005-0000-0000-00009E320000}"/>
    <cellStyle name="Normal 2 5 7 2 2 2 2" xfId="41829" xr:uid="{53A286D4-79CE-48BB-AA2C-781C11CF099C}"/>
    <cellStyle name="Normal 2 5 7 2 2 3" xfId="16526" xr:uid="{00000000-0005-0000-0000-00009F320000}"/>
    <cellStyle name="Normal 2 5 7 2 2 4" xfId="33395" xr:uid="{B2DFA51E-6AE0-4914-8D8D-5AFD1C22F895}"/>
    <cellStyle name="Normal 2 5 7 2 3" xfId="20743" xr:uid="{00000000-0005-0000-0000-0000A0320000}"/>
    <cellStyle name="Normal 2 5 7 2 3 2" xfId="37612" xr:uid="{B1A4E011-9F23-4FC1-A8B3-BA3491314A8F}"/>
    <cellStyle name="Normal 2 5 7 2 4" xfId="12308" xr:uid="{00000000-0005-0000-0000-0000A1320000}"/>
    <cellStyle name="Normal 2 5 7 2 5" xfId="29178" xr:uid="{D40A593A-A559-4F9E-B88E-7DA6193EB16A}"/>
    <cellStyle name="Normal 2 5 7 3" xfId="5946" xr:uid="{00000000-0005-0000-0000-0000A2320000}"/>
    <cellStyle name="Normal 2 5 7 3 2" xfId="22816" xr:uid="{00000000-0005-0000-0000-0000A3320000}"/>
    <cellStyle name="Normal 2 5 7 3 2 2" xfId="39684" xr:uid="{A03B16AA-871D-4376-94A8-A38477761B22}"/>
    <cellStyle name="Normal 2 5 7 3 3" xfId="14381" xr:uid="{00000000-0005-0000-0000-0000A4320000}"/>
    <cellStyle name="Normal 2 5 7 3 4" xfId="31250" xr:uid="{BCD7500E-DB03-4202-814F-CF0771A6D06D}"/>
    <cellStyle name="Normal 2 5 7 4" xfId="18598" xr:uid="{00000000-0005-0000-0000-0000A5320000}"/>
    <cellStyle name="Normal 2 5 7 4 2" xfId="35467" xr:uid="{238E8D54-6E28-46C7-B038-D236F16D5C9A}"/>
    <cellStyle name="Normal 2 5 7 5" xfId="10163" xr:uid="{00000000-0005-0000-0000-0000A6320000}"/>
    <cellStyle name="Normal 2 5 7 6" xfId="27033" xr:uid="{61EEAF0D-37C0-48B7-B6EF-9D9BC282AF20}"/>
    <cellStyle name="Normal 2 5 8" xfId="2052" xr:uid="{00000000-0005-0000-0000-0000A7320000}"/>
    <cellStyle name="Normal 2 5 8 2" xfId="4281" xr:uid="{00000000-0005-0000-0000-0000A8320000}"/>
    <cellStyle name="Normal 2 5 8 2 2" xfId="8504" xr:uid="{00000000-0005-0000-0000-0000A9320000}"/>
    <cellStyle name="Normal 2 5 8 2 2 2" xfId="25374" xr:uid="{00000000-0005-0000-0000-0000AA320000}"/>
    <cellStyle name="Normal 2 5 8 2 2 2 2" xfId="42242" xr:uid="{0BB6C6F7-BF5E-48A1-BCB1-B345DED19A7B}"/>
    <cellStyle name="Normal 2 5 8 2 2 3" xfId="16939" xr:uid="{00000000-0005-0000-0000-0000AB320000}"/>
    <cellStyle name="Normal 2 5 8 2 2 4" xfId="33808" xr:uid="{72CD879C-BCD8-466C-B0D1-7D24EB1EFCA8}"/>
    <cellStyle name="Normal 2 5 8 2 3" xfId="21156" xr:uid="{00000000-0005-0000-0000-0000AC320000}"/>
    <cellStyle name="Normal 2 5 8 2 3 2" xfId="38025" xr:uid="{0E95F70F-51B5-433E-A88C-61A281FD1175}"/>
    <cellStyle name="Normal 2 5 8 2 4" xfId="12721" xr:uid="{00000000-0005-0000-0000-0000AD320000}"/>
    <cellStyle name="Normal 2 5 8 2 5" xfId="29591" xr:uid="{72A5114B-E5B7-48E8-91F5-D17F566E7AE8}"/>
    <cellStyle name="Normal 2 5 8 3" xfId="6359" xr:uid="{00000000-0005-0000-0000-0000AE320000}"/>
    <cellStyle name="Normal 2 5 8 3 2" xfId="23229" xr:uid="{00000000-0005-0000-0000-0000AF320000}"/>
    <cellStyle name="Normal 2 5 8 3 2 2" xfId="40097" xr:uid="{285F009F-C7B1-42A1-917A-746BCEAF0643}"/>
    <cellStyle name="Normal 2 5 8 3 3" xfId="14794" xr:uid="{00000000-0005-0000-0000-0000B0320000}"/>
    <cellStyle name="Normal 2 5 8 3 4" xfId="31663" xr:uid="{CE92DC73-6C97-47FF-A089-AB5C98D764A0}"/>
    <cellStyle name="Normal 2 5 8 4" xfId="19011" xr:uid="{00000000-0005-0000-0000-0000B1320000}"/>
    <cellStyle name="Normal 2 5 8 4 2" xfId="35880" xr:uid="{CEDB4332-2EF4-4C88-AAB7-EA178F53D5B2}"/>
    <cellStyle name="Normal 2 5 8 5" xfId="10576" xr:uid="{00000000-0005-0000-0000-0000B2320000}"/>
    <cellStyle name="Normal 2 5 8 6" xfId="27446" xr:uid="{1DFE99F7-1630-4229-8B1D-88BE700D5CDA}"/>
    <cellStyle name="Normal 2 5 9" xfId="2488" xr:uid="{00000000-0005-0000-0000-0000B3320000}"/>
    <cellStyle name="Normal 2 5 9 2" xfId="6772" xr:uid="{00000000-0005-0000-0000-0000B4320000}"/>
    <cellStyle name="Normal 2 5 9 2 2" xfId="23642" xr:uid="{00000000-0005-0000-0000-0000B5320000}"/>
    <cellStyle name="Normal 2 5 9 2 2 2" xfId="40510" xr:uid="{14363A40-60CD-4037-9685-4AF37BAF5207}"/>
    <cellStyle name="Normal 2 5 9 2 3" xfId="15207" xr:uid="{00000000-0005-0000-0000-0000B6320000}"/>
    <cellStyle name="Normal 2 5 9 2 4" xfId="32076" xr:uid="{BC99E735-30DA-4AC2-AA20-1CEDF472352D}"/>
    <cellStyle name="Normal 2 5 9 3" xfId="19424" xr:uid="{00000000-0005-0000-0000-0000B7320000}"/>
    <cellStyle name="Normal 2 5 9 3 2" xfId="36293" xr:uid="{DD83B974-4E07-40D1-B0A2-AD3F68CD2E55}"/>
    <cellStyle name="Normal 2 5 9 4" xfId="10989" xr:uid="{00000000-0005-0000-0000-0000B8320000}"/>
    <cellStyle name="Normal 2 5 9 5" xfId="27859" xr:uid="{E2FB5D6E-CA28-4365-BAD5-4A55DEF20889}"/>
    <cellStyle name="Normal 2 6" xfId="322" xr:uid="{00000000-0005-0000-0000-0000B9320000}"/>
    <cellStyle name="Normal 2 7" xfId="769" xr:uid="{00000000-0005-0000-0000-0000BA320000}"/>
    <cellStyle name="Normal 2 8" xfId="4495" xr:uid="{00000000-0005-0000-0000-0000BB320000}"/>
    <cellStyle name="Normal 2 8 2" xfId="21368" xr:uid="{00000000-0005-0000-0000-0000BC320000}"/>
    <cellStyle name="Normal 2 8 3" xfId="12933" xr:uid="{00000000-0005-0000-0000-0000BD320000}"/>
    <cellStyle name="Normal 3" xfId="323" xr:uid="{00000000-0005-0000-0000-0000BE320000}"/>
    <cellStyle name="Normal 3 2" xfId="324" xr:uid="{00000000-0005-0000-0000-0000BF320000}"/>
    <cellStyle name="Normal 3 2 10" xfId="17363" xr:uid="{00000000-0005-0000-0000-0000C0320000}"/>
    <cellStyle name="Normal 3 2 10 2" xfId="34232" xr:uid="{0186658F-92E4-4174-BA3C-A0992684AC66}"/>
    <cellStyle name="Normal 3 2 11" xfId="8928" xr:uid="{00000000-0005-0000-0000-0000C1320000}"/>
    <cellStyle name="Normal 3 2 12" xfId="25798" xr:uid="{E4F0CAAF-DFF3-4556-92B3-8B2669D24216}"/>
    <cellStyle name="Normal 3 2 2" xfId="325" xr:uid="{00000000-0005-0000-0000-0000C2320000}"/>
    <cellStyle name="Normal 3 2 2 2" xfId="810" xr:uid="{00000000-0005-0000-0000-0000C3320000}"/>
    <cellStyle name="Normal 3 2 3" xfId="326" xr:uid="{00000000-0005-0000-0000-0000C4320000}"/>
    <cellStyle name="Normal 3 2 3 10" xfId="17364" xr:uid="{00000000-0005-0000-0000-0000C5320000}"/>
    <cellStyle name="Normal 3 2 3 10 2" xfId="34233" xr:uid="{2E0597F7-EF46-4702-BFD2-AAD2B7D543EC}"/>
    <cellStyle name="Normal 3 2 3 11" xfId="8929" xr:uid="{00000000-0005-0000-0000-0000C6320000}"/>
    <cellStyle name="Normal 3 2 3 12" xfId="25799" xr:uid="{863C89D6-1A27-48AE-9138-4700E61AB6E6}"/>
    <cellStyle name="Normal 3 2 3 2" xfId="327" xr:uid="{00000000-0005-0000-0000-0000C7320000}"/>
    <cellStyle name="Normal 3 2 3 2 10" xfId="8930" xr:uid="{00000000-0005-0000-0000-0000C8320000}"/>
    <cellStyle name="Normal 3 2 3 2 11" xfId="25800" xr:uid="{6B4707E4-E325-41BC-857B-60C16461031F}"/>
    <cellStyle name="Normal 3 2 3 2 2" xfId="328" xr:uid="{00000000-0005-0000-0000-0000C9320000}"/>
    <cellStyle name="Normal 3 2 3 2 2 10" xfId="25801" xr:uid="{81B51ABB-1EC9-4C5B-A8CB-3D4059841EA5}"/>
    <cellStyle name="Normal 3 2 3 2 2 2" xfId="813" xr:uid="{00000000-0005-0000-0000-0000CA320000}"/>
    <cellStyle name="Normal 3 2 3 2 2 2 2" xfId="3050" xr:uid="{00000000-0005-0000-0000-0000CB320000}"/>
    <cellStyle name="Normal 3 2 3 2 2 2 2 2" xfId="7273" xr:uid="{00000000-0005-0000-0000-0000CC320000}"/>
    <cellStyle name="Normal 3 2 3 2 2 2 2 2 2" xfId="24143" xr:uid="{00000000-0005-0000-0000-0000CD320000}"/>
    <cellStyle name="Normal 3 2 3 2 2 2 2 2 2 2" xfId="41011" xr:uid="{BC6325A1-9BB4-4F22-8C90-0E488FBFA907}"/>
    <cellStyle name="Normal 3 2 3 2 2 2 2 2 3" xfId="15708" xr:uid="{00000000-0005-0000-0000-0000CE320000}"/>
    <cellStyle name="Normal 3 2 3 2 2 2 2 2 4" xfId="32577" xr:uid="{CA785D1E-E254-47D1-96AC-A7D3BF5E9D4A}"/>
    <cellStyle name="Normal 3 2 3 2 2 2 2 3" xfId="19925" xr:uid="{00000000-0005-0000-0000-0000CF320000}"/>
    <cellStyle name="Normal 3 2 3 2 2 2 2 3 2" xfId="36794" xr:uid="{77CFF525-D8E3-4CC5-BE59-7F401D64B9B9}"/>
    <cellStyle name="Normal 3 2 3 2 2 2 2 4" xfId="11490" xr:uid="{00000000-0005-0000-0000-0000D0320000}"/>
    <cellStyle name="Normal 3 2 3 2 2 2 2 5" xfId="28360" xr:uid="{55B658CD-EBBA-4699-8F77-1288E9009E07}"/>
    <cellStyle name="Normal 3 2 3 2 2 2 3" xfId="5128" xr:uid="{00000000-0005-0000-0000-0000D1320000}"/>
    <cellStyle name="Normal 3 2 3 2 2 2 3 2" xfId="21998" xr:uid="{00000000-0005-0000-0000-0000D2320000}"/>
    <cellStyle name="Normal 3 2 3 2 2 2 3 2 2" xfId="38866" xr:uid="{8CE0406B-9106-46BF-8E0F-307D5C0C318A}"/>
    <cellStyle name="Normal 3 2 3 2 2 2 3 3" xfId="13563" xr:uid="{00000000-0005-0000-0000-0000D3320000}"/>
    <cellStyle name="Normal 3 2 3 2 2 2 3 4" xfId="30432" xr:uid="{82528DC3-05D5-4DD1-9E68-E97CA8BA5E29}"/>
    <cellStyle name="Normal 3 2 3 2 2 2 4" xfId="17780" xr:uid="{00000000-0005-0000-0000-0000D4320000}"/>
    <cellStyle name="Normal 3 2 3 2 2 2 4 2" xfId="34649" xr:uid="{A88FE6BC-2029-4424-9BB2-E8D473C91326}"/>
    <cellStyle name="Normal 3 2 3 2 2 2 5" xfId="9345" xr:uid="{00000000-0005-0000-0000-0000D5320000}"/>
    <cellStyle name="Normal 3 2 3 2 2 2 6" xfId="26215" xr:uid="{76E386AF-C5F3-4B93-B64F-3F7C8B71B496}"/>
    <cellStyle name="Normal 3 2 3 2 2 3" xfId="1233" xr:uid="{00000000-0005-0000-0000-0000D6320000}"/>
    <cellStyle name="Normal 3 2 3 2 2 3 2" xfId="3463" xr:uid="{00000000-0005-0000-0000-0000D7320000}"/>
    <cellStyle name="Normal 3 2 3 2 2 3 2 2" xfId="7686" xr:uid="{00000000-0005-0000-0000-0000D8320000}"/>
    <cellStyle name="Normal 3 2 3 2 2 3 2 2 2" xfId="24556" xr:uid="{00000000-0005-0000-0000-0000D9320000}"/>
    <cellStyle name="Normal 3 2 3 2 2 3 2 2 2 2" xfId="41424" xr:uid="{98C0CFA2-C3D2-427E-9923-39BA0FE0ED32}"/>
    <cellStyle name="Normal 3 2 3 2 2 3 2 2 3" xfId="16121" xr:uid="{00000000-0005-0000-0000-0000DA320000}"/>
    <cellStyle name="Normal 3 2 3 2 2 3 2 2 4" xfId="32990" xr:uid="{5BDDA035-0CB6-4D61-ACCF-217C921F6DB4}"/>
    <cellStyle name="Normal 3 2 3 2 2 3 2 3" xfId="20338" xr:uid="{00000000-0005-0000-0000-0000DB320000}"/>
    <cellStyle name="Normal 3 2 3 2 2 3 2 3 2" xfId="37207" xr:uid="{B7E95291-2C9D-48B5-94AF-AFEA5C249608}"/>
    <cellStyle name="Normal 3 2 3 2 2 3 2 4" xfId="11903" xr:uid="{00000000-0005-0000-0000-0000DC320000}"/>
    <cellStyle name="Normal 3 2 3 2 2 3 2 5" xfId="28773" xr:uid="{A5A0CF4C-9CF3-4547-B787-C922C5C697FE}"/>
    <cellStyle name="Normal 3 2 3 2 2 3 3" xfId="5541" xr:uid="{00000000-0005-0000-0000-0000DD320000}"/>
    <cellStyle name="Normal 3 2 3 2 2 3 3 2" xfId="22411" xr:uid="{00000000-0005-0000-0000-0000DE320000}"/>
    <cellStyle name="Normal 3 2 3 2 2 3 3 2 2" xfId="39279" xr:uid="{B847CEE1-D3EC-4F8F-85B9-FC4A611D341A}"/>
    <cellStyle name="Normal 3 2 3 2 2 3 3 3" xfId="13976" xr:uid="{00000000-0005-0000-0000-0000DF320000}"/>
    <cellStyle name="Normal 3 2 3 2 2 3 3 4" xfId="30845" xr:uid="{B1C6BFF3-20F7-49EE-A805-B675B83E2C11}"/>
    <cellStyle name="Normal 3 2 3 2 2 3 4" xfId="18193" xr:uid="{00000000-0005-0000-0000-0000E0320000}"/>
    <cellStyle name="Normal 3 2 3 2 2 3 4 2" xfId="35062" xr:uid="{050E248E-5CA8-4DC2-B8D5-30C297EF89CF}"/>
    <cellStyle name="Normal 3 2 3 2 2 3 5" xfId="9758" xr:uid="{00000000-0005-0000-0000-0000E1320000}"/>
    <cellStyle name="Normal 3 2 3 2 2 3 6" xfId="26628" xr:uid="{DA9DE311-BFE4-4FFA-B050-67A4C48AD3B9}"/>
    <cellStyle name="Normal 3 2 3 2 2 4" xfId="1646" xr:uid="{00000000-0005-0000-0000-0000E2320000}"/>
    <cellStyle name="Normal 3 2 3 2 2 4 2" xfId="3876" xr:uid="{00000000-0005-0000-0000-0000E3320000}"/>
    <cellStyle name="Normal 3 2 3 2 2 4 2 2" xfId="8099" xr:uid="{00000000-0005-0000-0000-0000E4320000}"/>
    <cellStyle name="Normal 3 2 3 2 2 4 2 2 2" xfId="24969" xr:uid="{00000000-0005-0000-0000-0000E5320000}"/>
    <cellStyle name="Normal 3 2 3 2 2 4 2 2 2 2" xfId="41837" xr:uid="{77D01ECA-1ADA-4A22-92B8-2ACF74EAA58B}"/>
    <cellStyle name="Normal 3 2 3 2 2 4 2 2 3" xfId="16534" xr:uid="{00000000-0005-0000-0000-0000E6320000}"/>
    <cellStyle name="Normal 3 2 3 2 2 4 2 2 4" xfId="33403" xr:uid="{ACEF868F-8FC0-4A4D-AEB1-9F6EB692568B}"/>
    <cellStyle name="Normal 3 2 3 2 2 4 2 3" xfId="20751" xr:uid="{00000000-0005-0000-0000-0000E7320000}"/>
    <cellStyle name="Normal 3 2 3 2 2 4 2 3 2" xfId="37620" xr:uid="{0F24C563-06E2-49DE-802D-DF8F79DA95C4}"/>
    <cellStyle name="Normal 3 2 3 2 2 4 2 4" xfId="12316" xr:uid="{00000000-0005-0000-0000-0000E8320000}"/>
    <cellStyle name="Normal 3 2 3 2 2 4 2 5" xfId="29186" xr:uid="{59FE21E8-F39C-4602-B61F-189A8E28F10B}"/>
    <cellStyle name="Normal 3 2 3 2 2 4 3" xfId="5954" xr:uid="{00000000-0005-0000-0000-0000E9320000}"/>
    <cellStyle name="Normal 3 2 3 2 2 4 3 2" xfId="22824" xr:uid="{00000000-0005-0000-0000-0000EA320000}"/>
    <cellStyle name="Normal 3 2 3 2 2 4 3 2 2" xfId="39692" xr:uid="{DAB06291-BA0A-4593-B73D-6881524B5E59}"/>
    <cellStyle name="Normal 3 2 3 2 2 4 3 3" xfId="14389" xr:uid="{00000000-0005-0000-0000-0000EB320000}"/>
    <cellStyle name="Normal 3 2 3 2 2 4 3 4" xfId="31258" xr:uid="{D8FAE65A-FE21-409E-ABF6-AA17C8704380}"/>
    <cellStyle name="Normal 3 2 3 2 2 4 4" xfId="18606" xr:uid="{00000000-0005-0000-0000-0000EC320000}"/>
    <cellStyle name="Normal 3 2 3 2 2 4 4 2" xfId="35475" xr:uid="{C94141FD-D15E-4815-9916-DF3E4246FA3F}"/>
    <cellStyle name="Normal 3 2 3 2 2 4 5" xfId="10171" xr:uid="{00000000-0005-0000-0000-0000ED320000}"/>
    <cellStyle name="Normal 3 2 3 2 2 4 6" xfId="27041" xr:uid="{AA9B3B3B-1DBB-4F1D-B2B8-5325F3E13044}"/>
    <cellStyle name="Normal 3 2 3 2 2 5" xfId="2060" xr:uid="{00000000-0005-0000-0000-0000EE320000}"/>
    <cellStyle name="Normal 3 2 3 2 2 5 2" xfId="4289" xr:uid="{00000000-0005-0000-0000-0000EF320000}"/>
    <cellStyle name="Normal 3 2 3 2 2 5 2 2" xfId="8512" xr:uid="{00000000-0005-0000-0000-0000F0320000}"/>
    <cellStyle name="Normal 3 2 3 2 2 5 2 2 2" xfId="25382" xr:uid="{00000000-0005-0000-0000-0000F1320000}"/>
    <cellStyle name="Normal 3 2 3 2 2 5 2 2 2 2" xfId="42250" xr:uid="{69D1A991-6279-46D6-B1FC-9B3311816A59}"/>
    <cellStyle name="Normal 3 2 3 2 2 5 2 2 3" xfId="16947" xr:uid="{00000000-0005-0000-0000-0000F2320000}"/>
    <cellStyle name="Normal 3 2 3 2 2 5 2 2 4" xfId="33816" xr:uid="{B8C25D02-7900-45DF-BCAC-46F300601A31}"/>
    <cellStyle name="Normal 3 2 3 2 2 5 2 3" xfId="21164" xr:uid="{00000000-0005-0000-0000-0000F3320000}"/>
    <cellStyle name="Normal 3 2 3 2 2 5 2 3 2" xfId="38033" xr:uid="{87939C80-AE46-4404-864C-B8ADDE7CA12F}"/>
    <cellStyle name="Normal 3 2 3 2 2 5 2 4" xfId="12729" xr:uid="{00000000-0005-0000-0000-0000F4320000}"/>
    <cellStyle name="Normal 3 2 3 2 2 5 2 5" xfId="29599" xr:uid="{05179DF6-0F09-48BF-B493-4832E6D9BD69}"/>
    <cellStyle name="Normal 3 2 3 2 2 5 3" xfId="6367" xr:uid="{00000000-0005-0000-0000-0000F5320000}"/>
    <cellStyle name="Normal 3 2 3 2 2 5 3 2" xfId="23237" xr:uid="{00000000-0005-0000-0000-0000F6320000}"/>
    <cellStyle name="Normal 3 2 3 2 2 5 3 2 2" xfId="40105" xr:uid="{5F7B7235-85ED-4232-BB22-CC93EC6E3ADD}"/>
    <cellStyle name="Normal 3 2 3 2 2 5 3 3" xfId="14802" xr:uid="{00000000-0005-0000-0000-0000F7320000}"/>
    <cellStyle name="Normal 3 2 3 2 2 5 3 4" xfId="31671" xr:uid="{D9441729-FCC8-4D94-A8A1-CB22792C74FF}"/>
    <cellStyle name="Normal 3 2 3 2 2 5 4" xfId="19019" xr:uid="{00000000-0005-0000-0000-0000F8320000}"/>
    <cellStyle name="Normal 3 2 3 2 2 5 4 2" xfId="35888" xr:uid="{9E4B4C33-7F4E-4040-A8B4-65D7DA6FEF14}"/>
    <cellStyle name="Normal 3 2 3 2 2 5 5" xfId="10584" xr:uid="{00000000-0005-0000-0000-0000F9320000}"/>
    <cellStyle name="Normal 3 2 3 2 2 5 6" xfId="27454" xr:uid="{6E72667C-462B-41A4-9071-450B7BEF9B55}"/>
    <cellStyle name="Normal 3 2 3 2 2 6" xfId="2496" xr:uid="{00000000-0005-0000-0000-0000FA320000}"/>
    <cellStyle name="Normal 3 2 3 2 2 6 2" xfId="6780" xr:uid="{00000000-0005-0000-0000-0000FB320000}"/>
    <cellStyle name="Normal 3 2 3 2 2 6 2 2" xfId="23650" xr:uid="{00000000-0005-0000-0000-0000FC320000}"/>
    <cellStyle name="Normal 3 2 3 2 2 6 2 2 2" xfId="40518" xr:uid="{9672501E-CE22-4B7D-B660-8314EAEBF373}"/>
    <cellStyle name="Normal 3 2 3 2 2 6 2 3" xfId="15215" xr:uid="{00000000-0005-0000-0000-0000FD320000}"/>
    <cellStyle name="Normal 3 2 3 2 2 6 2 4" xfId="32084" xr:uid="{BE94874C-5CBA-4040-9B7B-81A613B13E4C}"/>
    <cellStyle name="Normal 3 2 3 2 2 6 3" xfId="19432" xr:uid="{00000000-0005-0000-0000-0000FE320000}"/>
    <cellStyle name="Normal 3 2 3 2 2 6 3 2" xfId="36301" xr:uid="{A4407D94-5FD7-4D91-98AA-7F44F36A1666}"/>
    <cellStyle name="Normal 3 2 3 2 2 6 4" xfId="10997" xr:uid="{00000000-0005-0000-0000-0000FF320000}"/>
    <cellStyle name="Normal 3 2 3 2 2 6 5" xfId="27867" xr:uid="{2984475A-5AA5-4BD7-AB39-A327C8E8BE00}"/>
    <cellStyle name="Normal 3 2 3 2 2 7" xfId="4714" xr:uid="{00000000-0005-0000-0000-000000330000}"/>
    <cellStyle name="Normal 3 2 3 2 2 7 2" xfId="21584" xr:uid="{00000000-0005-0000-0000-000001330000}"/>
    <cellStyle name="Normal 3 2 3 2 2 7 2 2" xfId="38452" xr:uid="{54800198-E54A-45CC-838B-F4234D1F9157}"/>
    <cellStyle name="Normal 3 2 3 2 2 7 3" xfId="13149" xr:uid="{00000000-0005-0000-0000-000002330000}"/>
    <cellStyle name="Normal 3 2 3 2 2 7 4" xfId="30018" xr:uid="{1EAEB1F5-C9FD-4BA9-AD50-630F6BC7A82B}"/>
    <cellStyle name="Normal 3 2 3 2 2 8" xfId="17366" xr:uid="{00000000-0005-0000-0000-000003330000}"/>
    <cellStyle name="Normal 3 2 3 2 2 8 2" xfId="34235" xr:uid="{AB20DA2F-A9A6-48EA-9509-B98591CBAF5A}"/>
    <cellStyle name="Normal 3 2 3 2 2 9" xfId="8931" xr:uid="{00000000-0005-0000-0000-000004330000}"/>
    <cellStyle name="Normal 3 2 3 2 3" xfId="812" xr:uid="{00000000-0005-0000-0000-000005330000}"/>
    <cellStyle name="Normal 3 2 3 2 3 2" xfId="3049" xr:uid="{00000000-0005-0000-0000-000006330000}"/>
    <cellStyle name="Normal 3 2 3 2 3 2 2" xfId="7272" xr:uid="{00000000-0005-0000-0000-000007330000}"/>
    <cellStyle name="Normal 3 2 3 2 3 2 2 2" xfId="24142" xr:uid="{00000000-0005-0000-0000-000008330000}"/>
    <cellStyle name="Normal 3 2 3 2 3 2 2 2 2" xfId="41010" xr:uid="{7DC9C1CF-BA34-4FDA-8156-F0BD96806A3E}"/>
    <cellStyle name="Normal 3 2 3 2 3 2 2 3" xfId="15707" xr:uid="{00000000-0005-0000-0000-000009330000}"/>
    <cellStyle name="Normal 3 2 3 2 3 2 2 4" xfId="32576" xr:uid="{21712F97-8333-43A5-A049-D7CC3ED26620}"/>
    <cellStyle name="Normal 3 2 3 2 3 2 3" xfId="19924" xr:uid="{00000000-0005-0000-0000-00000A330000}"/>
    <cellStyle name="Normal 3 2 3 2 3 2 3 2" xfId="36793" xr:uid="{63673A93-D656-46C1-B6CB-C0E6BB6589B6}"/>
    <cellStyle name="Normal 3 2 3 2 3 2 4" xfId="11489" xr:uid="{00000000-0005-0000-0000-00000B330000}"/>
    <cellStyle name="Normal 3 2 3 2 3 2 5" xfId="28359" xr:uid="{77C95D6B-1EC2-4031-BE4B-3F3188D01017}"/>
    <cellStyle name="Normal 3 2 3 2 3 3" xfId="5127" xr:uid="{00000000-0005-0000-0000-00000C330000}"/>
    <cellStyle name="Normal 3 2 3 2 3 3 2" xfId="21997" xr:uid="{00000000-0005-0000-0000-00000D330000}"/>
    <cellStyle name="Normal 3 2 3 2 3 3 2 2" xfId="38865" xr:uid="{F27559DF-05BA-4FD0-8794-F5EDE097B587}"/>
    <cellStyle name="Normal 3 2 3 2 3 3 3" xfId="13562" xr:uid="{00000000-0005-0000-0000-00000E330000}"/>
    <cellStyle name="Normal 3 2 3 2 3 3 4" xfId="30431" xr:uid="{ED803264-DF2B-4423-AD1D-3BD0FAB9C0A2}"/>
    <cellStyle name="Normal 3 2 3 2 3 4" xfId="17779" xr:uid="{00000000-0005-0000-0000-00000F330000}"/>
    <cellStyle name="Normal 3 2 3 2 3 4 2" xfId="34648" xr:uid="{9F73B176-EC66-4AF6-9E23-C7B8178F92C6}"/>
    <cellStyle name="Normal 3 2 3 2 3 5" xfId="9344" xr:uid="{00000000-0005-0000-0000-000010330000}"/>
    <cellStyle name="Normal 3 2 3 2 3 6" xfId="26214" xr:uid="{004CC8E4-1F40-4C03-8372-32724B0AFD8A}"/>
    <cellStyle name="Normal 3 2 3 2 4" xfId="1232" xr:uid="{00000000-0005-0000-0000-000011330000}"/>
    <cellStyle name="Normal 3 2 3 2 4 2" xfId="3462" xr:uid="{00000000-0005-0000-0000-000012330000}"/>
    <cellStyle name="Normal 3 2 3 2 4 2 2" xfId="7685" xr:uid="{00000000-0005-0000-0000-000013330000}"/>
    <cellStyle name="Normal 3 2 3 2 4 2 2 2" xfId="24555" xr:uid="{00000000-0005-0000-0000-000014330000}"/>
    <cellStyle name="Normal 3 2 3 2 4 2 2 2 2" xfId="41423" xr:uid="{2A13F1C8-C1ED-429C-B088-0D9DCB65E4B4}"/>
    <cellStyle name="Normal 3 2 3 2 4 2 2 3" xfId="16120" xr:uid="{00000000-0005-0000-0000-000015330000}"/>
    <cellStyle name="Normal 3 2 3 2 4 2 2 4" xfId="32989" xr:uid="{54E2D678-BBFD-4707-97CE-50E54DB37110}"/>
    <cellStyle name="Normal 3 2 3 2 4 2 3" xfId="20337" xr:uid="{00000000-0005-0000-0000-000016330000}"/>
    <cellStyle name="Normal 3 2 3 2 4 2 3 2" xfId="37206" xr:uid="{88F98E23-4FE7-48FC-9838-510FCE1751CD}"/>
    <cellStyle name="Normal 3 2 3 2 4 2 4" xfId="11902" xr:uid="{00000000-0005-0000-0000-000017330000}"/>
    <cellStyle name="Normal 3 2 3 2 4 2 5" xfId="28772" xr:uid="{A49103FB-89F0-458F-977F-5ECD90E37EF3}"/>
    <cellStyle name="Normal 3 2 3 2 4 3" xfId="5540" xr:uid="{00000000-0005-0000-0000-000018330000}"/>
    <cellStyle name="Normal 3 2 3 2 4 3 2" xfId="22410" xr:uid="{00000000-0005-0000-0000-000019330000}"/>
    <cellStyle name="Normal 3 2 3 2 4 3 2 2" xfId="39278" xr:uid="{C8407644-590F-4F29-8109-C05DA1441C31}"/>
    <cellStyle name="Normal 3 2 3 2 4 3 3" xfId="13975" xr:uid="{00000000-0005-0000-0000-00001A330000}"/>
    <cellStyle name="Normal 3 2 3 2 4 3 4" xfId="30844" xr:uid="{0F23B02B-D06F-4BAB-BA7A-6F9460067829}"/>
    <cellStyle name="Normal 3 2 3 2 4 4" xfId="18192" xr:uid="{00000000-0005-0000-0000-00001B330000}"/>
    <cellStyle name="Normal 3 2 3 2 4 4 2" xfId="35061" xr:uid="{1724DA44-A0D1-4A63-A026-0BE9AEBE9A1D}"/>
    <cellStyle name="Normal 3 2 3 2 4 5" xfId="9757" xr:uid="{00000000-0005-0000-0000-00001C330000}"/>
    <cellStyle name="Normal 3 2 3 2 4 6" xfId="26627" xr:uid="{30068D5A-72A9-4AE1-AF56-2137BC7678D6}"/>
    <cellStyle name="Normal 3 2 3 2 5" xfId="1645" xr:uid="{00000000-0005-0000-0000-00001D330000}"/>
    <cellStyle name="Normal 3 2 3 2 5 2" xfId="3875" xr:uid="{00000000-0005-0000-0000-00001E330000}"/>
    <cellStyle name="Normal 3 2 3 2 5 2 2" xfId="8098" xr:uid="{00000000-0005-0000-0000-00001F330000}"/>
    <cellStyle name="Normal 3 2 3 2 5 2 2 2" xfId="24968" xr:uid="{00000000-0005-0000-0000-000020330000}"/>
    <cellStyle name="Normal 3 2 3 2 5 2 2 2 2" xfId="41836" xr:uid="{B70B179A-B6A2-456D-B393-4BE2B435EA17}"/>
    <cellStyle name="Normal 3 2 3 2 5 2 2 3" xfId="16533" xr:uid="{00000000-0005-0000-0000-000021330000}"/>
    <cellStyle name="Normal 3 2 3 2 5 2 2 4" xfId="33402" xr:uid="{FFD63FE3-4550-4978-9AA9-4B61721A1FD9}"/>
    <cellStyle name="Normal 3 2 3 2 5 2 3" xfId="20750" xr:uid="{00000000-0005-0000-0000-000022330000}"/>
    <cellStyle name="Normal 3 2 3 2 5 2 3 2" xfId="37619" xr:uid="{EF723EC2-AE09-4FAF-8976-AAD3A804ED93}"/>
    <cellStyle name="Normal 3 2 3 2 5 2 4" xfId="12315" xr:uid="{00000000-0005-0000-0000-000023330000}"/>
    <cellStyle name="Normal 3 2 3 2 5 2 5" xfId="29185" xr:uid="{1FA55C0E-8BA8-4E0F-8B2A-40210D1654FE}"/>
    <cellStyle name="Normal 3 2 3 2 5 3" xfId="5953" xr:uid="{00000000-0005-0000-0000-000024330000}"/>
    <cellStyle name="Normal 3 2 3 2 5 3 2" xfId="22823" xr:uid="{00000000-0005-0000-0000-000025330000}"/>
    <cellStyle name="Normal 3 2 3 2 5 3 2 2" xfId="39691" xr:uid="{AF93766C-8A1F-43BA-A0B1-9A270EB5187C}"/>
    <cellStyle name="Normal 3 2 3 2 5 3 3" xfId="14388" xr:uid="{00000000-0005-0000-0000-000026330000}"/>
    <cellStyle name="Normal 3 2 3 2 5 3 4" xfId="31257" xr:uid="{FBD2A5F8-7176-4FCF-9A01-B5803F88A7F6}"/>
    <cellStyle name="Normal 3 2 3 2 5 4" xfId="18605" xr:uid="{00000000-0005-0000-0000-000027330000}"/>
    <cellStyle name="Normal 3 2 3 2 5 4 2" xfId="35474" xr:uid="{BB9F7F06-9A5E-4C36-8CCF-9FA96DCE037A}"/>
    <cellStyle name="Normal 3 2 3 2 5 5" xfId="10170" xr:uid="{00000000-0005-0000-0000-000028330000}"/>
    <cellStyle name="Normal 3 2 3 2 5 6" xfId="27040" xr:uid="{E6AA3AC2-0417-4BD0-BB45-6D2D26A57E56}"/>
    <cellStyle name="Normal 3 2 3 2 6" xfId="2059" xr:uid="{00000000-0005-0000-0000-000029330000}"/>
    <cellStyle name="Normal 3 2 3 2 6 2" xfId="4288" xr:uid="{00000000-0005-0000-0000-00002A330000}"/>
    <cellStyle name="Normal 3 2 3 2 6 2 2" xfId="8511" xr:uid="{00000000-0005-0000-0000-00002B330000}"/>
    <cellStyle name="Normal 3 2 3 2 6 2 2 2" xfId="25381" xr:uid="{00000000-0005-0000-0000-00002C330000}"/>
    <cellStyle name="Normal 3 2 3 2 6 2 2 2 2" xfId="42249" xr:uid="{63FD5107-4533-4F9F-A18E-32FA15D9446A}"/>
    <cellStyle name="Normal 3 2 3 2 6 2 2 3" xfId="16946" xr:uid="{00000000-0005-0000-0000-00002D330000}"/>
    <cellStyle name="Normal 3 2 3 2 6 2 2 4" xfId="33815" xr:uid="{AA69F0D3-D1F0-46C3-9A43-4EE302D2EDBD}"/>
    <cellStyle name="Normal 3 2 3 2 6 2 3" xfId="21163" xr:uid="{00000000-0005-0000-0000-00002E330000}"/>
    <cellStyle name="Normal 3 2 3 2 6 2 3 2" xfId="38032" xr:uid="{4116C9B7-2311-4CC3-8560-E5A34C873533}"/>
    <cellStyle name="Normal 3 2 3 2 6 2 4" xfId="12728" xr:uid="{00000000-0005-0000-0000-00002F330000}"/>
    <cellStyle name="Normal 3 2 3 2 6 2 5" xfId="29598" xr:uid="{68A82BB1-DA6D-4687-B99A-260E5FEAD2D7}"/>
    <cellStyle name="Normal 3 2 3 2 6 3" xfId="6366" xr:uid="{00000000-0005-0000-0000-000030330000}"/>
    <cellStyle name="Normal 3 2 3 2 6 3 2" xfId="23236" xr:uid="{00000000-0005-0000-0000-000031330000}"/>
    <cellStyle name="Normal 3 2 3 2 6 3 2 2" xfId="40104" xr:uid="{C340E10F-088D-46A3-B108-299ACF52FD64}"/>
    <cellStyle name="Normal 3 2 3 2 6 3 3" xfId="14801" xr:uid="{00000000-0005-0000-0000-000032330000}"/>
    <cellStyle name="Normal 3 2 3 2 6 3 4" xfId="31670" xr:uid="{0BFBF2B6-39CB-48C4-A452-544C44904717}"/>
    <cellStyle name="Normal 3 2 3 2 6 4" xfId="19018" xr:uid="{00000000-0005-0000-0000-000033330000}"/>
    <cellStyle name="Normal 3 2 3 2 6 4 2" xfId="35887" xr:uid="{DEFAD8B5-22EB-479F-B46F-D2C57BA62C59}"/>
    <cellStyle name="Normal 3 2 3 2 6 5" xfId="10583" xr:uid="{00000000-0005-0000-0000-000034330000}"/>
    <cellStyle name="Normal 3 2 3 2 6 6" xfId="27453" xr:uid="{544FC747-8615-4815-B11B-E2B40731C428}"/>
    <cellStyle name="Normal 3 2 3 2 7" xfId="2495" xr:uid="{00000000-0005-0000-0000-000035330000}"/>
    <cellStyle name="Normal 3 2 3 2 7 2" xfId="6779" xr:uid="{00000000-0005-0000-0000-000036330000}"/>
    <cellStyle name="Normal 3 2 3 2 7 2 2" xfId="23649" xr:uid="{00000000-0005-0000-0000-000037330000}"/>
    <cellStyle name="Normal 3 2 3 2 7 2 2 2" xfId="40517" xr:uid="{BAB8E3D3-F440-4189-B710-30C90D8B5BE2}"/>
    <cellStyle name="Normal 3 2 3 2 7 2 3" xfId="15214" xr:uid="{00000000-0005-0000-0000-000038330000}"/>
    <cellStyle name="Normal 3 2 3 2 7 2 4" xfId="32083" xr:uid="{49774DCD-D520-43C0-BFA7-2F6B3944AC91}"/>
    <cellStyle name="Normal 3 2 3 2 7 3" xfId="19431" xr:uid="{00000000-0005-0000-0000-000039330000}"/>
    <cellStyle name="Normal 3 2 3 2 7 3 2" xfId="36300" xr:uid="{2C0B5354-E4C6-439D-BE91-9F0BC0FF2D6F}"/>
    <cellStyle name="Normal 3 2 3 2 7 4" xfId="10996" xr:uid="{00000000-0005-0000-0000-00003A330000}"/>
    <cellStyle name="Normal 3 2 3 2 7 5" xfId="27866" xr:uid="{ECD1E88E-6173-46D9-A157-2DAA37549A45}"/>
    <cellStyle name="Normal 3 2 3 2 8" xfId="4713" xr:uid="{00000000-0005-0000-0000-00003B330000}"/>
    <cellStyle name="Normal 3 2 3 2 8 2" xfId="21583" xr:uid="{00000000-0005-0000-0000-00003C330000}"/>
    <cellStyle name="Normal 3 2 3 2 8 2 2" xfId="38451" xr:uid="{17018AEE-3011-47FE-9CAB-F434EB934BAF}"/>
    <cellStyle name="Normal 3 2 3 2 8 3" xfId="13148" xr:uid="{00000000-0005-0000-0000-00003D330000}"/>
    <cellStyle name="Normal 3 2 3 2 8 4" xfId="30017" xr:uid="{8A9EBEE0-E27A-4BE6-8E6C-BF5A0530DC68}"/>
    <cellStyle name="Normal 3 2 3 2 9" xfId="17365" xr:uid="{00000000-0005-0000-0000-00003E330000}"/>
    <cellStyle name="Normal 3 2 3 2 9 2" xfId="34234" xr:uid="{762AD709-13E3-4D31-821B-9CF3E14AB33E}"/>
    <cellStyle name="Normal 3 2 3 3" xfId="329" xr:uid="{00000000-0005-0000-0000-00003F330000}"/>
    <cellStyle name="Normal 3 2 3 3 10" xfId="25802" xr:uid="{81CF57C7-BEB1-4D99-B79F-F049E8C8BBEB}"/>
    <cellStyle name="Normal 3 2 3 3 2" xfId="814" xr:uid="{00000000-0005-0000-0000-000040330000}"/>
    <cellStyle name="Normal 3 2 3 3 2 2" xfId="3051" xr:uid="{00000000-0005-0000-0000-000041330000}"/>
    <cellStyle name="Normal 3 2 3 3 2 2 2" xfId="7274" xr:uid="{00000000-0005-0000-0000-000042330000}"/>
    <cellStyle name="Normal 3 2 3 3 2 2 2 2" xfId="24144" xr:uid="{00000000-0005-0000-0000-000043330000}"/>
    <cellStyle name="Normal 3 2 3 3 2 2 2 2 2" xfId="41012" xr:uid="{E6614EAD-F353-4BDE-9E06-9AA28550C6F7}"/>
    <cellStyle name="Normal 3 2 3 3 2 2 2 3" xfId="15709" xr:uid="{00000000-0005-0000-0000-000044330000}"/>
    <cellStyle name="Normal 3 2 3 3 2 2 2 4" xfId="32578" xr:uid="{126D6B78-E94D-4D19-B99D-8DA0CFB93EB6}"/>
    <cellStyle name="Normal 3 2 3 3 2 2 3" xfId="19926" xr:uid="{00000000-0005-0000-0000-000045330000}"/>
    <cellStyle name="Normal 3 2 3 3 2 2 3 2" xfId="36795" xr:uid="{22A5A267-CCEC-4D98-B76F-1F39189727CC}"/>
    <cellStyle name="Normal 3 2 3 3 2 2 4" xfId="11491" xr:uid="{00000000-0005-0000-0000-000046330000}"/>
    <cellStyle name="Normal 3 2 3 3 2 2 5" xfId="28361" xr:uid="{DE326E21-5255-4BA5-86B4-D8896E3F9F1C}"/>
    <cellStyle name="Normal 3 2 3 3 2 3" xfId="5129" xr:uid="{00000000-0005-0000-0000-000047330000}"/>
    <cellStyle name="Normal 3 2 3 3 2 3 2" xfId="21999" xr:uid="{00000000-0005-0000-0000-000048330000}"/>
    <cellStyle name="Normal 3 2 3 3 2 3 2 2" xfId="38867" xr:uid="{A35D07D6-EE4A-41D9-90F6-CBE7CDFE93C6}"/>
    <cellStyle name="Normal 3 2 3 3 2 3 3" xfId="13564" xr:uid="{00000000-0005-0000-0000-000049330000}"/>
    <cellStyle name="Normal 3 2 3 3 2 3 4" xfId="30433" xr:uid="{94211533-6865-4177-AFA3-4C3F56A60EBE}"/>
    <cellStyle name="Normal 3 2 3 3 2 4" xfId="17781" xr:uid="{00000000-0005-0000-0000-00004A330000}"/>
    <cellStyle name="Normal 3 2 3 3 2 4 2" xfId="34650" xr:uid="{5FB19579-0F91-4225-A6E2-4D159773E8F9}"/>
    <cellStyle name="Normal 3 2 3 3 2 5" xfId="9346" xr:uid="{00000000-0005-0000-0000-00004B330000}"/>
    <cellStyle name="Normal 3 2 3 3 2 6" xfId="26216" xr:uid="{506B5C1B-6943-4092-8148-27E55E9EF816}"/>
    <cellStyle name="Normal 3 2 3 3 3" xfId="1234" xr:uid="{00000000-0005-0000-0000-00004C330000}"/>
    <cellStyle name="Normal 3 2 3 3 3 2" xfId="3464" xr:uid="{00000000-0005-0000-0000-00004D330000}"/>
    <cellStyle name="Normal 3 2 3 3 3 2 2" xfId="7687" xr:uid="{00000000-0005-0000-0000-00004E330000}"/>
    <cellStyle name="Normal 3 2 3 3 3 2 2 2" xfId="24557" xr:uid="{00000000-0005-0000-0000-00004F330000}"/>
    <cellStyle name="Normal 3 2 3 3 3 2 2 2 2" xfId="41425" xr:uid="{C7B7F965-8B2B-42CA-B0C5-DA1F89391E80}"/>
    <cellStyle name="Normal 3 2 3 3 3 2 2 3" xfId="16122" xr:uid="{00000000-0005-0000-0000-000050330000}"/>
    <cellStyle name="Normal 3 2 3 3 3 2 2 4" xfId="32991" xr:uid="{CF8C5E48-3FA6-478C-A6A3-4BA5AFA0FFC7}"/>
    <cellStyle name="Normal 3 2 3 3 3 2 3" xfId="20339" xr:uid="{00000000-0005-0000-0000-000051330000}"/>
    <cellStyle name="Normal 3 2 3 3 3 2 3 2" xfId="37208" xr:uid="{606001E6-C27A-465C-ACDD-3A41BBFFD85A}"/>
    <cellStyle name="Normal 3 2 3 3 3 2 4" xfId="11904" xr:uid="{00000000-0005-0000-0000-000052330000}"/>
    <cellStyle name="Normal 3 2 3 3 3 2 5" xfId="28774" xr:uid="{ED6396D9-1DBD-458A-BEC7-EF6DA9ACB62F}"/>
    <cellStyle name="Normal 3 2 3 3 3 3" xfId="5542" xr:uid="{00000000-0005-0000-0000-000053330000}"/>
    <cellStyle name="Normal 3 2 3 3 3 3 2" xfId="22412" xr:uid="{00000000-0005-0000-0000-000054330000}"/>
    <cellStyle name="Normal 3 2 3 3 3 3 2 2" xfId="39280" xr:uid="{79D8BCDC-7F09-45E9-8CF6-86515286EE4F}"/>
    <cellStyle name="Normal 3 2 3 3 3 3 3" xfId="13977" xr:uid="{00000000-0005-0000-0000-000055330000}"/>
    <cellStyle name="Normal 3 2 3 3 3 3 4" xfId="30846" xr:uid="{4486422C-0FF8-487B-BB3F-24F28FA17282}"/>
    <cellStyle name="Normal 3 2 3 3 3 4" xfId="18194" xr:uid="{00000000-0005-0000-0000-000056330000}"/>
    <cellStyle name="Normal 3 2 3 3 3 4 2" xfId="35063" xr:uid="{CBA67026-9969-4566-892F-E32A7101E9F0}"/>
    <cellStyle name="Normal 3 2 3 3 3 5" xfId="9759" xr:uid="{00000000-0005-0000-0000-000057330000}"/>
    <cellStyle name="Normal 3 2 3 3 3 6" xfId="26629" xr:uid="{D7B6F76A-D5F7-4713-BB26-053DBDF733EC}"/>
    <cellStyle name="Normal 3 2 3 3 4" xfId="1647" xr:uid="{00000000-0005-0000-0000-000058330000}"/>
    <cellStyle name="Normal 3 2 3 3 4 2" xfId="3877" xr:uid="{00000000-0005-0000-0000-000059330000}"/>
    <cellStyle name="Normal 3 2 3 3 4 2 2" xfId="8100" xr:uid="{00000000-0005-0000-0000-00005A330000}"/>
    <cellStyle name="Normal 3 2 3 3 4 2 2 2" xfId="24970" xr:uid="{00000000-0005-0000-0000-00005B330000}"/>
    <cellStyle name="Normal 3 2 3 3 4 2 2 2 2" xfId="41838" xr:uid="{8B151941-AD92-47B2-87FB-FD5BA7553506}"/>
    <cellStyle name="Normal 3 2 3 3 4 2 2 3" xfId="16535" xr:uid="{00000000-0005-0000-0000-00005C330000}"/>
    <cellStyle name="Normal 3 2 3 3 4 2 2 4" xfId="33404" xr:uid="{54609C9B-78F8-4F4C-BB55-1DD405AD5C55}"/>
    <cellStyle name="Normal 3 2 3 3 4 2 3" xfId="20752" xr:uid="{00000000-0005-0000-0000-00005D330000}"/>
    <cellStyle name="Normal 3 2 3 3 4 2 3 2" xfId="37621" xr:uid="{CAB3B838-487B-4515-8BC7-8597F5277ED6}"/>
    <cellStyle name="Normal 3 2 3 3 4 2 4" xfId="12317" xr:uid="{00000000-0005-0000-0000-00005E330000}"/>
    <cellStyle name="Normal 3 2 3 3 4 2 5" xfId="29187" xr:uid="{725A7DA2-C779-4A57-808B-65ABDDE5DDCE}"/>
    <cellStyle name="Normal 3 2 3 3 4 3" xfId="5955" xr:uid="{00000000-0005-0000-0000-00005F330000}"/>
    <cellStyle name="Normal 3 2 3 3 4 3 2" xfId="22825" xr:uid="{00000000-0005-0000-0000-000060330000}"/>
    <cellStyle name="Normal 3 2 3 3 4 3 2 2" xfId="39693" xr:uid="{354DF09A-3858-4EB3-847F-76F222AE3B05}"/>
    <cellStyle name="Normal 3 2 3 3 4 3 3" xfId="14390" xr:uid="{00000000-0005-0000-0000-000061330000}"/>
    <cellStyle name="Normal 3 2 3 3 4 3 4" xfId="31259" xr:uid="{D4C08917-C8AD-46B7-912F-B53073C5CD7D}"/>
    <cellStyle name="Normal 3 2 3 3 4 4" xfId="18607" xr:uid="{00000000-0005-0000-0000-000062330000}"/>
    <cellStyle name="Normal 3 2 3 3 4 4 2" xfId="35476" xr:uid="{77AF8316-BB79-49DF-80EE-A5A8AD73FDAA}"/>
    <cellStyle name="Normal 3 2 3 3 4 5" xfId="10172" xr:uid="{00000000-0005-0000-0000-000063330000}"/>
    <cellStyle name="Normal 3 2 3 3 4 6" xfId="27042" xr:uid="{91CA7CA9-3144-4C58-90EE-AB38082838C6}"/>
    <cellStyle name="Normal 3 2 3 3 5" xfId="2061" xr:uid="{00000000-0005-0000-0000-000064330000}"/>
    <cellStyle name="Normal 3 2 3 3 5 2" xfId="4290" xr:uid="{00000000-0005-0000-0000-000065330000}"/>
    <cellStyle name="Normal 3 2 3 3 5 2 2" xfId="8513" xr:uid="{00000000-0005-0000-0000-000066330000}"/>
    <cellStyle name="Normal 3 2 3 3 5 2 2 2" xfId="25383" xr:uid="{00000000-0005-0000-0000-000067330000}"/>
    <cellStyle name="Normal 3 2 3 3 5 2 2 2 2" xfId="42251" xr:uid="{59B21747-0A30-45E3-BC33-45A0841ECB43}"/>
    <cellStyle name="Normal 3 2 3 3 5 2 2 3" xfId="16948" xr:uid="{00000000-0005-0000-0000-000068330000}"/>
    <cellStyle name="Normal 3 2 3 3 5 2 2 4" xfId="33817" xr:uid="{859F4846-6163-41CF-A287-49A11C9CF433}"/>
    <cellStyle name="Normal 3 2 3 3 5 2 3" xfId="21165" xr:uid="{00000000-0005-0000-0000-000069330000}"/>
    <cellStyle name="Normal 3 2 3 3 5 2 3 2" xfId="38034" xr:uid="{A37B1A47-D456-48C7-B32E-CBB1B426182F}"/>
    <cellStyle name="Normal 3 2 3 3 5 2 4" xfId="12730" xr:uid="{00000000-0005-0000-0000-00006A330000}"/>
    <cellStyle name="Normal 3 2 3 3 5 2 5" xfId="29600" xr:uid="{4AE06EB0-D246-4DF0-8017-C8719B26E86D}"/>
    <cellStyle name="Normal 3 2 3 3 5 3" xfId="6368" xr:uid="{00000000-0005-0000-0000-00006B330000}"/>
    <cellStyle name="Normal 3 2 3 3 5 3 2" xfId="23238" xr:uid="{00000000-0005-0000-0000-00006C330000}"/>
    <cellStyle name="Normal 3 2 3 3 5 3 2 2" xfId="40106" xr:uid="{C5CD987C-BC42-4A56-84AF-05794BD56754}"/>
    <cellStyle name="Normal 3 2 3 3 5 3 3" xfId="14803" xr:uid="{00000000-0005-0000-0000-00006D330000}"/>
    <cellStyle name="Normal 3 2 3 3 5 3 4" xfId="31672" xr:uid="{048711E2-656F-4A2D-B858-0836EA5DE79A}"/>
    <cellStyle name="Normal 3 2 3 3 5 4" xfId="19020" xr:uid="{00000000-0005-0000-0000-00006E330000}"/>
    <cellStyle name="Normal 3 2 3 3 5 4 2" xfId="35889" xr:uid="{D65B20C0-D077-4CE0-ACB2-FC0182A4A81A}"/>
    <cellStyle name="Normal 3 2 3 3 5 5" xfId="10585" xr:uid="{00000000-0005-0000-0000-00006F330000}"/>
    <cellStyle name="Normal 3 2 3 3 5 6" xfId="27455" xr:uid="{B893A65F-AB87-46B2-BF1C-3B3912F595F1}"/>
    <cellStyle name="Normal 3 2 3 3 6" xfId="2497" xr:uid="{00000000-0005-0000-0000-000070330000}"/>
    <cellStyle name="Normal 3 2 3 3 6 2" xfId="6781" xr:uid="{00000000-0005-0000-0000-000071330000}"/>
    <cellStyle name="Normal 3 2 3 3 6 2 2" xfId="23651" xr:uid="{00000000-0005-0000-0000-000072330000}"/>
    <cellStyle name="Normal 3 2 3 3 6 2 2 2" xfId="40519" xr:uid="{74D85C59-D640-46FC-95B2-68A782246C31}"/>
    <cellStyle name="Normal 3 2 3 3 6 2 3" xfId="15216" xr:uid="{00000000-0005-0000-0000-000073330000}"/>
    <cellStyle name="Normal 3 2 3 3 6 2 4" xfId="32085" xr:uid="{BFA79EDA-4620-4A80-BCD3-8C96B92ABC94}"/>
    <cellStyle name="Normal 3 2 3 3 6 3" xfId="19433" xr:uid="{00000000-0005-0000-0000-000074330000}"/>
    <cellStyle name="Normal 3 2 3 3 6 3 2" xfId="36302" xr:uid="{DE652A58-C23F-477A-A297-9735F9B7E875}"/>
    <cellStyle name="Normal 3 2 3 3 6 4" xfId="10998" xr:uid="{00000000-0005-0000-0000-000075330000}"/>
    <cellStyle name="Normal 3 2 3 3 6 5" xfId="27868" xr:uid="{3880ACE1-5B94-4949-A9F4-440C96E1DF03}"/>
    <cellStyle name="Normal 3 2 3 3 7" xfId="4715" xr:uid="{00000000-0005-0000-0000-000076330000}"/>
    <cellStyle name="Normal 3 2 3 3 7 2" xfId="21585" xr:uid="{00000000-0005-0000-0000-000077330000}"/>
    <cellStyle name="Normal 3 2 3 3 7 2 2" xfId="38453" xr:uid="{334196AC-D136-469A-9C3F-7F5F0D14074C}"/>
    <cellStyle name="Normal 3 2 3 3 7 3" xfId="13150" xr:uid="{00000000-0005-0000-0000-000078330000}"/>
    <cellStyle name="Normal 3 2 3 3 7 4" xfId="30019" xr:uid="{F67DC160-C62B-43EE-94AD-062EFACFB948}"/>
    <cellStyle name="Normal 3 2 3 3 8" xfId="17367" xr:uid="{00000000-0005-0000-0000-000079330000}"/>
    <cellStyle name="Normal 3 2 3 3 8 2" xfId="34236" xr:uid="{3FFFAE9C-AA65-490F-BEB7-A6E793566531}"/>
    <cellStyle name="Normal 3 2 3 3 9" xfId="8932" xr:uid="{00000000-0005-0000-0000-00007A330000}"/>
    <cellStyle name="Normal 3 2 3 4" xfId="811" xr:uid="{00000000-0005-0000-0000-00007B330000}"/>
    <cellStyle name="Normal 3 2 3 4 2" xfId="3048" xr:uid="{00000000-0005-0000-0000-00007C330000}"/>
    <cellStyle name="Normal 3 2 3 4 2 2" xfId="7271" xr:uid="{00000000-0005-0000-0000-00007D330000}"/>
    <cellStyle name="Normal 3 2 3 4 2 2 2" xfId="24141" xr:uid="{00000000-0005-0000-0000-00007E330000}"/>
    <cellStyle name="Normal 3 2 3 4 2 2 2 2" xfId="41009" xr:uid="{E811ECDB-22B0-423A-B491-DD0116CF96C9}"/>
    <cellStyle name="Normal 3 2 3 4 2 2 3" xfId="15706" xr:uid="{00000000-0005-0000-0000-00007F330000}"/>
    <cellStyle name="Normal 3 2 3 4 2 2 4" xfId="32575" xr:uid="{AEA3892D-CD80-4B21-9BD9-EB10D71649DD}"/>
    <cellStyle name="Normal 3 2 3 4 2 3" xfId="19923" xr:uid="{00000000-0005-0000-0000-000080330000}"/>
    <cellStyle name="Normal 3 2 3 4 2 3 2" xfId="36792" xr:uid="{9FC2C413-4D4B-4F71-B436-31AAD70F470C}"/>
    <cellStyle name="Normal 3 2 3 4 2 4" xfId="11488" xr:uid="{00000000-0005-0000-0000-000081330000}"/>
    <cellStyle name="Normal 3 2 3 4 2 5" xfId="28358" xr:uid="{73E97BFA-6D86-4176-AA0A-CB8FA0DD07E2}"/>
    <cellStyle name="Normal 3 2 3 4 3" xfId="5126" xr:uid="{00000000-0005-0000-0000-000082330000}"/>
    <cellStyle name="Normal 3 2 3 4 3 2" xfId="21996" xr:uid="{00000000-0005-0000-0000-000083330000}"/>
    <cellStyle name="Normal 3 2 3 4 3 2 2" xfId="38864" xr:uid="{7D8A07E9-A6B8-4C1A-9F96-C4D78EBFF93B}"/>
    <cellStyle name="Normal 3 2 3 4 3 3" xfId="13561" xr:uid="{00000000-0005-0000-0000-000084330000}"/>
    <cellStyle name="Normal 3 2 3 4 3 4" xfId="30430" xr:uid="{D5B33412-00DA-4247-B848-1068F1A555AA}"/>
    <cellStyle name="Normal 3 2 3 4 4" xfId="17778" xr:uid="{00000000-0005-0000-0000-000085330000}"/>
    <cellStyle name="Normal 3 2 3 4 4 2" xfId="34647" xr:uid="{9086414D-A2E7-42E0-BAAD-E99F81176163}"/>
    <cellStyle name="Normal 3 2 3 4 5" xfId="9343" xr:uid="{00000000-0005-0000-0000-000086330000}"/>
    <cellStyle name="Normal 3 2 3 4 6" xfId="26213" xr:uid="{AA5400C4-B4D6-4ECF-B2FC-232B81BFF308}"/>
    <cellStyle name="Normal 3 2 3 5" xfId="1231" xr:uid="{00000000-0005-0000-0000-000087330000}"/>
    <cellStyle name="Normal 3 2 3 5 2" xfId="3461" xr:uid="{00000000-0005-0000-0000-000088330000}"/>
    <cellStyle name="Normal 3 2 3 5 2 2" xfId="7684" xr:uid="{00000000-0005-0000-0000-000089330000}"/>
    <cellStyle name="Normal 3 2 3 5 2 2 2" xfId="24554" xr:uid="{00000000-0005-0000-0000-00008A330000}"/>
    <cellStyle name="Normal 3 2 3 5 2 2 2 2" xfId="41422" xr:uid="{7DFB30EF-B586-40E7-91BB-5DA85D2003F0}"/>
    <cellStyle name="Normal 3 2 3 5 2 2 3" xfId="16119" xr:uid="{00000000-0005-0000-0000-00008B330000}"/>
    <cellStyle name="Normal 3 2 3 5 2 2 4" xfId="32988" xr:uid="{93EA5A5F-0B2A-4711-85A4-8C5C62C75DB7}"/>
    <cellStyle name="Normal 3 2 3 5 2 3" xfId="20336" xr:uid="{00000000-0005-0000-0000-00008C330000}"/>
    <cellStyle name="Normal 3 2 3 5 2 3 2" xfId="37205" xr:uid="{B851EC27-D83E-41A6-9F49-BC7E57E8C262}"/>
    <cellStyle name="Normal 3 2 3 5 2 4" xfId="11901" xr:uid="{00000000-0005-0000-0000-00008D330000}"/>
    <cellStyle name="Normal 3 2 3 5 2 5" xfId="28771" xr:uid="{F209672E-A0E5-4BB6-BC7C-DE588EBA26A8}"/>
    <cellStyle name="Normal 3 2 3 5 3" xfId="5539" xr:uid="{00000000-0005-0000-0000-00008E330000}"/>
    <cellStyle name="Normal 3 2 3 5 3 2" xfId="22409" xr:uid="{00000000-0005-0000-0000-00008F330000}"/>
    <cellStyle name="Normal 3 2 3 5 3 2 2" xfId="39277" xr:uid="{2FA1551C-15DC-4105-9292-07B34536282D}"/>
    <cellStyle name="Normal 3 2 3 5 3 3" xfId="13974" xr:uid="{00000000-0005-0000-0000-000090330000}"/>
    <cellStyle name="Normal 3 2 3 5 3 4" xfId="30843" xr:uid="{3E975478-12F8-4FCB-8758-D205C8627883}"/>
    <cellStyle name="Normal 3 2 3 5 4" xfId="18191" xr:uid="{00000000-0005-0000-0000-000091330000}"/>
    <cellStyle name="Normal 3 2 3 5 4 2" xfId="35060" xr:uid="{A1544F49-CBB6-471C-B18E-E808DC63D884}"/>
    <cellStyle name="Normal 3 2 3 5 5" xfId="9756" xr:uid="{00000000-0005-0000-0000-000092330000}"/>
    <cellStyle name="Normal 3 2 3 5 6" xfId="26626" xr:uid="{E1B7D967-CBC6-4A47-A551-2DCDA6009175}"/>
    <cellStyle name="Normal 3 2 3 6" xfId="1644" xr:uid="{00000000-0005-0000-0000-000093330000}"/>
    <cellStyle name="Normal 3 2 3 6 2" xfId="3874" xr:uid="{00000000-0005-0000-0000-000094330000}"/>
    <cellStyle name="Normal 3 2 3 6 2 2" xfId="8097" xr:uid="{00000000-0005-0000-0000-000095330000}"/>
    <cellStyle name="Normal 3 2 3 6 2 2 2" xfId="24967" xr:uid="{00000000-0005-0000-0000-000096330000}"/>
    <cellStyle name="Normal 3 2 3 6 2 2 2 2" xfId="41835" xr:uid="{FF6DCC8C-EA0B-4CB4-98FD-FE2DD212D5D9}"/>
    <cellStyle name="Normal 3 2 3 6 2 2 3" xfId="16532" xr:uid="{00000000-0005-0000-0000-000097330000}"/>
    <cellStyle name="Normal 3 2 3 6 2 2 4" xfId="33401" xr:uid="{40045310-F285-4357-A682-EF97A197B15C}"/>
    <cellStyle name="Normal 3 2 3 6 2 3" xfId="20749" xr:uid="{00000000-0005-0000-0000-000098330000}"/>
    <cellStyle name="Normal 3 2 3 6 2 3 2" xfId="37618" xr:uid="{7F819CD6-113D-4F72-8F64-60A6A286CBEC}"/>
    <cellStyle name="Normal 3 2 3 6 2 4" xfId="12314" xr:uid="{00000000-0005-0000-0000-000099330000}"/>
    <cellStyle name="Normal 3 2 3 6 2 5" xfId="29184" xr:uid="{6BA72B51-1250-4135-AA42-0664DF478D15}"/>
    <cellStyle name="Normal 3 2 3 6 3" xfId="5952" xr:uid="{00000000-0005-0000-0000-00009A330000}"/>
    <cellStyle name="Normal 3 2 3 6 3 2" xfId="22822" xr:uid="{00000000-0005-0000-0000-00009B330000}"/>
    <cellStyle name="Normal 3 2 3 6 3 2 2" xfId="39690" xr:uid="{828B3ED3-D8AB-4DCE-BC40-42CAC7EB2283}"/>
    <cellStyle name="Normal 3 2 3 6 3 3" xfId="14387" xr:uid="{00000000-0005-0000-0000-00009C330000}"/>
    <cellStyle name="Normal 3 2 3 6 3 4" xfId="31256" xr:uid="{5298244C-3F2B-4B57-B3CA-7188C10E45B4}"/>
    <cellStyle name="Normal 3 2 3 6 4" xfId="18604" xr:uid="{00000000-0005-0000-0000-00009D330000}"/>
    <cellStyle name="Normal 3 2 3 6 4 2" xfId="35473" xr:uid="{627C6090-38B6-4DE5-B763-4222C9D562AA}"/>
    <cellStyle name="Normal 3 2 3 6 5" xfId="10169" xr:uid="{00000000-0005-0000-0000-00009E330000}"/>
    <cellStyle name="Normal 3 2 3 6 6" xfId="27039" xr:uid="{3325B09A-6CAF-4B09-BFD7-DB2824199F2D}"/>
    <cellStyle name="Normal 3 2 3 7" xfId="2058" xr:uid="{00000000-0005-0000-0000-00009F330000}"/>
    <cellStyle name="Normal 3 2 3 7 2" xfId="4287" xr:uid="{00000000-0005-0000-0000-0000A0330000}"/>
    <cellStyle name="Normal 3 2 3 7 2 2" xfId="8510" xr:uid="{00000000-0005-0000-0000-0000A1330000}"/>
    <cellStyle name="Normal 3 2 3 7 2 2 2" xfId="25380" xr:uid="{00000000-0005-0000-0000-0000A2330000}"/>
    <cellStyle name="Normal 3 2 3 7 2 2 2 2" xfId="42248" xr:uid="{5819DC0A-768B-40B0-8F1A-368A56A9346D}"/>
    <cellStyle name="Normal 3 2 3 7 2 2 3" xfId="16945" xr:uid="{00000000-0005-0000-0000-0000A3330000}"/>
    <cellStyle name="Normal 3 2 3 7 2 2 4" xfId="33814" xr:uid="{8F4EB9AF-9C4B-41A3-A097-6CEBBB0666B0}"/>
    <cellStyle name="Normal 3 2 3 7 2 3" xfId="21162" xr:uid="{00000000-0005-0000-0000-0000A4330000}"/>
    <cellStyle name="Normal 3 2 3 7 2 3 2" xfId="38031" xr:uid="{DEC353F8-BFCE-472B-AF64-ED95F1CE9896}"/>
    <cellStyle name="Normal 3 2 3 7 2 4" xfId="12727" xr:uid="{00000000-0005-0000-0000-0000A5330000}"/>
    <cellStyle name="Normal 3 2 3 7 2 5" xfId="29597" xr:uid="{73BD939A-1AC2-405A-917C-86C67D501747}"/>
    <cellStyle name="Normal 3 2 3 7 3" xfId="6365" xr:uid="{00000000-0005-0000-0000-0000A6330000}"/>
    <cellStyle name="Normal 3 2 3 7 3 2" xfId="23235" xr:uid="{00000000-0005-0000-0000-0000A7330000}"/>
    <cellStyle name="Normal 3 2 3 7 3 2 2" xfId="40103" xr:uid="{98244B28-8A78-4300-9E7C-456D01B9776D}"/>
    <cellStyle name="Normal 3 2 3 7 3 3" xfId="14800" xr:uid="{00000000-0005-0000-0000-0000A8330000}"/>
    <cellStyle name="Normal 3 2 3 7 3 4" xfId="31669" xr:uid="{C18A088D-CD54-4687-B4A5-E2815D73D999}"/>
    <cellStyle name="Normal 3 2 3 7 4" xfId="19017" xr:uid="{00000000-0005-0000-0000-0000A9330000}"/>
    <cellStyle name="Normal 3 2 3 7 4 2" xfId="35886" xr:uid="{7C88F21F-A0A5-4AFA-B520-0249A022DFCA}"/>
    <cellStyle name="Normal 3 2 3 7 5" xfId="10582" xr:uid="{00000000-0005-0000-0000-0000AA330000}"/>
    <cellStyle name="Normal 3 2 3 7 6" xfId="27452" xr:uid="{888C3661-3B75-45B3-936B-73381E36F88A}"/>
    <cellStyle name="Normal 3 2 3 8" xfId="2494" xr:uid="{00000000-0005-0000-0000-0000AB330000}"/>
    <cellStyle name="Normal 3 2 3 8 2" xfId="6778" xr:uid="{00000000-0005-0000-0000-0000AC330000}"/>
    <cellStyle name="Normal 3 2 3 8 2 2" xfId="23648" xr:uid="{00000000-0005-0000-0000-0000AD330000}"/>
    <cellStyle name="Normal 3 2 3 8 2 2 2" xfId="40516" xr:uid="{77CE38E8-4B68-4206-944E-93BA13558586}"/>
    <cellStyle name="Normal 3 2 3 8 2 3" xfId="15213" xr:uid="{00000000-0005-0000-0000-0000AE330000}"/>
    <cellStyle name="Normal 3 2 3 8 2 4" xfId="32082" xr:uid="{CF4CB675-BC36-4C56-97F3-584B9DE64BED}"/>
    <cellStyle name="Normal 3 2 3 8 3" xfId="19430" xr:uid="{00000000-0005-0000-0000-0000AF330000}"/>
    <cellStyle name="Normal 3 2 3 8 3 2" xfId="36299" xr:uid="{12FD845F-8029-471A-818C-6329F2B8BD45}"/>
    <cellStyle name="Normal 3 2 3 8 4" xfId="10995" xr:uid="{00000000-0005-0000-0000-0000B0330000}"/>
    <cellStyle name="Normal 3 2 3 8 5" xfId="27865" xr:uid="{65E6A847-9FE7-49B0-A3BB-EAC04B7EFA51}"/>
    <cellStyle name="Normal 3 2 3 9" xfId="4712" xr:uid="{00000000-0005-0000-0000-0000B1330000}"/>
    <cellStyle name="Normal 3 2 3 9 2" xfId="21582" xr:uid="{00000000-0005-0000-0000-0000B2330000}"/>
    <cellStyle name="Normal 3 2 3 9 2 2" xfId="38450" xr:uid="{377D514D-5BF0-4F49-B6A5-E229FA6021F3}"/>
    <cellStyle name="Normal 3 2 3 9 3" xfId="13147" xr:uid="{00000000-0005-0000-0000-0000B3330000}"/>
    <cellStyle name="Normal 3 2 3 9 4" xfId="30016" xr:uid="{4148C31C-8CB7-4A3C-A583-275DF5E7ACB9}"/>
    <cellStyle name="Normal 3 2 4" xfId="809" xr:uid="{00000000-0005-0000-0000-0000B4330000}"/>
    <cellStyle name="Normal 3 2 4 2" xfId="3047" xr:uid="{00000000-0005-0000-0000-0000B5330000}"/>
    <cellStyle name="Normal 3 2 4 2 2" xfId="7270" xr:uid="{00000000-0005-0000-0000-0000B6330000}"/>
    <cellStyle name="Normal 3 2 4 2 2 2" xfId="24140" xr:uid="{00000000-0005-0000-0000-0000B7330000}"/>
    <cellStyle name="Normal 3 2 4 2 2 2 2" xfId="41008" xr:uid="{2E570E9C-981B-4589-BAE9-39C621D348BA}"/>
    <cellStyle name="Normal 3 2 4 2 2 3" xfId="15705" xr:uid="{00000000-0005-0000-0000-0000B8330000}"/>
    <cellStyle name="Normal 3 2 4 2 2 4" xfId="32574" xr:uid="{C28D329B-A5A6-4F10-A137-6F57655C0D4B}"/>
    <cellStyle name="Normal 3 2 4 2 3" xfId="19922" xr:uid="{00000000-0005-0000-0000-0000B9330000}"/>
    <cellStyle name="Normal 3 2 4 2 3 2" xfId="36791" xr:uid="{320FC1B8-0E5B-4054-84CC-8F5B356751B4}"/>
    <cellStyle name="Normal 3 2 4 2 4" xfId="11487" xr:uid="{00000000-0005-0000-0000-0000BA330000}"/>
    <cellStyle name="Normal 3 2 4 2 5" xfId="28357" xr:uid="{9E58F68F-AFD9-4A50-A234-EA55C5D522B1}"/>
    <cellStyle name="Normal 3 2 4 3" xfId="5125" xr:uid="{00000000-0005-0000-0000-0000BB330000}"/>
    <cellStyle name="Normal 3 2 4 3 2" xfId="21995" xr:uid="{00000000-0005-0000-0000-0000BC330000}"/>
    <cellStyle name="Normal 3 2 4 3 2 2" xfId="38863" xr:uid="{B4053BAB-9600-4156-86CD-5A08410D4696}"/>
    <cellStyle name="Normal 3 2 4 3 3" xfId="13560" xr:uid="{00000000-0005-0000-0000-0000BD330000}"/>
    <cellStyle name="Normal 3 2 4 3 4" xfId="30429" xr:uid="{5A4F33EF-C9A3-4044-A647-E54406CDD283}"/>
    <cellStyle name="Normal 3 2 4 4" xfId="17777" xr:uid="{00000000-0005-0000-0000-0000BE330000}"/>
    <cellStyle name="Normal 3 2 4 4 2" xfId="34646" xr:uid="{CF44231B-CD8C-4F3D-91D1-CB901B2B3A17}"/>
    <cellStyle name="Normal 3 2 4 5" xfId="9342" xr:uid="{00000000-0005-0000-0000-0000BF330000}"/>
    <cellStyle name="Normal 3 2 4 6" xfId="26212" xr:uid="{85EE206D-8893-4234-85FD-E43682CE526A}"/>
    <cellStyle name="Normal 3 2 5" xfId="1230" xr:uid="{00000000-0005-0000-0000-0000C0330000}"/>
    <cellStyle name="Normal 3 2 5 2" xfId="3460" xr:uid="{00000000-0005-0000-0000-0000C1330000}"/>
    <cellStyle name="Normal 3 2 5 2 2" xfId="7683" xr:uid="{00000000-0005-0000-0000-0000C2330000}"/>
    <cellStyle name="Normal 3 2 5 2 2 2" xfId="24553" xr:uid="{00000000-0005-0000-0000-0000C3330000}"/>
    <cellStyle name="Normal 3 2 5 2 2 2 2" xfId="41421" xr:uid="{96316F1D-D327-4A40-8BA3-A6ED5421F7F0}"/>
    <cellStyle name="Normal 3 2 5 2 2 3" xfId="16118" xr:uid="{00000000-0005-0000-0000-0000C4330000}"/>
    <cellStyle name="Normal 3 2 5 2 2 4" xfId="32987" xr:uid="{A9AC19E3-13A2-4A7E-8307-8F8DBCBC4BBC}"/>
    <cellStyle name="Normal 3 2 5 2 3" xfId="20335" xr:uid="{00000000-0005-0000-0000-0000C5330000}"/>
    <cellStyle name="Normal 3 2 5 2 3 2" xfId="37204" xr:uid="{61F9D9EB-8827-4E66-B2A3-7E15F3B60865}"/>
    <cellStyle name="Normal 3 2 5 2 4" xfId="11900" xr:uid="{00000000-0005-0000-0000-0000C6330000}"/>
    <cellStyle name="Normal 3 2 5 2 5" xfId="28770" xr:uid="{7CFF2C51-CF84-48B8-8359-0F2F36BC03A0}"/>
    <cellStyle name="Normal 3 2 5 3" xfId="5538" xr:uid="{00000000-0005-0000-0000-0000C7330000}"/>
    <cellStyle name="Normal 3 2 5 3 2" xfId="22408" xr:uid="{00000000-0005-0000-0000-0000C8330000}"/>
    <cellStyle name="Normal 3 2 5 3 2 2" xfId="39276" xr:uid="{8243403C-94AD-4F8E-97DB-95D6B2E304FE}"/>
    <cellStyle name="Normal 3 2 5 3 3" xfId="13973" xr:uid="{00000000-0005-0000-0000-0000C9330000}"/>
    <cellStyle name="Normal 3 2 5 3 4" xfId="30842" xr:uid="{B377AAB2-2C77-4824-ABA7-6A613BAF0098}"/>
    <cellStyle name="Normal 3 2 5 4" xfId="18190" xr:uid="{00000000-0005-0000-0000-0000CA330000}"/>
    <cellStyle name="Normal 3 2 5 4 2" xfId="35059" xr:uid="{55B72CCD-B86C-4DF8-B2B0-B3E3CBCE2ADF}"/>
    <cellStyle name="Normal 3 2 5 5" xfId="9755" xr:uid="{00000000-0005-0000-0000-0000CB330000}"/>
    <cellStyle name="Normal 3 2 5 6" xfId="26625" xr:uid="{D9384B6F-41CE-42D1-B296-9BA8CC332DC3}"/>
    <cellStyle name="Normal 3 2 6" xfId="1643" xr:uid="{00000000-0005-0000-0000-0000CC330000}"/>
    <cellStyle name="Normal 3 2 6 2" xfId="3873" xr:uid="{00000000-0005-0000-0000-0000CD330000}"/>
    <cellStyle name="Normal 3 2 6 2 2" xfId="8096" xr:uid="{00000000-0005-0000-0000-0000CE330000}"/>
    <cellStyle name="Normal 3 2 6 2 2 2" xfId="24966" xr:uid="{00000000-0005-0000-0000-0000CF330000}"/>
    <cellStyle name="Normal 3 2 6 2 2 2 2" xfId="41834" xr:uid="{236D57C8-893E-4D90-98D5-4DC773598A6E}"/>
    <cellStyle name="Normal 3 2 6 2 2 3" xfId="16531" xr:uid="{00000000-0005-0000-0000-0000D0330000}"/>
    <cellStyle name="Normal 3 2 6 2 2 4" xfId="33400" xr:uid="{3F6F32D5-7806-4650-BF10-033248122193}"/>
    <cellStyle name="Normal 3 2 6 2 3" xfId="20748" xr:uid="{00000000-0005-0000-0000-0000D1330000}"/>
    <cellStyle name="Normal 3 2 6 2 3 2" xfId="37617" xr:uid="{E458310A-6AAF-4097-BC1B-F8A36C21BD45}"/>
    <cellStyle name="Normal 3 2 6 2 4" xfId="12313" xr:uid="{00000000-0005-0000-0000-0000D2330000}"/>
    <cellStyle name="Normal 3 2 6 2 5" xfId="29183" xr:uid="{9D4DD883-0FAE-4E84-8155-F8B340310341}"/>
    <cellStyle name="Normal 3 2 6 3" xfId="5951" xr:uid="{00000000-0005-0000-0000-0000D3330000}"/>
    <cellStyle name="Normal 3 2 6 3 2" xfId="22821" xr:uid="{00000000-0005-0000-0000-0000D4330000}"/>
    <cellStyle name="Normal 3 2 6 3 2 2" xfId="39689" xr:uid="{614C7C60-6034-4ED5-A7B9-65A525AF61E8}"/>
    <cellStyle name="Normal 3 2 6 3 3" xfId="14386" xr:uid="{00000000-0005-0000-0000-0000D5330000}"/>
    <cellStyle name="Normal 3 2 6 3 4" xfId="31255" xr:uid="{4845C87C-A706-4694-8A50-1A3FD86E9421}"/>
    <cellStyle name="Normal 3 2 6 4" xfId="18603" xr:uid="{00000000-0005-0000-0000-0000D6330000}"/>
    <cellStyle name="Normal 3 2 6 4 2" xfId="35472" xr:uid="{176CA9C6-E1A0-450C-BB43-0521D3CAE514}"/>
    <cellStyle name="Normal 3 2 6 5" xfId="10168" xr:uid="{00000000-0005-0000-0000-0000D7330000}"/>
    <cellStyle name="Normal 3 2 6 6" xfId="27038" xr:uid="{4F39AE79-B515-460D-9424-32EC03F1BA58}"/>
    <cellStyle name="Normal 3 2 7" xfId="2057" xr:uid="{00000000-0005-0000-0000-0000D8330000}"/>
    <cellStyle name="Normal 3 2 7 2" xfId="4286" xr:uid="{00000000-0005-0000-0000-0000D9330000}"/>
    <cellStyle name="Normal 3 2 7 2 2" xfId="8509" xr:uid="{00000000-0005-0000-0000-0000DA330000}"/>
    <cellStyle name="Normal 3 2 7 2 2 2" xfId="25379" xr:uid="{00000000-0005-0000-0000-0000DB330000}"/>
    <cellStyle name="Normal 3 2 7 2 2 2 2" xfId="42247" xr:uid="{AB621863-8E5A-4079-B76F-1DCE72DC21F0}"/>
    <cellStyle name="Normal 3 2 7 2 2 3" xfId="16944" xr:uid="{00000000-0005-0000-0000-0000DC330000}"/>
    <cellStyle name="Normal 3 2 7 2 2 4" xfId="33813" xr:uid="{E342BC44-00D2-48C3-BB2C-07CAA32C447F}"/>
    <cellStyle name="Normal 3 2 7 2 3" xfId="21161" xr:uid="{00000000-0005-0000-0000-0000DD330000}"/>
    <cellStyle name="Normal 3 2 7 2 3 2" xfId="38030" xr:uid="{909B92FB-A565-405D-BCEB-D13AF34051F2}"/>
    <cellStyle name="Normal 3 2 7 2 4" xfId="12726" xr:uid="{00000000-0005-0000-0000-0000DE330000}"/>
    <cellStyle name="Normal 3 2 7 2 5" xfId="29596" xr:uid="{96385CB1-B361-4199-8DB3-14FE8A61B751}"/>
    <cellStyle name="Normal 3 2 7 3" xfId="6364" xr:uid="{00000000-0005-0000-0000-0000DF330000}"/>
    <cellStyle name="Normal 3 2 7 3 2" xfId="23234" xr:uid="{00000000-0005-0000-0000-0000E0330000}"/>
    <cellStyle name="Normal 3 2 7 3 2 2" xfId="40102" xr:uid="{2F6C9E46-4C6D-42C4-9B0D-71CF7E0D375E}"/>
    <cellStyle name="Normal 3 2 7 3 3" xfId="14799" xr:uid="{00000000-0005-0000-0000-0000E1330000}"/>
    <cellStyle name="Normal 3 2 7 3 4" xfId="31668" xr:uid="{BA593A56-CD8F-416C-8D91-64678621D147}"/>
    <cellStyle name="Normal 3 2 7 4" xfId="19016" xr:uid="{00000000-0005-0000-0000-0000E2330000}"/>
    <cellStyle name="Normal 3 2 7 4 2" xfId="35885" xr:uid="{8C66A6D4-F2CB-444D-86ED-EDF3306DAC82}"/>
    <cellStyle name="Normal 3 2 7 5" xfId="10581" xr:uid="{00000000-0005-0000-0000-0000E3330000}"/>
    <cellStyle name="Normal 3 2 7 6" xfId="27451" xr:uid="{544BFCB4-0269-4E36-8C5B-96A66B66D7F4}"/>
    <cellStyle name="Normal 3 2 8" xfId="2493" xr:uid="{00000000-0005-0000-0000-0000E4330000}"/>
    <cellStyle name="Normal 3 2 8 2" xfId="6777" xr:uid="{00000000-0005-0000-0000-0000E5330000}"/>
    <cellStyle name="Normal 3 2 8 2 2" xfId="23647" xr:uid="{00000000-0005-0000-0000-0000E6330000}"/>
    <cellStyle name="Normal 3 2 8 2 2 2" xfId="40515" xr:uid="{53191F63-1029-46AC-85C8-D48BE0995ECB}"/>
    <cellStyle name="Normal 3 2 8 2 3" xfId="15212" xr:uid="{00000000-0005-0000-0000-0000E7330000}"/>
    <cellStyle name="Normal 3 2 8 2 4" xfId="32081" xr:uid="{0A0E3144-C939-4F82-874B-D32D716003B9}"/>
    <cellStyle name="Normal 3 2 8 3" xfId="19429" xr:uid="{00000000-0005-0000-0000-0000E8330000}"/>
    <cellStyle name="Normal 3 2 8 3 2" xfId="36298" xr:uid="{D6703EE7-4D1F-4DA9-A2A0-79DA302B6A41}"/>
    <cellStyle name="Normal 3 2 8 4" xfId="10994" xr:uid="{00000000-0005-0000-0000-0000E9330000}"/>
    <cellStyle name="Normal 3 2 8 5" xfId="27864" xr:uid="{48D156E3-5358-4604-9A05-7F27F2C112B4}"/>
    <cellStyle name="Normal 3 2 9" xfId="4711" xr:uid="{00000000-0005-0000-0000-0000EA330000}"/>
    <cellStyle name="Normal 3 2 9 2" xfId="21581" xr:uid="{00000000-0005-0000-0000-0000EB330000}"/>
    <cellStyle name="Normal 3 2 9 2 2" xfId="38449" xr:uid="{5712DD16-E324-41FB-83D1-CDA71C7C7A3C}"/>
    <cellStyle name="Normal 3 2 9 3" xfId="13146" xr:uid="{00000000-0005-0000-0000-0000EC330000}"/>
    <cellStyle name="Normal 3 2 9 4" xfId="30015" xr:uid="{2B7B4400-E6E9-43DD-A5B0-224DD7EC0E9C}"/>
    <cellStyle name="Normal 3 3" xfId="330" xr:uid="{00000000-0005-0000-0000-0000ED330000}"/>
    <cellStyle name="Normal 3 3 2" xfId="331" xr:uid="{00000000-0005-0000-0000-0000EE330000}"/>
    <cellStyle name="Normal 3 3 3" xfId="332" xr:uid="{00000000-0005-0000-0000-0000EF330000}"/>
    <cellStyle name="Normal 3 4" xfId="333" xr:uid="{00000000-0005-0000-0000-0000F0330000}"/>
    <cellStyle name="Normal 3 5" xfId="334" xr:uid="{00000000-0005-0000-0000-0000F1330000}"/>
    <cellStyle name="Normal 3 6" xfId="808" xr:uid="{00000000-0005-0000-0000-0000F2330000}"/>
    <cellStyle name="Normal 4" xfId="335" xr:uid="{00000000-0005-0000-0000-0000F3330000}"/>
    <cellStyle name="Normal 4 10" xfId="17368" xr:uid="{00000000-0005-0000-0000-0000F4330000}"/>
    <cellStyle name="Normal 4 10 2" xfId="34237" xr:uid="{C518AE21-252F-452E-9925-BF02670D9FDB}"/>
    <cellStyle name="Normal 4 11" xfId="8933" xr:uid="{00000000-0005-0000-0000-0000F5330000}"/>
    <cellStyle name="Normal 4 12" xfId="25803" xr:uid="{FC1AF961-95BF-4469-A7AC-ADE322639412}"/>
    <cellStyle name="Normal 4 2" xfId="336" xr:uid="{00000000-0005-0000-0000-0000F6330000}"/>
    <cellStyle name="Normal 4 2 2" xfId="337" xr:uid="{00000000-0005-0000-0000-0000F7330000}"/>
    <cellStyle name="Normal 4 2 2 10" xfId="2062" xr:uid="{00000000-0005-0000-0000-0000F8330000}"/>
    <cellStyle name="Normal 4 2 2 10 2" xfId="4291" xr:uid="{00000000-0005-0000-0000-0000F9330000}"/>
    <cellStyle name="Normal 4 2 2 10 2 2" xfId="8514" xr:uid="{00000000-0005-0000-0000-0000FA330000}"/>
    <cellStyle name="Normal 4 2 2 10 2 2 2" xfId="25384" xr:uid="{00000000-0005-0000-0000-0000FB330000}"/>
    <cellStyle name="Normal 4 2 2 10 2 2 2 2" xfId="42252" xr:uid="{4670FA05-741B-4CA6-952C-7DF4F732B98B}"/>
    <cellStyle name="Normal 4 2 2 10 2 2 3" xfId="16949" xr:uid="{00000000-0005-0000-0000-0000FC330000}"/>
    <cellStyle name="Normal 4 2 2 10 2 2 4" xfId="33818" xr:uid="{7858F325-28A4-4823-BD40-BE3FBAE2A1E8}"/>
    <cellStyle name="Normal 4 2 2 10 2 3" xfId="21166" xr:uid="{00000000-0005-0000-0000-0000FD330000}"/>
    <cellStyle name="Normal 4 2 2 10 2 3 2" xfId="38035" xr:uid="{EAB9E4CF-6CDB-486F-9F1B-6C25143A9AF7}"/>
    <cellStyle name="Normal 4 2 2 10 2 4" xfId="12731" xr:uid="{00000000-0005-0000-0000-0000FE330000}"/>
    <cellStyle name="Normal 4 2 2 10 2 5" xfId="29601" xr:uid="{9881B1BA-4EDF-439D-807E-021AF344778A}"/>
    <cellStyle name="Normal 4 2 2 10 3" xfId="6369" xr:uid="{00000000-0005-0000-0000-0000FF330000}"/>
    <cellStyle name="Normal 4 2 2 10 3 2" xfId="23239" xr:uid="{00000000-0005-0000-0000-000000340000}"/>
    <cellStyle name="Normal 4 2 2 10 3 2 2" xfId="40107" xr:uid="{E1BFF05E-7C91-4C97-AE46-A46CB7529D67}"/>
    <cellStyle name="Normal 4 2 2 10 3 3" xfId="14804" xr:uid="{00000000-0005-0000-0000-000001340000}"/>
    <cellStyle name="Normal 4 2 2 10 3 4" xfId="31673" xr:uid="{0A75F1A8-11A6-4AF2-9D71-4D2DFAB2B491}"/>
    <cellStyle name="Normal 4 2 2 10 4" xfId="19021" xr:uid="{00000000-0005-0000-0000-000002340000}"/>
    <cellStyle name="Normal 4 2 2 10 4 2" xfId="35890" xr:uid="{5B078BA8-BA2B-4BA0-A8C8-71F2983B143D}"/>
    <cellStyle name="Normal 4 2 2 10 5" xfId="10586" xr:uid="{00000000-0005-0000-0000-000003340000}"/>
    <cellStyle name="Normal 4 2 2 10 6" xfId="27456" xr:uid="{91304BB4-D6D1-4348-9E14-FA54C896C518}"/>
    <cellStyle name="Normal 4 2 2 11" xfId="2498" xr:uid="{00000000-0005-0000-0000-000004340000}"/>
    <cellStyle name="Normal 4 2 2 11 2" xfId="6782" xr:uid="{00000000-0005-0000-0000-000005340000}"/>
    <cellStyle name="Normal 4 2 2 11 2 2" xfId="23652" xr:uid="{00000000-0005-0000-0000-000006340000}"/>
    <cellStyle name="Normal 4 2 2 11 2 2 2" xfId="40520" xr:uid="{A0C59A65-F566-437A-8CBE-BBDBFE83A827}"/>
    <cellStyle name="Normal 4 2 2 11 2 3" xfId="15217" xr:uid="{00000000-0005-0000-0000-000007340000}"/>
    <cellStyle name="Normal 4 2 2 11 2 4" xfId="32086" xr:uid="{D24CF86F-7968-4FE7-AE50-52FD1A81BB41}"/>
    <cellStyle name="Normal 4 2 2 11 3" xfId="19434" xr:uid="{00000000-0005-0000-0000-000008340000}"/>
    <cellStyle name="Normal 4 2 2 11 3 2" xfId="36303" xr:uid="{11A48614-E65E-4590-B38F-D13792DDF911}"/>
    <cellStyle name="Normal 4 2 2 11 4" xfId="10999" xr:uid="{00000000-0005-0000-0000-000009340000}"/>
    <cellStyle name="Normal 4 2 2 11 5" xfId="27869" xr:uid="{B8BF5C71-0FC6-41A3-A105-DF2F986F46F5}"/>
    <cellStyle name="Normal 4 2 2 12" xfId="4717" xr:uid="{00000000-0005-0000-0000-00000A340000}"/>
    <cellStyle name="Normal 4 2 2 12 2" xfId="21587" xr:uid="{00000000-0005-0000-0000-00000B340000}"/>
    <cellStyle name="Normal 4 2 2 12 2 2" xfId="38455" xr:uid="{8AC139C6-238F-456C-B292-D16C1A36E0F0}"/>
    <cellStyle name="Normal 4 2 2 12 3" xfId="13152" xr:uid="{00000000-0005-0000-0000-00000C340000}"/>
    <cellStyle name="Normal 4 2 2 12 4" xfId="30021" xr:uid="{F924E2ED-8DE9-45AE-A93A-4ABEB357408A}"/>
    <cellStyle name="Normal 4 2 2 13" xfId="17369" xr:uid="{00000000-0005-0000-0000-00000D340000}"/>
    <cellStyle name="Normal 4 2 2 13 2" xfId="34238" xr:uid="{F4E33B21-5D97-472B-9B2D-42C5AEAD6A3C}"/>
    <cellStyle name="Normal 4 2 2 14" xfId="8934" xr:uid="{00000000-0005-0000-0000-00000E340000}"/>
    <cellStyle name="Normal 4 2 2 15" xfId="25804" xr:uid="{8B051FC0-9596-41C7-B0E1-257B6DF4A565}"/>
    <cellStyle name="Normal 4 2 2 2" xfId="338" xr:uid="{00000000-0005-0000-0000-00000F340000}"/>
    <cellStyle name="Normal 4 2 2 3" xfId="339" xr:uid="{00000000-0005-0000-0000-000010340000}"/>
    <cellStyle name="Normal 4 2 2 3 10" xfId="4718" xr:uid="{00000000-0005-0000-0000-000011340000}"/>
    <cellStyle name="Normal 4 2 2 3 10 2" xfId="21588" xr:uid="{00000000-0005-0000-0000-000012340000}"/>
    <cellStyle name="Normal 4 2 2 3 10 2 2" xfId="38456" xr:uid="{354E110C-5381-4789-8409-5723147F4776}"/>
    <cellStyle name="Normal 4 2 2 3 10 3" xfId="13153" xr:uid="{00000000-0005-0000-0000-000013340000}"/>
    <cellStyle name="Normal 4 2 2 3 10 4" xfId="30022" xr:uid="{87FDAAAF-261F-4E4E-867D-0FEFAC8F26FF}"/>
    <cellStyle name="Normal 4 2 2 3 11" xfId="17370" xr:uid="{00000000-0005-0000-0000-000014340000}"/>
    <cellStyle name="Normal 4 2 2 3 11 2" xfId="34239" xr:uid="{737CD2C7-C1F5-458E-A7C3-F562501A8A62}"/>
    <cellStyle name="Normal 4 2 2 3 12" xfId="8935" xr:uid="{00000000-0005-0000-0000-000015340000}"/>
    <cellStyle name="Normal 4 2 2 3 13" xfId="25805" xr:uid="{9569D87E-F71F-41E6-A721-267ACD8BB98D}"/>
    <cellStyle name="Normal 4 2 2 3 2" xfId="340" xr:uid="{00000000-0005-0000-0000-000016340000}"/>
    <cellStyle name="Normal 4 2 2 3 2 10" xfId="17371" xr:uid="{00000000-0005-0000-0000-000017340000}"/>
    <cellStyle name="Normal 4 2 2 3 2 10 2" xfId="34240" xr:uid="{A1FE9CE0-DBAB-4552-8F27-494ADBDE732C}"/>
    <cellStyle name="Normal 4 2 2 3 2 11" xfId="8936" xr:uid="{00000000-0005-0000-0000-000018340000}"/>
    <cellStyle name="Normal 4 2 2 3 2 12" xfId="25806" xr:uid="{140C6149-FDA2-46E1-8481-AF9895A436E7}"/>
    <cellStyle name="Normal 4 2 2 3 2 2" xfId="341" xr:uid="{00000000-0005-0000-0000-000019340000}"/>
    <cellStyle name="Normal 4 2 2 3 2 2 10" xfId="8937" xr:uid="{00000000-0005-0000-0000-00001A340000}"/>
    <cellStyle name="Normal 4 2 2 3 2 2 11" xfId="25807" xr:uid="{F2FE4326-1B30-43E0-B5FF-ABD635C8EE8C}"/>
    <cellStyle name="Normal 4 2 2 3 2 2 2" xfId="342" xr:uid="{00000000-0005-0000-0000-00001B340000}"/>
    <cellStyle name="Normal 4 2 2 3 2 2 2 10" xfId="25808" xr:uid="{C8034954-5335-4585-A4DB-4E79CE106AB0}"/>
    <cellStyle name="Normal 4 2 2 3 2 2 2 2" xfId="819" xr:uid="{00000000-0005-0000-0000-00001C340000}"/>
    <cellStyle name="Normal 4 2 2 3 2 2 2 2 2" xfId="3056" xr:uid="{00000000-0005-0000-0000-00001D340000}"/>
    <cellStyle name="Normal 4 2 2 3 2 2 2 2 2 2" xfId="7279" xr:uid="{00000000-0005-0000-0000-00001E340000}"/>
    <cellStyle name="Normal 4 2 2 3 2 2 2 2 2 2 2" xfId="24149" xr:uid="{00000000-0005-0000-0000-00001F340000}"/>
    <cellStyle name="Normal 4 2 2 3 2 2 2 2 2 2 2 2" xfId="41017" xr:uid="{031D6296-568E-4A49-A457-51F3B9DFCEE5}"/>
    <cellStyle name="Normal 4 2 2 3 2 2 2 2 2 2 3" xfId="15714" xr:uid="{00000000-0005-0000-0000-000020340000}"/>
    <cellStyle name="Normal 4 2 2 3 2 2 2 2 2 2 4" xfId="32583" xr:uid="{397B4C36-50FC-4BB0-B268-24EB34907D2E}"/>
    <cellStyle name="Normal 4 2 2 3 2 2 2 2 2 3" xfId="19931" xr:uid="{00000000-0005-0000-0000-000021340000}"/>
    <cellStyle name="Normal 4 2 2 3 2 2 2 2 2 3 2" xfId="36800" xr:uid="{790ECB8E-2285-4D76-971D-18F285689571}"/>
    <cellStyle name="Normal 4 2 2 3 2 2 2 2 2 4" xfId="11496" xr:uid="{00000000-0005-0000-0000-000022340000}"/>
    <cellStyle name="Normal 4 2 2 3 2 2 2 2 2 5" xfId="28366" xr:uid="{333FCD43-8194-46A8-B7E7-C72CB3317587}"/>
    <cellStyle name="Normal 4 2 2 3 2 2 2 2 3" xfId="5134" xr:uid="{00000000-0005-0000-0000-000023340000}"/>
    <cellStyle name="Normal 4 2 2 3 2 2 2 2 3 2" xfId="22004" xr:uid="{00000000-0005-0000-0000-000024340000}"/>
    <cellStyle name="Normal 4 2 2 3 2 2 2 2 3 2 2" xfId="38872" xr:uid="{CB31823B-CF3D-4838-81C8-F455083F8DA5}"/>
    <cellStyle name="Normal 4 2 2 3 2 2 2 2 3 3" xfId="13569" xr:uid="{00000000-0005-0000-0000-000025340000}"/>
    <cellStyle name="Normal 4 2 2 3 2 2 2 2 3 4" xfId="30438" xr:uid="{5C927458-2903-4B05-850C-B9D4FD9A6F83}"/>
    <cellStyle name="Normal 4 2 2 3 2 2 2 2 4" xfId="17786" xr:uid="{00000000-0005-0000-0000-000026340000}"/>
    <cellStyle name="Normal 4 2 2 3 2 2 2 2 4 2" xfId="34655" xr:uid="{523F4C70-1E9A-480E-8431-D75FF2FD4212}"/>
    <cellStyle name="Normal 4 2 2 3 2 2 2 2 5" xfId="9351" xr:uid="{00000000-0005-0000-0000-000027340000}"/>
    <cellStyle name="Normal 4 2 2 3 2 2 2 2 6" xfId="26221" xr:uid="{084A05B5-F71F-44BC-82E8-A1DCAF3A87E6}"/>
    <cellStyle name="Normal 4 2 2 3 2 2 2 3" xfId="1239" xr:uid="{00000000-0005-0000-0000-000028340000}"/>
    <cellStyle name="Normal 4 2 2 3 2 2 2 3 2" xfId="3469" xr:uid="{00000000-0005-0000-0000-000029340000}"/>
    <cellStyle name="Normal 4 2 2 3 2 2 2 3 2 2" xfId="7692" xr:uid="{00000000-0005-0000-0000-00002A340000}"/>
    <cellStyle name="Normal 4 2 2 3 2 2 2 3 2 2 2" xfId="24562" xr:uid="{00000000-0005-0000-0000-00002B340000}"/>
    <cellStyle name="Normal 4 2 2 3 2 2 2 3 2 2 2 2" xfId="41430" xr:uid="{AC1478C5-5C28-405C-BDB4-71B6A8E0A978}"/>
    <cellStyle name="Normal 4 2 2 3 2 2 2 3 2 2 3" xfId="16127" xr:uid="{00000000-0005-0000-0000-00002C340000}"/>
    <cellStyle name="Normal 4 2 2 3 2 2 2 3 2 2 4" xfId="32996" xr:uid="{4048A061-8BFE-4D1D-98EE-D4FD9178088E}"/>
    <cellStyle name="Normal 4 2 2 3 2 2 2 3 2 3" xfId="20344" xr:uid="{00000000-0005-0000-0000-00002D340000}"/>
    <cellStyle name="Normal 4 2 2 3 2 2 2 3 2 3 2" xfId="37213" xr:uid="{28971867-5A70-49CE-8323-65BB65F5CBC8}"/>
    <cellStyle name="Normal 4 2 2 3 2 2 2 3 2 4" xfId="11909" xr:uid="{00000000-0005-0000-0000-00002E340000}"/>
    <cellStyle name="Normal 4 2 2 3 2 2 2 3 2 5" xfId="28779" xr:uid="{5E62B870-97C8-4847-99EB-CD5053747913}"/>
    <cellStyle name="Normal 4 2 2 3 2 2 2 3 3" xfId="5547" xr:uid="{00000000-0005-0000-0000-00002F340000}"/>
    <cellStyle name="Normal 4 2 2 3 2 2 2 3 3 2" xfId="22417" xr:uid="{00000000-0005-0000-0000-000030340000}"/>
    <cellStyle name="Normal 4 2 2 3 2 2 2 3 3 2 2" xfId="39285" xr:uid="{D6DF6F6B-300D-49AB-8F4D-A6425C7B1C41}"/>
    <cellStyle name="Normal 4 2 2 3 2 2 2 3 3 3" xfId="13982" xr:uid="{00000000-0005-0000-0000-000031340000}"/>
    <cellStyle name="Normal 4 2 2 3 2 2 2 3 3 4" xfId="30851" xr:uid="{911B5FF3-DF69-4558-B27B-A289A645E349}"/>
    <cellStyle name="Normal 4 2 2 3 2 2 2 3 4" xfId="18199" xr:uid="{00000000-0005-0000-0000-000032340000}"/>
    <cellStyle name="Normal 4 2 2 3 2 2 2 3 4 2" xfId="35068" xr:uid="{4E7080DF-856A-4D6D-8444-757AAB8C0740}"/>
    <cellStyle name="Normal 4 2 2 3 2 2 2 3 5" xfId="9764" xr:uid="{00000000-0005-0000-0000-000033340000}"/>
    <cellStyle name="Normal 4 2 2 3 2 2 2 3 6" xfId="26634" xr:uid="{58B526B4-2D71-4F1F-A9D3-67778F027BF8}"/>
    <cellStyle name="Normal 4 2 2 3 2 2 2 4" xfId="1652" xr:uid="{00000000-0005-0000-0000-000034340000}"/>
    <cellStyle name="Normal 4 2 2 3 2 2 2 4 2" xfId="3882" xr:uid="{00000000-0005-0000-0000-000035340000}"/>
    <cellStyle name="Normal 4 2 2 3 2 2 2 4 2 2" xfId="8105" xr:uid="{00000000-0005-0000-0000-000036340000}"/>
    <cellStyle name="Normal 4 2 2 3 2 2 2 4 2 2 2" xfId="24975" xr:uid="{00000000-0005-0000-0000-000037340000}"/>
    <cellStyle name="Normal 4 2 2 3 2 2 2 4 2 2 2 2" xfId="41843" xr:uid="{B1F9F825-A112-4598-B68C-049EC0F988E4}"/>
    <cellStyle name="Normal 4 2 2 3 2 2 2 4 2 2 3" xfId="16540" xr:uid="{00000000-0005-0000-0000-000038340000}"/>
    <cellStyle name="Normal 4 2 2 3 2 2 2 4 2 2 4" xfId="33409" xr:uid="{73B5FDD0-5F56-45E3-8926-8C9DF08399AE}"/>
    <cellStyle name="Normal 4 2 2 3 2 2 2 4 2 3" xfId="20757" xr:uid="{00000000-0005-0000-0000-000039340000}"/>
    <cellStyle name="Normal 4 2 2 3 2 2 2 4 2 3 2" xfId="37626" xr:uid="{E02B851B-ED2C-4338-B9C1-BDFD9EEC68F7}"/>
    <cellStyle name="Normal 4 2 2 3 2 2 2 4 2 4" xfId="12322" xr:uid="{00000000-0005-0000-0000-00003A340000}"/>
    <cellStyle name="Normal 4 2 2 3 2 2 2 4 2 5" xfId="29192" xr:uid="{E081B7B1-5611-4D4C-8229-AFE9BE2F09EE}"/>
    <cellStyle name="Normal 4 2 2 3 2 2 2 4 3" xfId="5960" xr:uid="{00000000-0005-0000-0000-00003B340000}"/>
    <cellStyle name="Normal 4 2 2 3 2 2 2 4 3 2" xfId="22830" xr:uid="{00000000-0005-0000-0000-00003C340000}"/>
    <cellStyle name="Normal 4 2 2 3 2 2 2 4 3 2 2" xfId="39698" xr:uid="{B635465F-1268-4BC2-8E22-6183E776899D}"/>
    <cellStyle name="Normal 4 2 2 3 2 2 2 4 3 3" xfId="14395" xr:uid="{00000000-0005-0000-0000-00003D340000}"/>
    <cellStyle name="Normal 4 2 2 3 2 2 2 4 3 4" xfId="31264" xr:uid="{AC87DBAC-9DBD-4877-A750-CC2A0FA6FBBF}"/>
    <cellStyle name="Normal 4 2 2 3 2 2 2 4 4" xfId="18612" xr:uid="{00000000-0005-0000-0000-00003E340000}"/>
    <cellStyle name="Normal 4 2 2 3 2 2 2 4 4 2" xfId="35481" xr:uid="{481EBC7D-D244-4660-990F-FBC4AF0E746D}"/>
    <cellStyle name="Normal 4 2 2 3 2 2 2 4 5" xfId="10177" xr:uid="{00000000-0005-0000-0000-00003F340000}"/>
    <cellStyle name="Normal 4 2 2 3 2 2 2 4 6" xfId="27047" xr:uid="{38D81D0C-3E30-47C3-8BF9-58B70C9AEAC1}"/>
    <cellStyle name="Normal 4 2 2 3 2 2 2 5" xfId="2066" xr:uid="{00000000-0005-0000-0000-000040340000}"/>
    <cellStyle name="Normal 4 2 2 3 2 2 2 5 2" xfId="4295" xr:uid="{00000000-0005-0000-0000-000041340000}"/>
    <cellStyle name="Normal 4 2 2 3 2 2 2 5 2 2" xfId="8518" xr:uid="{00000000-0005-0000-0000-000042340000}"/>
    <cellStyle name="Normal 4 2 2 3 2 2 2 5 2 2 2" xfId="25388" xr:uid="{00000000-0005-0000-0000-000043340000}"/>
    <cellStyle name="Normal 4 2 2 3 2 2 2 5 2 2 2 2" xfId="42256" xr:uid="{373943E9-2C74-4B35-A041-CA89B44041D1}"/>
    <cellStyle name="Normal 4 2 2 3 2 2 2 5 2 2 3" xfId="16953" xr:uid="{00000000-0005-0000-0000-000044340000}"/>
    <cellStyle name="Normal 4 2 2 3 2 2 2 5 2 2 4" xfId="33822" xr:uid="{4C39DE9B-AD62-468D-96CB-DAA8A5C6B44C}"/>
    <cellStyle name="Normal 4 2 2 3 2 2 2 5 2 3" xfId="21170" xr:uid="{00000000-0005-0000-0000-000045340000}"/>
    <cellStyle name="Normal 4 2 2 3 2 2 2 5 2 3 2" xfId="38039" xr:uid="{30F4785E-4CAF-4EB6-930C-019734EDE52F}"/>
    <cellStyle name="Normal 4 2 2 3 2 2 2 5 2 4" xfId="12735" xr:uid="{00000000-0005-0000-0000-000046340000}"/>
    <cellStyle name="Normal 4 2 2 3 2 2 2 5 2 5" xfId="29605" xr:uid="{8DB1F133-D341-4066-95D9-81AA2F03727D}"/>
    <cellStyle name="Normal 4 2 2 3 2 2 2 5 3" xfId="6373" xr:uid="{00000000-0005-0000-0000-000047340000}"/>
    <cellStyle name="Normal 4 2 2 3 2 2 2 5 3 2" xfId="23243" xr:uid="{00000000-0005-0000-0000-000048340000}"/>
    <cellStyle name="Normal 4 2 2 3 2 2 2 5 3 2 2" xfId="40111" xr:uid="{42F175BE-9425-4CA2-9EDB-898568C68D76}"/>
    <cellStyle name="Normal 4 2 2 3 2 2 2 5 3 3" xfId="14808" xr:uid="{00000000-0005-0000-0000-000049340000}"/>
    <cellStyle name="Normal 4 2 2 3 2 2 2 5 3 4" xfId="31677" xr:uid="{12472A7D-810A-4FC6-B963-753745AE0335}"/>
    <cellStyle name="Normal 4 2 2 3 2 2 2 5 4" xfId="19025" xr:uid="{00000000-0005-0000-0000-00004A340000}"/>
    <cellStyle name="Normal 4 2 2 3 2 2 2 5 4 2" xfId="35894" xr:uid="{85891FEB-FB9B-47DC-910D-550EF24C9C25}"/>
    <cellStyle name="Normal 4 2 2 3 2 2 2 5 5" xfId="10590" xr:uid="{00000000-0005-0000-0000-00004B340000}"/>
    <cellStyle name="Normal 4 2 2 3 2 2 2 5 6" xfId="27460" xr:uid="{63875C90-22BC-49E6-9884-E4C2B9CFBBF2}"/>
    <cellStyle name="Normal 4 2 2 3 2 2 2 6" xfId="2502" xr:uid="{00000000-0005-0000-0000-00004C340000}"/>
    <cellStyle name="Normal 4 2 2 3 2 2 2 6 2" xfId="6786" xr:uid="{00000000-0005-0000-0000-00004D340000}"/>
    <cellStyle name="Normal 4 2 2 3 2 2 2 6 2 2" xfId="23656" xr:uid="{00000000-0005-0000-0000-00004E340000}"/>
    <cellStyle name="Normal 4 2 2 3 2 2 2 6 2 2 2" xfId="40524" xr:uid="{EEE847F6-ACB3-44CB-B669-4E21C1D35122}"/>
    <cellStyle name="Normal 4 2 2 3 2 2 2 6 2 3" xfId="15221" xr:uid="{00000000-0005-0000-0000-00004F340000}"/>
    <cellStyle name="Normal 4 2 2 3 2 2 2 6 2 4" xfId="32090" xr:uid="{86965913-7DB7-48DF-B576-6CF9C7007429}"/>
    <cellStyle name="Normal 4 2 2 3 2 2 2 6 3" xfId="19438" xr:uid="{00000000-0005-0000-0000-000050340000}"/>
    <cellStyle name="Normal 4 2 2 3 2 2 2 6 3 2" xfId="36307" xr:uid="{F443902D-74C5-4841-8D36-596FE997B90C}"/>
    <cellStyle name="Normal 4 2 2 3 2 2 2 6 4" xfId="11003" xr:uid="{00000000-0005-0000-0000-000051340000}"/>
    <cellStyle name="Normal 4 2 2 3 2 2 2 6 5" xfId="27873" xr:uid="{FF17ADCF-9DD8-460A-8F6C-E6A2B977110C}"/>
    <cellStyle name="Normal 4 2 2 3 2 2 2 7" xfId="4721" xr:uid="{00000000-0005-0000-0000-000052340000}"/>
    <cellStyle name="Normal 4 2 2 3 2 2 2 7 2" xfId="21591" xr:uid="{00000000-0005-0000-0000-000053340000}"/>
    <cellStyle name="Normal 4 2 2 3 2 2 2 7 2 2" xfId="38459" xr:uid="{2AE4CAB9-AC05-4534-B765-C98A79EF0337}"/>
    <cellStyle name="Normal 4 2 2 3 2 2 2 7 3" xfId="13156" xr:uid="{00000000-0005-0000-0000-000054340000}"/>
    <cellStyle name="Normal 4 2 2 3 2 2 2 7 4" xfId="30025" xr:uid="{3EB06290-67D7-4566-9F3F-4CC7499E9ECE}"/>
    <cellStyle name="Normal 4 2 2 3 2 2 2 8" xfId="17373" xr:uid="{00000000-0005-0000-0000-000055340000}"/>
    <cellStyle name="Normal 4 2 2 3 2 2 2 8 2" xfId="34242" xr:uid="{4059F41A-8896-46A4-970B-4993983B34A4}"/>
    <cellStyle name="Normal 4 2 2 3 2 2 2 9" xfId="8938" xr:uid="{00000000-0005-0000-0000-000056340000}"/>
    <cellStyle name="Normal 4 2 2 3 2 2 3" xfId="818" xr:uid="{00000000-0005-0000-0000-000057340000}"/>
    <cellStyle name="Normal 4 2 2 3 2 2 3 2" xfId="3055" xr:uid="{00000000-0005-0000-0000-000058340000}"/>
    <cellStyle name="Normal 4 2 2 3 2 2 3 2 2" xfId="7278" xr:uid="{00000000-0005-0000-0000-000059340000}"/>
    <cellStyle name="Normal 4 2 2 3 2 2 3 2 2 2" xfId="24148" xr:uid="{00000000-0005-0000-0000-00005A340000}"/>
    <cellStyle name="Normal 4 2 2 3 2 2 3 2 2 2 2" xfId="41016" xr:uid="{FCD05491-1B1C-47E7-AFC2-3B9965FB2F34}"/>
    <cellStyle name="Normal 4 2 2 3 2 2 3 2 2 3" xfId="15713" xr:uid="{00000000-0005-0000-0000-00005B340000}"/>
    <cellStyle name="Normal 4 2 2 3 2 2 3 2 2 4" xfId="32582" xr:uid="{99B49A31-A406-44D4-953C-849B584BA50A}"/>
    <cellStyle name="Normal 4 2 2 3 2 2 3 2 3" xfId="19930" xr:uid="{00000000-0005-0000-0000-00005C340000}"/>
    <cellStyle name="Normal 4 2 2 3 2 2 3 2 3 2" xfId="36799" xr:uid="{1BF21E12-DE07-4DDC-9186-461294C4F66F}"/>
    <cellStyle name="Normal 4 2 2 3 2 2 3 2 4" xfId="11495" xr:uid="{00000000-0005-0000-0000-00005D340000}"/>
    <cellStyle name="Normal 4 2 2 3 2 2 3 2 5" xfId="28365" xr:uid="{421FA73D-F820-424D-A33B-A9829A5FA587}"/>
    <cellStyle name="Normal 4 2 2 3 2 2 3 3" xfId="5133" xr:uid="{00000000-0005-0000-0000-00005E340000}"/>
    <cellStyle name="Normal 4 2 2 3 2 2 3 3 2" xfId="22003" xr:uid="{00000000-0005-0000-0000-00005F340000}"/>
    <cellStyle name="Normal 4 2 2 3 2 2 3 3 2 2" xfId="38871" xr:uid="{01C89E7B-BC06-4422-BAAC-B13BD6D29748}"/>
    <cellStyle name="Normal 4 2 2 3 2 2 3 3 3" xfId="13568" xr:uid="{00000000-0005-0000-0000-000060340000}"/>
    <cellStyle name="Normal 4 2 2 3 2 2 3 3 4" xfId="30437" xr:uid="{038EEFA6-8B7A-4E37-B309-DF5102A013A1}"/>
    <cellStyle name="Normal 4 2 2 3 2 2 3 4" xfId="17785" xr:uid="{00000000-0005-0000-0000-000061340000}"/>
    <cellStyle name="Normal 4 2 2 3 2 2 3 4 2" xfId="34654" xr:uid="{0AB9DE06-CCF2-4E4F-A193-4EB0AC98C835}"/>
    <cellStyle name="Normal 4 2 2 3 2 2 3 5" xfId="9350" xr:uid="{00000000-0005-0000-0000-000062340000}"/>
    <cellStyle name="Normal 4 2 2 3 2 2 3 6" xfId="26220" xr:uid="{4D424D3D-CEBE-42F2-B510-615118BD36A3}"/>
    <cellStyle name="Normal 4 2 2 3 2 2 4" xfId="1238" xr:uid="{00000000-0005-0000-0000-000063340000}"/>
    <cellStyle name="Normal 4 2 2 3 2 2 4 2" xfId="3468" xr:uid="{00000000-0005-0000-0000-000064340000}"/>
    <cellStyle name="Normal 4 2 2 3 2 2 4 2 2" xfId="7691" xr:uid="{00000000-0005-0000-0000-000065340000}"/>
    <cellStyle name="Normal 4 2 2 3 2 2 4 2 2 2" xfId="24561" xr:uid="{00000000-0005-0000-0000-000066340000}"/>
    <cellStyle name="Normal 4 2 2 3 2 2 4 2 2 2 2" xfId="41429" xr:uid="{D9D9E8B1-9CB3-4C96-9B17-B5FA86153F10}"/>
    <cellStyle name="Normal 4 2 2 3 2 2 4 2 2 3" xfId="16126" xr:uid="{00000000-0005-0000-0000-000067340000}"/>
    <cellStyle name="Normal 4 2 2 3 2 2 4 2 2 4" xfId="32995" xr:uid="{970B9127-7F95-4B0E-9D46-1CD36E264F7C}"/>
    <cellStyle name="Normal 4 2 2 3 2 2 4 2 3" xfId="20343" xr:uid="{00000000-0005-0000-0000-000068340000}"/>
    <cellStyle name="Normal 4 2 2 3 2 2 4 2 3 2" xfId="37212" xr:uid="{F52C1319-BA17-4729-8D4C-EE773FA4F5B9}"/>
    <cellStyle name="Normal 4 2 2 3 2 2 4 2 4" xfId="11908" xr:uid="{00000000-0005-0000-0000-000069340000}"/>
    <cellStyle name="Normal 4 2 2 3 2 2 4 2 5" xfId="28778" xr:uid="{88DD399B-F7D9-456F-BA93-1635A8DE86F4}"/>
    <cellStyle name="Normal 4 2 2 3 2 2 4 3" xfId="5546" xr:uid="{00000000-0005-0000-0000-00006A340000}"/>
    <cellStyle name="Normal 4 2 2 3 2 2 4 3 2" xfId="22416" xr:uid="{00000000-0005-0000-0000-00006B340000}"/>
    <cellStyle name="Normal 4 2 2 3 2 2 4 3 2 2" xfId="39284" xr:uid="{6BACF0D0-D34D-469F-B309-3E397EC13F50}"/>
    <cellStyle name="Normal 4 2 2 3 2 2 4 3 3" xfId="13981" xr:uid="{00000000-0005-0000-0000-00006C340000}"/>
    <cellStyle name="Normal 4 2 2 3 2 2 4 3 4" xfId="30850" xr:uid="{B44B7833-EB58-42D2-9730-9EDAAD504495}"/>
    <cellStyle name="Normal 4 2 2 3 2 2 4 4" xfId="18198" xr:uid="{00000000-0005-0000-0000-00006D340000}"/>
    <cellStyle name="Normal 4 2 2 3 2 2 4 4 2" xfId="35067" xr:uid="{C415CFCE-D6C3-40C1-9418-47325EED0D3A}"/>
    <cellStyle name="Normal 4 2 2 3 2 2 4 5" xfId="9763" xr:uid="{00000000-0005-0000-0000-00006E340000}"/>
    <cellStyle name="Normal 4 2 2 3 2 2 4 6" xfId="26633" xr:uid="{51249F24-8BFE-4AA7-86BE-C9F0C9C1FB88}"/>
    <cellStyle name="Normal 4 2 2 3 2 2 5" xfId="1651" xr:uid="{00000000-0005-0000-0000-00006F340000}"/>
    <cellStyle name="Normal 4 2 2 3 2 2 5 2" xfId="3881" xr:uid="{00000000-0005-0000-0000-000070340000}"/>
    <cellStyle name="Normal 4 2 2 3 2 2 5 2 2" xfId="8104" xr:uid="{00000000-0005-0000-0000-000071340000}"/>
    <cellStyle name="Normal 4 2 2 3 2 2 5 2 2 2" xfId="24974" xr:uid="{00000000-0005-0000-0000-000072340000}"/>
    <cellStyle name="Normal 4 2 2 3 2 2 5 2 2 2 2" xfId="41842" xr:uid="{A37EEE6A-D834-4DB0-8775-BC413CAF9ADB}"/>
    <cellStyle name="Normal 4 2 2 3 2 2 5 2 2 3" xfId="16539" xr:uid="{00000000-0005-0000-0000-000073340000}"/>
    <cellStyle name="Normal 4 2 2 3 2 2 5 2 2 4" xfId="33408" xr:uid="{C656D7F3-E88F-4860-837D-8EEA5C1F951F}"/>
    <cellStyle name="Normal 4 2 2 3 2 2 5 2 3" xfId="20756" xr:uid="{00000000-0005-0000-0000-000074340000}"/>
    <cellStyle name="Normal 4 2 2 3 2 2 5 2 3 2" xfId="37625" xr:uid="{FBE8B065-5D98-4659-BF63-1D4F011D16FF}"/>
    <cellStyle name="Normal 4 2 2 3 2 2 5 2 4" xfId="12321" xr:uid="{00000000-0005-0000-0000-000075340000}"/>
    <cellStyle name="Normal 4 2 2 3 2 2 5 2 5" xfId="29191" xr:uid="{75991896-3676-436B-8658-7F1B5536D08A}"/>
    <cellStyle name="Normal 4 2 2 3 2 2 5 3" xfId="5959" xr:uid="{00000000-0005-0000-0000-000076340000}"/>
    <cellStyle name="Normal 4 2 2 3 2 2 5 3 2" xfId="22829" xr:uid="{00000000-0005-0000-0000-000077340000}"/>
    <cellStyle name="Normal 4 2 2 3 2 2 5 3 2 2" xfId="39697" xr:uid="{4320D24B-7B30-4FE8-AB58-E8A854C185CD}"/>
    <cellStyle name="Normal 4 2 2 3 2 2 5 3 3" xfId="14394" xr:uid="{00000000-0005-0000-0000-000078340000}"/>
    <cellStyle name="Normal 4 2 2 3 2 2 5 3 4" xfId="31263" xr:uid="{AFBBA9CA-A7E9-4A66-8D49-E52DB627772B}"/>
    <cellStyle name="Normal 4 2 2 3 2 2 5 4" xfId="18611" xr:uid="{00000000-0005-0000-0000-000079340000}"/>
    <cellStyle name="Normal 4 2 2 3 2 2 5 4 2" xfId="35480" xr:uid="{F1420864-3CF7-4D15-9D2E-179A7B601D68}"/>
    <cellStyle name="Normal 4 2 2 3 2 2 5 5" xfId="10176" xr:uid="{00000000-0005-0000-0000-00007A340000}"/>
    <cellStyle name="Normal 4 2 2 3 2 2 5 6" xfId="27046" xr:uid="{F607E80A-571F-48EA-A704-535B4BE4EBC9}"/>
    <cellStyle name="Normal 4 2 2 3 2 2 6" xfId="2065" xr:uid="{00000000-0005-0000-0000-00007B340000}"/>
    <cellStyle name="Normal 4 2 2 3 2 2 6 2" xfId="4294" xr:uid="{00000000-0005-0000-0000-00007C340000}"/>
    <cellStyle name="Normal 4 2 2 3 2 2 6 2 2" xfId="8517" xr:uid="{00000000-0005-0000-0000-00007D340000}"/>
    <cellStyle name="Normal 4 2 2 3 2 2 6 2 2 2" xfId="25387" xr:uid="{00000000-0005-0000-0000-00007E340000}"/>
    <cellStyle name="Normal 4 2 2 3 2 2 6 2 2 2 2" xfId="42255" xr:uid="{F3060647-5B7D-407A-8E78-E6F4213FE1A0}"/>
    <cellStyle name="Normal 4 2 2 3 2 2 6 2 2 3" xfId="16952" xr:uid="{00000000-0005-0000-0000-00007F340000}"/>
    <cellStyle name="Normal 4 2 2 3 2 2 6 2 2 4" xfId="33821" xr:uid="{4F11DD98-2266-46AB-8D3F-3A7B3AADBBCF}"/>
    <cellStyle name="Normal 4 2 2 3 2 2 6 2 3" xfId="21169" xr:uid="{00000000-0005-0000-0000-000080340000}"/>
    <cellStyle name="Normal 4 2 2 3 2 2 6 2 3 2" xfId="38038" xr:uid="{4E573296-D690-4DCD-B9CB-E905ECB6A609}"/>
    <cellStyle name="Normal 4 2 2 3 2 2 6 2 4" xfId="12734" xr:uid="{00000000-0005-0000-0000-000081340000}"/>
    <cellStyle name="Normal 4 2 2 3 2 2 6 2 5" xfId="29604" xr:uid="{E13513D2-38F6-4D3F-8862-A70A724B46FB}"/>
    <cellStyle name="Normal 4 2 2 3 2 2 6 3" xfId="6372" xr:uid="{00000000-0005-0000-0000-000082340000}"/>
    <cellStyle name="Normal 4 2 2 3 2 2 6 3 2" xfId="23242" xr:uid="{00000000-0005-0000-0000-000083340000}"/>
    <cellStyle name="Normal 4 2 2 3 2 2 6 3 2 2" xfId="40110" xr:uid="{8970885D-69B4-420F-A41A-55022DCF53FD}"/>
    <cellStyle name="Normal 4 2 2 3 2 2 6 3 3" xfId="14807" xr:uid="{00000000-0005-0000-0000-000084340000}"/>
    <cellStyle name="Normal 4 2 2 3 2 2 6 3 4" xfId="31676" xr:uid="{045CC6DD-5AC5-4E91-925A-4E36515E5F61}"/>
    <cellStyle name="Normal 4 2 2 3 2 2 6 4" xfId="19024" xr:uid="{00000000-0005-0000-0000-000085340000}"/>
    <cellStyle name="Normal 4 2 2 3 2 2 6 4 2" xfId="35893" xr:uid="{3DE6CEFC-D20B-47BE-91C0-E706D167252E}"/>
    <cellStyle name="Normal 4 2 2 3 2 2 6 5" xfId="10589" xr:uid="{00000000-0005-0000-0000-000086340000}"/>
    <cellStyle name="Normal 4 2 2 3 2 2 6 6" xfId="27459" xr:uid="{DEC6CDB2-EECA-42ED-B2D7-B7BD5C3E13CD}"/>
    <cellStyle name="Normal 4 2 2 3 2 2 7" xfId="2501" xr:uid="{00000000-0005-0000-0000-000087340000}"/>
    <cellStyle name="Normal 4 2 2 3 2 2 7 2" xfId="6785" xr:uid="{00000000-0005-0000-0000-000088340000}"/>
    <cellStyle name="Normal 4 2 2 3 2 2 7 2 2" xfId="23655" xr:uid="{00000000-0005-0000-0000-000089340000}"/>
    <cellStyle name="Normal 4 2 2 3 2 2 7 2 2 2" xfId="40523" xr:uid="{C9218AB0-1B98-4848-B308-7649CCEA1D92}"/>
    <cellStyle name="Normal 4 2 2 3 2 2 7 2 3" xfId="15220" xr:uid="{00000000-0005-0000-0000-00008A340000}"/>
    <cellStyle name="Normal 4 2 2 3 2 2 7 2 4" xfId="32089" xr:uid="{CC08061A-454D-44B0-AE09-06F22F00E715}"/>
    <cellStyle name="Normal 4 2 2 3 2 2 7 3" xfId="19437" xr:uid="{00000000-0005-0000-0000-00008B340000}"/>
    <cellStyle name="Normal 4 2 2 3 2 2 7 3 2" xfId="36306" xr:uid="{625EA53A-76CB-4A50-A9F9-4DFA3E04AB23}"/>
    <cellStyle name="Normal 4 2 2 3 2 2 7 4" xfId="11002" xr:uid="{00000000-0005-0000-0000-00008C340000}"/>
    <cellStyle name="Normal 4 2 2 3 2 2 7 5" xfId="27872" xr:uid="{EBC9E958-BCA0-470D-B5CE-A7DFCC79C95F}"/>
    <cellStyle name="Normal 4 2 2 3 2 2 8" xfId="4720" xr:uid="{00000000-0005-0000-0000-00008D340000}"/>
    <cellStyle name="Normal 4 2 2 3 2 2 8 2" xfId="21590" xr:uid="{00000000-0005-0000-0000-00008E340000}"/>
    <cellStyle name="Normal 4 2 2 3 2 2 8 2 2" xfId="38458" xr:uid="{C32FFA26-DB6C-4461-A577-6D18F72BFB21}"/>
    <cellStyle name="Normal 4 2 2 3 2 2 8 3" xfId="13155" xr:uid="{00000000-0005-0000-0000-00008F340000}"/>
    <cellStyle name="Normal 4 2 2 3 2 2 8 4" xfId="30024" xr:uid="{92286F41-A354-49DC-B1B3-124E79570815}"/>
    <cellStyle name="Normal 4 2 2 3 2 2 9" xfId="17372" xr:uid="{00000000-0005-0000-0000-000090340000}"/>
    <cellStyle name="Normal 4 2 2 3 2 2 9 2" xfId="34241" xr:uid="{0D3B6F78-8464-4D82-ACAE-A08BE3C905F0}"/>
    <cellStyle name="Normal 4 2 2 3 2 3" xfId="343" xr:uid="{00000000-0005-0000-0000-000091340000}"/>
    <cellStyle name="Normal 4 2 2 3 2 3 10" xfId="25809" xr:uid="{09BF3B13-F054-4AA7-91FF-998F1BCFF195}"/>
    <cellStyle name="Normal 4 2 2 3 2 3 2" xfId="820" xr:uid="{00000000-0005-0000-0000-000092340000}"/>
    <cellStyle name="Normal 4 2 2 3 2 3 2 2" xfId="3057" xr:uid="{00000000-0005-0000-0000-000093340000}"/>
    <cellStyle name="Normal 4 2 2 3 2 3 2 2 2" xfId="7280" xr:uid="{00000000-0005-0000-0000-000094340000}"/>
    <cellStyle name="Normal 4 2 2 3 2 3 2 2 2 2" xfId="24150" xr:uid="{00000000-0005-0000-0000-000095340000}"/>
    <cellStyle name="Normal 4 2 2 3 2 3 2 2 2 2 2" xfId="41018" xr:uid="{B5910351-ECA2-42AB-A311-868831476E90}"/>
    <cellStyle name="Normal 4 2 2 3 2 3 2 2 2 3" xfId="15715" xr:uid="{00000000-0005-0000-0000-000096340000}"/>
    <cellStyle name="Normal 4 2 2 3 2 3 2 2 2 4" xfId="32584" xr:uid="{035BCC21-D773-4955-872D-69FBA662D3FE}"/>
    <cellStyle name="Normal 4 2 2 3 2 3 2 2 3" xfId="19932" xr:uid="{00000000-0005-0000-0000-000097340000}"/>
    <cellStyle name="Normal 4 2 2 3 2 3 2 2 3 2" xfId="36801" xr:uid="{F4135796-B8FF-4CC7-9994-66A4D1F1925A}"/>
    <cellStyle name="Normal 4 2 2 3 2 3 2 2 4" xfId="11497" xr:uid="{00000000-0005-0000-0000-000098340000}"/>
    <cellStyle name="Normal 4 2 2 3 2 3 2 2 5" xfId="28367" xr:uid="{882E40A9-AACC-4672-9E9E-910AF1487920}"/>
    <cellStyle name="Normal 4 2 2 3 2 3 2 3" xfId="5135" xr:uid="{00000000-0005-0000-0000-000099340000}"/>
    <cellStyle name="Normal 4 2 2 3 2 3 2 3 2" xfId="22005" xr:uid="{00000000-0005-0000-0000-00009A340000}"/>
    <cellStyle name="Normal 4 2 2 3 2 3 2 3 2 2" xfId="38873" xr:uid="{0B5835E1-CE25-4637-AC36-D27B86D1E2ED}"/>
    <cellStyle name="Normal 4 2 2 3 2 3 2 3 3" xfId="13570" xr:uid="{00000000-0005-0000-0000-00009B340000}"/>
    <cellStyle name="Normal 4 2 2 3 2 3 2 3 4" xfId="30439" xr:uid="{F5881E3F-0E35-490D-9C02-90AFE948A2AD}"/>
    <cellStyle name="Normal 4 2 2 3 2 3 2 4" xfId="17787" xr:uid="{00000000-0005-0000-0000-00009C340000}"/>
    <cellStyle name="Normal 4 2 2 3 2 3 2 4 2" xfId="34656" xr:uid="{78752FA8-4EF5-4483-99F1-F01D454F70D3}"/>
    <cellStyle name="Normal 4 2 2 3 2 3 2 5" xfId="9352" xr:uid="{00000000-0005-0000-0000-00009D340000}"/>
    <cellStyle name="Normal 4 2 2 3 2 3 2 6" xfId="26222" xr:uid="{235099E5-C434-48AF-ACE1-99005E39766A}"/>
    <cellStyle name="Normal 4 2 2 3 2 3 3" xfId="1240" xr:uid="{00000000-0005-0000-0000-00009E340000}"/>
    <cellStyle name="Normal 4 2 2 3 2 3 3 2" xfId="3470" xr:uid="{00000000-0005-0000-0000-00009F340000}"/>
    <cellStyle name="Normal 4 2 2 3 2 3 3 2 2" xfId="7693" xr:uid="{00000000-0005-0000-0000-0000A0340000}"/>
    <cellStyle name="Normal 4 2 2 3 2 3 3 2 2 2" xfId="24563" xr:uid="{00000000-0005-0000-0000-0000A1340000}"/>
    <cellStyle name="Normal 4 2 2 3 2 3 3 2 2 2 2" xfId="41431" xr:uid="{B38CC49B-71B2-48ED-8E22-DF23A2EECFCC}"/>
    <cellStyle name="Normal 4 2 2 3 2 3 3 2 2 3" xfId="16128" xr:uid="{00000000-0005-0000-0000-0000A2340000}"/>
    <cellStyle name="Normal 4 2 2 3 2 3 3 2 2 4" xfId="32997" xr:uid="{22B92C95-E3FD-49A2-B83B-FBE3C090959B}"/>
    <cellStyle name="Normal 4 2 2 3 2 3 3 2 3" xfId="20345" xr:uid="{00000000-0005-0000-0000-0000A3340000}"/>
    <cellStyle name="Normal 4 2 2 3 2 3 3 2 3 2" xfId="37214" xr:uid="{5DFE3DBA-24CC-4D9A-9C1F-8E95E3805CAD}"/>
    <cellStyle name="Normal 4 2 2 3 2 3 3 2 4" xfId="11910" xr:uid="{00000000-0005-0000-0000-0000A4340000}"/>
    <cellStyle name="Normal 4 2 2 3 2 3 3 2 5" xfId="28780" xr:uid="{AF746781-FA52-4D90-90A4-60AEC329C860}"/>
    <cellStyle name="Normal 4 2 2 3 2 3 3 3" xfId="5548" xr:uid="{00000000-0005-0000-0000-0000A5340000}"/>
    <cellStyle name="Normal 4 2 2 3 2 3 3 3 2" xfId="22418" xr:uid="{00000000-0005-0000-0000-0000A6340000}"/>
    <cellStyle name="Normal 4 2 2 3 2 3 3 3 2 2" xfId="39286" xr:uid="{ED3C7A60-6046-4216-BA26-D4283CFE4BBE}"/>
    <cellStyle name="Normal 4 2 2 3 2 3 3 3 3" xfId="13983" xr:uid="{00000000-0005-0000-0000-0000A7340000}"/>
    <cellStyle name="Normal 4 2 2 3 2 3 3 3 4" xfId="30852" xr:uid="{D310A497-5F11-4DE7-ABCB-D9A65F518496}"/>
    <cellStyle name="Normal 4 2 2 3 2 3 3 4" xfId="18200" xr:uid="{00000000-0005-0000-0000-0000A8340000}"/>
    <cellStyle name="Normal 4 2 2 3 2 3 3 4 2" xfId="35069" xr:uid="{A035EBA0-1B90-4C35-9774-10EA5E0C3786}"/>
    <cellStyle name="Normal 4 2 2 3 2 3 3 5" xfId="9765" xr:uid="{00000000-0005-0000-0000-0000A9340000}"/>
    <cellStyle name="Normal 4 2 2 3 2 3 3 6" xfId="26635" xr:uid="{D5AF16EA-902B-48E0-8BB3-1CF46938E5C9}"/>
    <cellStyle name="Normal 4 2 2 3 2 3 4" xfId="1653" xr:uid="{00000000-0005-0000-0000-0000AA340000}"/>
    <cellStyle name="Normal 4 2 2 3 2 3 4 2" xfId="3883" xr:uid="{00000000-0005-0000-0000-0000AB340000}"/>
    <cellStyle name="Normal 4 2 2 3 2 3 4 2 2" xfId="8106" xr:uid="{00000000-0005-0000-0000-0000AC340000}"/>
    <cellStyle name="Normal 4 2 2 3 2 3 4 2 2 2" xfId="24976" xr:uid="{00000000-0005-0000-0000-0000AD340000}"/>
    <cellStyle name="Normal 4 2 2 3 2 3 4 2 2 2 2" xfId="41844" xr:uid="{B167D782-6633-4B55-AF90-4455B8A4EAD4}"/>
    <cellStyle name="Normal 4 2 2 3 2 3 4 2 2 3" xfId="16541" xr:uid="{00000000-0005-0000-0000-0000AE340000}"/>
    <cellStyle name="Normal 4 2 2 3 2 3 4 2 2 4" xfId="33410" xr:uid="{C6999E74-EDFD-415A-892B-C5E367C25EBC}"/>
    <cellStyle name="Normal 4 2 2 3 2 3 4 2 3" xfId="20758" xr:uid="{00000000-0005-0000-0000-0000AF340000}"/>
    <cellStyle name="Normal 4 2 2 3 2 3 4 2 3 2" xfId="37627" xr:uid="{52155AD9-E4A3-44B3-A203-DD0F823C4E2C}"/>
    <cellStyle name="Normal 4 2 2 3 2 3 4 2 4" xfId="12323" xr:uid="{00000000-0005-0000-0000-0000B0340000}"/>
    <cellStyle name="Normal 4 2 2 3 2 3 4 2 5" xfId="29193" xr:uid="{753930EC-D74C-41AA-9B64-64552762CC6C}"/>
    <cellStyle name="Normal 4 2 2 3 2 3 4 3" xfId="5961" xr:uid="{00000000-0005-0000-0000-0000B1340000}"/>
    <cellStyle name="Normal 4 2 2 3 2 3 4 3 2" xfId="22831" xr:uid="{00000000-0005-0000-0000-0000B2340000}"/>
    <cellStyle name="Normal 4 2 2 3 2 3 4 3 2 2" xfId="39699" xr:uid="{8CE4FDD6-479B-43D2-85B2-E8D27BA9EB55}"/>
    <cellStyle name="Normal 4 2 2 3 2 3 4 3 3" xfId="14396" xr:uid="{00000000-0005-0000-0000-0000B3340000}"/>
    <cellStyle name="Normal 4 2 2 3 2 3 4 3 4" xfId="31265" xr:uid="{E6E56A39-577D-4876-8906-4FE37877C89E}"/>
    <cellStyle name="Normal 4 2 2 3 2 3 4 4" xfId="18613" xr:uid="{00000000-0005-0000-0000-0000B4340000}"/>
    <cellStyle name="Normal 4 2 2 3 2 3 4 4 2" xfId="35482" xr:uid="{A8B8B57C-1450-4FF0-9F63-8F97977073CF}"/>
    <cellStyle name="Normal 4 2 2 3 2 3 4 5" xfId="10178" xr:uid="{00000000-0005-0000-0000-0000B5340000}"/>
    <cellStyle name="Normal 4 2 2 3 2 3 4 6" xfId="27048" xr:uid="{42F4393B-07CB-4F6F-AF2B-0DA831BA6C12}"/>
    <cellStyle name="Normal 4 2 2 3 2 3 5" xfId="2067" xr:uid="{00000000-0005-0000-0000-0000B6340000}"/>
    <cellStyle name="Normal 4 2 2 3 2 3 5 2" xfId="4296" xr:uid="{00000000-0005-0000-0000-0000B7340000}"/>
    <cellStyle name="Normal 4 2 2 3 2 3 5 2 2" xfId="8519" xr:uid="{00000000-0005-0000-0000-0000B8340000}"/>
    <cellStyle name="Normal 4 2 2 3 2 3 5 2 2 2" xfId="25389" xr:uid="{00000000-0005-0000-0000-0000B9340000}"/>
    <cellStyle name="Normal 4 2 2 3 2 3 5 2 2 2 2" xfId="42257" xr:uid="{98B6DECC-FF16-4D56-A8F8-8AD556F65AE7}"/>
    <cellStyle name="Normal 4 2 2 3 2 3 5 2 2 3" xfId="16954" xr:uid="{00000000-0005-0000-0000-0000BA340000}"/>
    <cellStyle name="Normal 4 2 2 3 2 3 5 2 2 4" xfId="33823" xr:uid="{99921AA3-780B-4502-92A8-924B75FEAAC8}"/>
    <cellStyle name="Normal 4 2 2 3 2 3 5 2 3" xfId="21171" xr:uid="{00000000-0005-0000-0000-0000BB340000}"/>
    <cellStyle name="Normal 4 2 2 3 2 3 5 2 3 2" xfId="38040" xr:uid="{8F6A39A7-C221-4106-95DF-3C14D95BEFF8}"/>
    <cellStyle name="Normal 4 2 2 3 2 3 5 2 4" xfId="12736" xr:uid="{00000000-0005-0000-0000-0000BC340000}"/>
    <cellStyle name="Normal 4 2 2 3 2 3 5 2 5" xfId="29606" xr:uid="{C9D74D5C-8FFD-4B94-A0A0-42346C850D82}"/>
    <cellStyle name="Normal 4 2 2 3 2 3 5 3" xfId="6374" xr:uid="{00000000-0005-0000-0000-0000BD340000}"/>
    <cellStyle name="Normal 4 2 2 3 2 3 5 3 2" xfId="23244" xr:uid="{00000000-0005-0000-0000-0000BE340000}"/>
    <cellStyle name="Normal 4 2 2 3 2 3 5 3 2 2" xfId="40112" xr:uid="{7851A10D-EC2B-44E9-B2F0-94FBB99A45BB}"/>
    <cellStyle name="Normal 4 2 2 3 2 3 5 3 3" xfId="14809" xr:uid="{00000000-0005-0000-0000-0000BF340000}"/>
    <cellStyle name="Normal 4 2 2 3 2 3 5 3 4" xfId="31678" xr:uid="{D00F3727-D701-41C4-B08D-352F8F9B99ED}"/>
    <cellStyle name="Normal 4 2 2 3 2 3 5 4" xfId="19026" xr:uid="{00000000-0005-0000-0000-0000C0340000}"/>
    <cellStyle name="Normal 4 2 2 3 2 3 5 4 2" xfId="35895" xr:uid="{26280297-B7A3-4EC1-8E84-709B5FAFEB32}"/>
    <cellStyle name="Normal 4 2 2 3 2 3 5 5" xfId="10591" xr:uid="{00000000-0005-0000-0000-0000C1340000}"/>
    <cellStyle name="Normal 4 2 2 3 2 3 5 6" xfId="27461" xr:uid="{E2301935-68F9-4F8E-B9E6-A3484BFE21D9}"/>
    <cellStyle name="Normal 4 2 2 3 2 3 6" xfId="2503" xr:uid="{00000000-0005-0000-0000-0000C2340000}"/>
    <cellStyle name="Normal 4 2 2 3 2 3 6 2" xfId="6787" xr:uid="{00000000-0005-0000-0000-0000C3340000}"/>
    <cellStyle name="Normal 4 2 2 3 2 3 6 2 2" xfId="23657" xr:uid="{00000000-0005-0000-0000-0000C4340000}"/>
    <cellStyle name="Normal 4 2 2 3 2 3 6 2 2 2" xfId="40525" xr:uid="{2A58CF57-A41C-4A68-B93E-88D4AFF85CE2}"/>
    <cellStyle name="Normal 4 2 2 3 2 3 6 2 3" xfId="15222" xr:uid="{00000000-0005-0000-0000-0000C5340000}"/>
    <cellStyle name="Normal 4 2 2 3 2 3 6 2 4" xfId="32091" xr:uid="{76AF1C7B-9050-4C42-808F-A0F3213EE35A}"/>
    <cellStyle name="Normal 4 2 2 3 2 3 6 3" xfId="19439" xr:uid="{00000000-0005-0000-0000-0000C6340000}"/>
    <cellStyle name="Normal 4 2 2 3 2 3 6 3 2" xfId="36308" xr:uid="{663D5669-3957-477A-B391-BCEE81B5F93E}"/>
    <cellStyle name="Normal 4 2 2 3 2 3 6 4" xfId="11004" xr:uid="{00000000-0005-0000-0000-0000C7340000}"/>
    <cellStyle name="Normal 4 2 2 3 2 3 6 5" xfId="27874" xr:uid="{138771DE-D67B-4CB4-9D2A-F56A1A5B4450}"/>
    <cellStyle name="Normal 4 2 2 3 2 3 7" xfId="4722" xr:uid="{00000000-0005-0000-0000-0000C8340000}"/>
    <cellStyle name="Normal 4 2 2 3 2 3 7 2" xfId="21592" xr:uid="{00000000-0005-0000-0000-0000C9340000}"/>
    <cellStyle name="Normal 4 2 2 3 2 3 7 2 2" xfId="38460" xr:uid="{170D7C86-0436-428B-A1FF-01C671E9D4E1}"/>
    <cellStyle name="Normal 4 2 2 3 2 3 7 3" xfId="13157" xr:uid="{00000000-0005-0000-0000-0000CA340000}"/>
    <cellStyle name="Normal 4 2 2 3 2 3 7 4" xfId="30026" xr:uid="{B99B20E5-D376-445F-9E3F-2589432BD273}"/>
    <cellStyle name="Normal 4 2 2 3 2 3 8" xfId="17374" xr:uid="{00000000-0005-0000-0000-0000CB340000}"/>
    <cellStyle name="Normal 4 2 2 3 2 3 8 2" xfId="34243" xr:uid="{1768C413-DD67-42A2-8219-B84DE12BCDBF}"/>
    <cellStyle name="Normal 4 2 2 3 2 3 9" xfId="8939" xr:uid="{00000000-0005-0000-0000-0000CC340000}"/>
    <cellStyle name="Normal 4 2 2 3 2 4" xfId="817" xr:uid="{00000000-0005-0000-0000-0000CD340000}"/>
    <cellStyle name="Normal 4 2 2 3 2 4 2" xfId="3054" xr:uid="{00000000-0005-0000-0000-0000CE340000}"/>
    <cellStyle name="Normal 4 2 2 3 2 4 2 2" xfId="7277" xr:uid="{00000000-0005-0000-0000-0000CF340000}"/>
    <cellStyle name="Normal 4 2 2 3 2 4 2 2 2" xfId="24147" xr:uid="{00000000-0005-0000-0000-0000D0340000}"/>
    <cellStyle name="Normal 4 2 2 3 2 4 2 2 2 2" xfId="41015" xr:uid="{394590C3-D7B3-4B4F-9A31-03EA5F3C49A0}"/>
    <cellStyle name="Normal 4 2 2 3 2 4 2 2 3" xfId="15712" xr:uid="{00000000-0005-0000-0000-0000D1340000}"/>
    <cellStyle name="Normal 4 2 2 3 2 4 2 2 4" xfId="32581" xr:uid="{040C49FF-EDBC-4A6F-9AA4-0B564A86E32A}"/>
    <cellStyle name="Normal 4 2 2 3 2 4 2 3" xfId="19929" xr:uid="{00000000-0005-0000-0000-0000D2340000}"/>
    <cellStyle name="Normal 4 2 2 3 2 4 2 3 2" xfId="36798" xr:uid="{4A7E3EF4-68A6-44B0-B975-CA2D1E8B2672}"/>
    <cellStyle name="Normal 4 2 2 3 2 4 2 4" xfId="11494" xr:uid="{00000000-0005-0000-0000-0000D3340000}"/>
    <cellStyle name="Normal 4 2 2 3 2 4 2 5" xfId="28364" xr:uid="{43D230E9-8402-4536-BF55-73F835750377}"/>
    <cellStyle name="Normal 4 2 2 3 2 4 3" xfId="5132" xr:uid="{00000000-0005-0000-0000-0000D4340000}"/>
    <cellStyle name="Normal 4 2 2 3 2 4 3 2" xfId="22002" xr:uid="{00000000-0005-0000-0000-0000D5340000}"/>
    <cellStyle name="Normal 4 2 2 3 2 4 3 2 2" xfId="38870" xr:uid="{4171ECF5-8580-4CD8-8A1A-FD5AE4C22A71}"/>
    <cellStyle name="Normal 4 2 2 3 2 4 3 3" xfId="13567" xr:uid="{00000000-0005-0000-0000-0000D6340000}"/>
    <cellStyle name="Normal 4 2 2 3 2 4 3 4" xfId="30436" xr:uid="{15AB221E-2666-4CBC-AFC2-706940CE82B2}"/>
    <cellStyle name="Normal 4 2 2 3 2 4 4" xfId="17784" xr:uid="{00000000-0005-0000-0000-0000D7340000}"/>
    <cellStyle name="Normal 4 2 2 3 2 4 4 2" xfId="34653" xr:uid="{A43C4D1B-4636-419D-A395-19925373727B}"/>
    <cellStyle name="Normal 4 2 2 3 2 4 5" xfId="9349" xr:uid="{00000000-0005-0000-0000-0000D8340000}"/>
    <cellStyle name="Normal 4 2 2 3 2 4 6" xfId="26219" xr:uid="{CA3284C9-31FB-4477-9922-D7A50C4BA568}"/>
    <cellStyle name="Normal 4 2 2 3 2 5" xfId="1237" xr:uid="{00000000-0005-0000-0000-0000D9340000}"/>
    <cellStyle name="Normal 4 2 2 3 2 5 2" xfId="3467" xr:uid="{00000000-0005-0000-0000-0000DA340000}"/>
    <cellStyle name="Normal 4 2 2 3 2 5 2 2" xfId="7690" xr:uid="{00000000-0005-0000-0000-0000DB340000}"/>
    <cellStyle name="Normal 4 2 2 3 2 5 2 2 2" xfId="24560" xr:uid="{00000000-0005-0000-0000-0000DC340000}"/>
    <cellStyle name="Normal 4 2 2 3 2 5 2 2 2 2" xfId="41428" xr:uid="{318FA851-4509-41E9-A64A-75F30866D945}"/>
    <cellStyle name="Normal 4 2 2 3 2 5 2 2 3" xfId="16125" xr:uid="{00000000-0005-0000-0000-0000DD340000}"/>
    <cellStyle name="Normal 4 2 2 3 2 5 2 2 4" xfId="32994" xr:uid="{4556F75A-68C7-46CE-9232-85396C2872B0}"/>
    <cellStyle name="Normal 4 2 2 3 2 5 2 3" xfId="20342" xr:uid="{00000000-0005-0000-0000-0000DE340000}"/>
    <cellStyle name="Normal 4 2 2 3 2 5 2 3 2" xfId="37211" xr:uid="{B855972B-5E0B-49F4-86EC-B1FDA4EBFD7F}"/>
    <cellStyle name="Normal 4 2 2 3 2 5 2 4" xfId="11907" xr:uid="{00000000-0005-0000-0000-0000DF340000}"/>
    <cellStyle name="Normal 4 2 2 3 2 5 2 5" xfId="28777" xr:uid="{705CB805-7ABF-431D-9E7E-AEB42225E8EB}"/>
    <cellStyle name="Normal 4 2 2 3 2 5 3" xfId="5545" xr:uid="{00000000-0005-0000-0000-0000E0340000}"/>
    <cellStyle name="Normal 4 2 2 3 2 5 3 2" xfId="22415" xr:uid="{00000000-0005-0000-0000-0000E1340000}"/>
    <cellStyle name="Normal 4 2 2 3 2 5 3 2 2" xfId="39283" xr:uid="{BCBDED38-C652-4588-BA69-4B650548E3C0}"/>
    <cellStyle name="Normal 4 2 2 3 2 5 3 3" xfId="13980" xr:uid="{00000000-0005-0000-0000-0000E2340000}"/>
    <cellStyle name="Normal 4 2 2 3 2 5 3 4" xfId="30849" xr:uid="{7535B171-7EF7-4FC7-BF33-C830C728B69C}"/>
    <cellStyle name="Normal 4 2 2 3 2 5 4" xfId="18197" xr:uid="{00000000-0005-0000-0000-0000E3340000}"/>
    <cellStyle name="Normal 4 2 2 3 2 5 4 2" xfId="35066" xr:uid="{B209CC20-4F31-4785-94BD-8F273C9874BB}"/>
    <cellStyle name="Normal 4 2 2 3 2 5 5" xfId="9762" xr:uid="{00000000-0005-0000-0000-0000E4340000}"/>
    <cellStyle name="Normal 4 2 2 3 2 5 6" xfId="26632" xr:uid="{AB7AFD2B-BEC3-4F05-98FE-29D625E58A3C}"/>
    <cellStyle name="Normal 4 2 2 3 2 6" xfId="1650" xr:uid="{00000000-0005-0000-0000-0000E5340000}"/>
    <cellStyle name="Normal 4 2 2 3 2 6 2" xfId="3880" xr:uid="{00000000-0005-0000-0000-0000E6340000}"/>
    <cellStyle name="Normal 4 2 2 3 2 6 2 2" xfId="8103" xr:uid="{00000000-0005-0000-0000-0000E7340000}"/>
    <cellStyle name="Normal 4 2 2 3 2 6 2 2 2" xfId="24973" xr:uid="{00000000-0005-0000-0000-0000E8340000}"/>
    <cellStyle name="Normal 4 2 2 3 2 6 2 2 2 2" xfId="41841" xr:uid="{66802E10-E66B-4C1F-AF42-C19251A41F3E}"/>
    <cellStyle name="Normal 4 2 2 3 2 6 2 2 3" xfId="16538" xr:uid="{00000000-0005-0000-0000-0000E9340000}"/>
    <cellStyle name="Normal 4 2 2 3 2 6 2 2 4" xfId="33407" xr:uid="{7C15F238-5626-4BF7-9575-702579F025F4}"/>
    <cellStyle name="Normal 4 2 2 3 2 6 2 3" xfId="20755" xr:uid="{00000000-0005-0000-0000-0000EA340000}"/>
    <cellStyle name="Normal 4 2 2 3 2 6 2 3 2" xfId="37624" xr:uid="{F48FA54E-EE42-403A-9C48-C4237E39C558}"/>
    <cellStyle name="Normal 4 2 2 3 2 6 2 4" xfId="12320" xr:uid="{00000000-0005-0000-0000-0000EB340000}"/>
    <cellStyle name="Normal 4 2 2 3 2 6 2 5" xfId="29190" xr:uid="{439C2E0E-5C00-47D6-BBD3-4CA066D55B49}"/>
    <cellStyle name="Normal 4 2 2 3 2 6 3" xfId="5958" xr:uid="{00000000-0005-0000-0000-0000EC340000}"/>
    <cellStyle name="Normal 4 2 2 3 2 6 3 2" xfId="22828" xr:uid="{00000000-0005-0000-0000-0000ED340000}"/>
    <cellStyle name="Normal 4 2 2 3 2 6 3 2 2" xfId="39696" xr:uid="{374733FD-29A3-46D3-8150-A940FEBFA2A7}"/>
    <cellStyle name="Normal 4 2 2 3 2 6 3 3" xfId="14393" xr:uid="{00000000-0005-0000-0000-0000EE340000}"/>
    <cellStyle name="Normal 4 2 2 3 2 6 3 4" xfId="31262" xr:uid="{99952784-DFCC-4CA0-BC5D-24963D34E803}"/>
    <cellStyle name="Normal 4 2 2 3 2 6 4" xfId="18610" xr:uid="{00000000-0005-0000-0000-0000EF340000}"/>
    <cellStyle name="Normal 4 2 2 3 2 6 4 2" xfId="35479" xr:uid="{15DD5588-022F-4013-B468-E374B2FC2340}"/>
    <cellStyle name="Normal 4 2 2 3 2 6 5" xfId="10175" xr:uid="{00000000-0005-0000-0000-0000F0340000}"/>
    <cellStyle name="Normal 4 2 2 3 2 6 6" xfId="27045" xr:uid="{3AB1F7FB-FB41-4830-ADD6-01C605512FB0}"/>
    <cellStyle name="Normal 4 2 2 3 2 7" xfId="2064" xr:uid="{00000000-0005-0000-0000-0000F1340000}"/>
    <cellStyle name="Normal 4 2 2 3 2 7 2" xfId="4293" xr:uid="{00000000-0005-0000-0000-0000F2340000}"/>
    <cellStyle name="Normal 4 2 2 3 2 7 2 2" xfId="8516" xr:uid="{00000000-0005-0000-0000-0000F3340000}"/>
    <cellStyle name="Normal 4 2 2 3 2 7 2 2 2" xfId="25386" xr:uid="{00000000-0005-0000-0000-0000F4340000}"/>
    <cellStyle name="Normal 4 2 2 3 2 7 2 2 2 2" xfId="42254" xr:uid="{34BB0120-FD46-42E9-8793-30A152B2B0BB}"/>
    <cellStyle name="Normal 4 2 2 3 2 7 2 2 3" xfId="16951" xr:uid="{00000000-0005-0000-0000-0000F5340000}"/>
    <cellStyle name="Normal 4 2 2 3 2 7 2 2 4" xfId="33820" xr:uid="{B0881518-153D-4651-B904-CE7AAD9D2700}"/>
    <cellStyle name="Normal 4 2 2 3 2 7 2 3" xfId="21168" xr:uid="{00000000-0005-0000-0000-0000F6340000}"/>
    <cellStyle name="Normal 4 2 2 3 2 7 2 3 2" xfId="38037" xr:uid="{0D42479E-2FC5-44C5-ACD5-EF65D9245755}"/>
    <cellStyle name="Normal 4 2 2 3 2 7 2 4" xfId="12733" xr:uid="{00000000-0005-0000-0000-0000F7340000}"/>
    <cellStyle name="Normal 4 2 2 3 2 7 2 5" xfId="29603" xr:uid="{85CACF29-DFB9-41B0-8238-F988D5208E7C}"/>
    <cellStyle name="Normal 4 2 2 3 2 7 3" xfId="6371" xr:uid="{00000000-0005-0000-0000-0000F8340000}"/>
    <cellStyle name="Normal 4 2 2 3 2 7 3 2" xfId="23241" xr:uid="{00000000-0005-0000-0000-0000F9340000}"/>
    <cellStyle name="Normal 4 2 2 3 2 7 3 2 2" xfId="40109" xr:uid="{B7D24DCE-8270-4D3E-94A3-FF6EE293323C}"/>
    <cellStyle name="Normal 4 2 2 3 2 7 3 3" xfId="14806" xr:uid="{00000000-0005-0000-0000-0000FA340000}"/>
    <cellStyle name="Normal 4 2 2 3 2 7 3 4" xfId="31675" xr:uid="{E3F83665-9394-4EBC-AE7D-D4B7647AEF5A}"/>
    <cellStyle name="Normal 4 2 2 3 2 7 4" xfId="19023" xr:uid="{00000000-0005-0000-0000-0000FB340000}"/>
    <cellStyle name="Normal 4 2 2 3 2 7 4 2" xfId="35892" xr:uid="{B601D226-A0E1-43FF-A2DB-96324CC306C6}"/>
    <cellStyle name="Normal 4 2 2 3 2 7 5" xfId="10588" xr:uid="{00000000-0005-0000-0000-0000FC340000}"/>
    <cellStyle name="Normal 4 2 2 3 2 7 6" xfId="27458" xr:uid="{7CDADC01-AE4F-4298-B5CC-7F87353CC953}"/>
    <cellStyle name="Normal 4 2 2 3 2 8" xfId="2500" xr:uid="{00000000-0005-0000-0000-0000FD340000}"/>
    <cellStyle name="Normal 4 2 2 3 2 8 2" xfId="6784" xr:uid="{00000000-0005-0000-0000-0000FE340000}"/>
    <cellStyle name="Normal 4 2 2 3 2 8 2 2" xfId="23654" xr:uid="{00000000-0005-0000-0000-0000FF340000}"/>
    <cellStyle name="Normal 4 2 2 3 2 8 2 2 2" xfId="40522" xr:uid="{E5A4BDBD-E817-4A77-A6E2-C8F37F46F055}"/>
    <cellStyle name="Normal 4 2 2 3 2 8 2 3" xfId="15219" xr:uid="{00000000-0005-0000-0000-000000350000}"/>
    <cellStyle name="Normal 4 2 2 3 2 8 2 4" xfId="32088" xr:uid="{79262C22-8ED7-46DE-91A2-2A10D4D6DB07}"/>
    <cellStyle name="Normal 4 2 2 3 2 8 3" xfId="19436" xr:uid="{00000000-0005-0000-0000-000001350000}"/>
    <cellStyle name="Normal 4 2 2 3 2 8 3 2" xfId="36305" xr:uid="{B934517B-F34B-4489-8C13-A8DADD0F5D1E}"/>
    <cellStyle name="Normal 4 2 2 3 2 8 4" xfId="11001" xr:uid="{00000000-0005-0000-0000-000002350000}"/>
    <cellStyle name="Normal 4 2 2 3 2 8 5" xfId="27871" xr:uid="{0A60847F-4A74-455C-A87A-821CB3242B0C}"/>
    <cellStyle name="Normal 4 2 2 3 2 9" xfId="4719" xr:uid="{00000000-0005-0000-0000-000003350000}"/>
    <cellStyle name="Normal 4 2 2 3 2 9 2" xfId="21589" xr:uid="{00000000-0005-0000-0000-000004350000}"/>
    <cellStyle name="Normal 4 2 2 3 2 9 2 2" xfId="38457" xr:uid="{6764BAA0-DDCA-4085-BF6A-BBE8A195DB41}"/>
    <cellStyle name="Normal 4 2 2 3 2 9 3" xfId="13154" xr:uid="{00000000-0005-0000-0000-000005350000}"/>
    <cellStyle name="Normal 4 2 2 3 2 9 4" xfId="30023" xr:uid="{4E102EDC-2464-4D86-BC92-D1904B08E33C}"/>
    <cellStyle name="Normal 4 2 2 3 3" xfId="344" xr:uid="{00000000-0005-0000-0000-000006350000}"/>
    <cellStyle name="Normal 4 2 2 3 3 10" xfId="8940" xr:uid="{00000000-0005-0000-0000-000007350000}"/>
    <cellStyle name="Normal 4 2 2 3 3 11" xfId="25810" xr:uid="{2E689CEB-7CB1-40AC-B230-01BDD183A6FB}"/>
    <cellStyle name="Normal 4 2 2 3 3 2" xfId="345" xr:uid="{00000000-0005-0000-0000-000008350000}"/>
    <cellStyle name="Normal 4 2 2 3 3 2 10" xfId="25811" xr:uid="{9479627C-BF60-4A12-876D-6F777803E6FA}"/>
    <cellStyle name="Normal 4 2 2 3 3 2 2" xfId="822" xr:uid="{00000000-0005-0000-0000-000009350000}"/>
    <cellStyle name="Normal 4 2 2 3 3 2 2 2" xfId="3059" xr:uid="{00000000-0005-0000-0000-00000A350000}"/>
    <cellStyle name="Normal 4 2 2 3 3 2 2 2 2" xfId="7282" xr:uid="{00000000-0005-0000-0000-00000B350000}"/>
    <cellStyle name="Normal 4 2 2 3 3 2 2 2 2 2" xfId="24152" xr:uid="{00000000-0005-0000-0000-00000C350000}"/>
    <cellStyle name="Normal 4 2 2 3 3 2 2 2 2 2 2" xfId="41020" xr:uid="{4C4478E4-B791-4ACF-9AB6-BEE0C23F92E2}"/>
    <cellStyle name="Normal 4 2 2 3 3 2 2 2 2 3" xfId="15717" xr:uid="{00000000-0005-0000-0000-00000D350000}"/>
    <cellStyle name="Normal 4 2 2 3 3 2 2 2 2 4" xfId="32586" xr:uid="{C0910A59-330D-4773-90AA-CE4F7FFF27F8}"/>
    <cellStyle name="Normal 4 2 2 3 3 2 2 2 3" xfId="19934" xr:uid="{00000000-0005-0000-0000-00000E350000}"/>
    <cellStyle name="Normal 4 2 2 3 3 2 2 2 3 2" xfId="36803" xr:uid="{1A0771F2-ED0C-4EB6-AB51-1C6747A19BEB}"/>
    <cellStyle name="Normal 4 2 2 3 3 2 2 2 4" xfId="11499" xr:uid="{00000000-0005-0000-0000-00000F350000}"/>
    <cellStyle name="Normal 4 2 2 3 3 2 2 2 5" xfId="28369" xr:uid="{68A5D79C-C3AC-4515-B484-689273D917FC}"/>
    <cellStyle name="Normal 4 2 2 3 3 2 2 3" xfId="5137" xr:uid="{00000000-0005-0000-0000-000010350000}"/>
    <cellStyle name="Normal 4 2 2 3 3 2 2 3 2" xfId="22007" xr:uid="{00000000-0005-0000-0000-000011350000}"/>
    <cellStyle name="Normal 4 2 2 3 3 2 2 3 2 2" xfId="38875" xr:uid="{CD353787-590D-4B02-A70F-149A46BC39BC}"/>
    <cellStyle name="Normal 4 2 2 3 3 2 2 3 3" xfId="13572" xr:uid="{00000000-0005-0000-0000-000012350000}"/>
    <cellStyle name="Normal 4 2 2 3 3 2 2 3 4" xfId="30441" xr:uid="{586AA1D8-42FD-4167-8881-C3165258203E}"/>
    <cellStyle name="Normal 4 2 2 3 3 2 2 4" xfId="17789" xr:uid="{00000000-0005-0000-0000-000013350000}"/>
    <cellStyle name="Normal 4 2 2 3 3 2 2 4 2" xfId="34658" xr:uid="{5A9BFA62-CC0A-4396-8072-62203D54EAAD}"/>
    <cellStyle name="Normal 4 2 2 3 3 2 2 5" xfId="9354" xr:uid="{00000000-0005-0000-0000-000014350000}"/>
    <cellStyle name="Normal 4 2 2 3 3 2 2 6" xfId="26224" xr:uid="{E4FB9C21-6408-4B8B-AC18-8FC6FDA7D9F0}"/>
    <cellStyle name="Normal 4 2 2 3 3 2 3" xfId="1242" xr:uid="{00000000-0005-0000-0000-000015350000}"/>
    <cellStyle name="Normal 4 2 2 3 3 2 3 2" xfId="3472" xr:uid="{00000000-0005-0000-0000-000016350000}"/>
    <cellStyle name="Normal 4 2 2 3 3 2 3 2 2" xfId="7695" xr:uid="{00000000-0005-0000-0000-000017350000}"/>
    <cellStyle name="Normal 4 2 2 3 3 2 3 2 2 2" xfId="24565" xr:uid="{00000000-0005-0000-0000-000018350000}"/>
    <cellStyle name="Normal 4 2 2 3 3 2 3 2 2 2 2" xfId="41433" xr:uid="{AD6B44FB-1BE7-4C0F-90DA-CF54FB8AB4B4}"/>
    <cellStyle name="Normal 4 2 2 3 3 2 3 2 2 3" xfId="16130" xr:uid="{00000000-0005-0000-0000-000019350000}"/>
    <cellStyle name="Normal 4 2 2 3 3 2 3 2 2 4" xfId="32999" xr:uid="{6B797640-6884-4C82-BB58-40B2599F6A66}"/>
    <cellStyle name="Normal 4 2 2 3 3 2 3 2 3" xfId="20347" xr:uid="{00000000-0005-0000-0000-00001A350000}"/>
    <cellStyle name="Normal 4 2 2 3 3 2 3 2 3 2" xfId="37216" xr:uid="{622DF6C1-431C-4EC3-ACD0-33143FAA6317}"/>
    <cellStyle name="Normal 4 2 2 3 3 2 3 2 4" xfId="11912" xr:uid="{00000000-0005-0000-0000-00001B350000}"/>
    <cellStyle name="Normal 4 2 2 3 3 2 3 2 5" xfId="28782" xr:uid="{8109F1E9-0C69-4985-9797-B3DEA4499E6A}"/>
    <cellStyle name="Normal 4 2 2 3 3 2 3 3" xfId="5550" xr:uid="{00000000-0005-0000-0000-00001C350000}"/>
    <cellStyle name="Normal 4 2 2 3 3 2 3 3 2" xfId="22420" xr:uid="{00000000-0005-0000-0000-00001D350000}"/>
    <cellStyle name="Normal 4 2 2 3 3 2 3 3 2 2" xfId="39288" xr:uid="{BB0F58E9-D5BE-44DC-95F4-35155864920D}"/>
    <cellStyle name="Normal 4 2 2 3 3 2 3 3 3" xfId="13985" xr:uid="{00000000-0005-0000-0000-00001E350000}"/>
    <cellStyle name="Normal 4 2 2 3 3 2 3 3 4" xfId="30854" xr:uid="{79AC4360-BE0A-46B7-BAD0-0DFD2A6A842A}"/>
    <cellStyle name="Normal 4 2 2 3 3 2 3 4" xfId="18202" xr:uid="{00000000-0005-0000-0000-00001F350000}"/>
    <cellStyle name="Normal 4 2 2 3 3 2 3 4 2" xfId="35071" xr:uid="{B40D3F6F-329F-4EEA-897E-CAC6583754F9}"/>
    <cellStyle name="Normal 4 2 2 3 3 2 3 5" xfId="9767" xr:uid="{00000000-0005-0000-0000-000020350000}"/>
    <cellStyle name="Normal 4 2 2 3 3 2 3 6" xfId="26637" xr:uid="{3A24386B-1C29-4EEB-B6B4-E8679F1C2977}"/>
    <cellStyle name="Normal 4 2 2 3 3 2 4" xfId="1655" xr:uid="{00000000-0005-0000-0000-000021350000}"/>
    <cellStyle name="Normal 4 2 2 3 3 2 4 2" xfId="3885" xr:uid="{00000000-0005-0000-0000-000022350000}"/>
    <cellStyle name="Normal 4 2 2 3 3 2 4 2 2" xfId="8108" xr:uid="{00000000-0005-0000-0000-000023350000}"/>
    <cellStyle name="Normal 4 2 2 3 3 2 4 2 2 2" xfId="24978" xr:uid="{00000000-0005-0000-0000-000024350000}"/>
    <cellStyle name="Normal 4 2 2 3 3 2 4 2 2 2 2" xfId="41846" xr:uid="{AD5A41DB-4F20-4961-9DDC-C0287B53BF1A}"/>
    <cellStyle name="Normal 4 2 2 3 3 2 4 2 2 3" xfId="16543" xr:uid="{00000000-0005-0000-0000-000025350000}"/>
    <cellStyle name="Normal 4 2 2 3 3 2 4 2 2 4" xfId="33412" xr:uid="{C29DA64D-66C1-432E-A81E-4F201F553535}"/>
    <cellStyle name="Normal 4 2 2 3 3 2 4 2 3" xfId="20760" xr:uid="{00000000-0005-0000-0000-000026350000}"/>
    <cellStyle name="Normal 4 2 2 3 3 2 4 2 3 2" xfId="37629" xr:uid="{640154C1-42BC-498E-B211-CED9EFE863AE}"/>
    <cellStyle name="Normal 4 2 2 3 3 2 4 2 4" xfId="12325" xr:uid="{00000000-0005-0000-0000-000027350000}"/>
    <cellStyle name="Normal 4 2 2 3 3 2 4 2 5" xfId="29195" xr:uid="{0A036CA3-B3F6-4A03-A985-3C33B89396ED}"/>
    <cellStyle name="Normal 4 2 2 3 3 2 4 3" xfId="5963" xr:uid="{00000000-0005-0000-0000-000028350000}"/>
    <cellStyle name="Normal 4 2 2 3 3 2 4 3 2" xfId="22833" xr:uid="{00000000-0005-0000-0000-000029350000}"/>
    <cellStyle name="Normal 4 2 2 3 3 2 4 3 2 2" xfId="39701" xr:uid="{8E7E6FDB-946E-4D87-A8FF-35C73751D883}"/>
    <cellStyle name="Normal 4 2 2 3 3 2 4 3 3" xfId="14398" xr:uid="{00000000-0005-0000-0000-00002A350000}"/>
    <cellStyle name="Normal 4 2 2 3 3 2 4 3 4" xfId="31267" xr:uid="{C90EB077-0E0F-4F1D-9EE4-F9E69468541F}"/>
    <cellStyle name="Normal 4 2 2 3 3 2 4 4" xfId="18615" xr:uid="{00000000-0005-0000-0000-00002B350000}"/>
    <cellStyle name="Normal 4 2 2 3 3 2 4 4 2" xfId="35484" xr:uid="{91F86D4C-15B7-4DE7-BD70-2EDF08E0FAD3}"/>
    <cellStyle name="Normal 4 2 2 3 3 2 4 5" xfId="10180" xr:uid="{00000000-0005-0000-0000-00002C350000}"/>
    <cellStyle name="Normal 4 2 2 3 3 2 4 6" xfId="27050" xr:uid="{F036483B-2E41-436B-BEBC-B11BE756CE58}"/>
    <cellStyle name="Normal 4 2 2 3 3 2 5" xfId="2069" xr:uid="{00000000-0005-0000-0000-00002D350000}"/>
    <cellStyle name="Normal 4 2 2 3 3 2 5 2" xfId="4298" xr:uid="{00000000-0005-0000-0000-00002E350000}"/>
    <cellStyle name="Normal 4 2 2 3 3 2 5 2 2" xfId="8521" xr:uid="{00000000-0005-0000-0000-00002F350000}"/>
    <cellStyle name="Normal 4 2 2 3 3 2 5 2 2 2" xfId="25391" xr:uid="{00000000-0005-0000-0000-000030350000}"/>
    <cellStyle name="Normal 4 2 2 3 3 2 5 2 2 2 2" xfId="42259" xr:uid="{DE7A1AB8-90EC-4F8A-9C0A-705CC4CA5635}"/>
    <cellStyle name="Normal 4 2 2 3 3 2 5 2 2 3" xfId="16956" xr:uid="{00000000-0005-0000-0000-000031350000}"/>
    <cellStyle name="Normal 4 2 2 3 3 2 5 2 2 4" xfId="33825" xr:uid="{8F63D392-EC90-4530-A8D1-F5DCDD38071B}"/>
    <cellStyle name="Normal 4 2 2 3 3 2 5 2 3" xfId="21173" xr:uid="{00000000-0005-0000-0000-000032350000}"/>
    <cellStyle name="Normal 4 2 2 3 3 2 5 2 3 2" xfId="38042" xr:uid="{6CBA07DA-35AD-467D-AEBF-092DA08D290B}"/>
    <cellStyle name="Normal 4 2 2 3 3 2 5 2 4" xfId="12738" xr:uid="{00000000-0005-0000-0000-000033350000}"/>
    <cellStyle name="Normal 4 2 2 3 3 2 5 2 5" xfId="29608" xr:uid="{FA363511-1D46-4754-BC3B-7134143DE683}"/>
    <cellStyle name="Normal 4 2 2 3 3 2 5 3" xfId="6376" xr:uid="{00000000-0005-0000-0000-000034350000}"/>
    <cellStyle name="Normal 4 2 2 3 3 2 5 3 2" xfId="23246" xr:uid="{00000000-0005-0000-0000-000035350000}"/>
    <cellStyle name="Normal 4 2 2 3 3 2 5 3 2 2" xfId="40114" xr:uid="{CB5551F4-F2FA-4B42-BDDF-1E3EA343CA6D}"/>
    <cellStyle name="Normal 4 2 2 3 3 2 5 3 3" xfId="14811" xr:uid="{00000000-0005-0000-0000-000036350000}"/>
    <cellStyle name="Normal 4 2 2 3 3 2 5 3 4" xfId="31680" xr:uid="{968B7F55-4AE3-4CD2-9CE6-0337B6CC7010}"/>
    <cellStyle name="Normal 4 2 2 3 3 2 5 4" xfId="19028" xr:uid="{00000000-0005-0000-0000-000037350000}"/>
    <cellStyle name="Normal 4 2 2 3 3 2 5 4 2" xfId="35897" xr:uid="{D20E81AA-4099-430C-AB7B-C1BD8A18C7D3}"/>
    <cellStyle name="Normal 4 2 2 3 3 2 5 5" xfId="10593" xr:uid="{00000000-0005-0000-0000-000038350000}"/>
    <cellStyle name="Normal 4 2 2 3 3 2 5 6" xfId="27463" xr:uid="{7F6D8F74-1091-4B7A-B828-9C4DABAA42D4}"/>
    <cellStyle name="Normal 4 2 2 3 3 2 6" xfId="2505" xr:uid="{00000000-0005-0000-0000-000039350000}"/>
    <cellStyle name="Normal 4 2 2 3 3 2 6 2" xfId="6789" xr:uid="{00000000-0005-0000-0000-00003A350000}"/>
    <cellStyle name="Normal 4 2 2 3 3 2 6 2 2" xfId="23659" xr:uid="{00000000-0005-0000-0000-00003B350000}"/>
    <cellStyle name="Normal 4 2 2 3 3 2 6 2 2 2" xfId="40527" xr:uid="{C5B3497A-C3F5-4974-A65F-FA870695C6C5}"/>
    <cellStyle name="Normal 4 2 2 3 3 2 6 2 3" xfId="15224" xr:uid="{00000000-0005-0000-0000-00003C350000}"/>
    <cellStyle name="Normal 4 2 2 3 3 2 6 2 4" xfId="32093" xr:uid="{A082858E-7CFF-4682-91EF-43E9CBE984A0}"/>
    <cellStyle name="Normal 4 2 2 3 3 2 6 3" xfId="19441" xr:uid="{00000000-0005-0000-0000-00003D350000}"/>
    <cellStyle name="Normal 4 2 2 3 3 2 6 3 2" xfId="36310" xr:uid="{0D1D6F67-5C40-4FE1-93C8-75DA73EB442E}"/>
    <cellStyle name="Normal 4 2 2 3 3 2 6 4" xfId="11006" xr:uid="{00000000-0005-0000-0000-00003E350000}"/>
    <cellStyle name="Normal 4 2 2 3 3 2 6 5" xfId="27876" xr:uid="{68D9BE08-4BAE-4B36-A731-D311C94BFAA4}"/>
    <cellStyle name="Normal 4 2 2 3 3 2 7" xfId="4724" xr:uid="{00000000-0005-0000-0000-00003F350000}"/>
    <cellStyle name="Normal 4 2 2 3 3 2 7 2" xfId="21594" xr:uid="{00000000-0005-0000-0000-000040350000}"/>
    <cellStyle name="Normal 4 2 2 3 3 2 7 2 2" xfId="38462" xr:uid="{F53666FF-4F7A-469F-AEAC-6FEC08547F91}"/>
    <cellStyle name="Normal 4 2 2 3 3 2 7 3" xfId="13159" xr:uid="{00000000-0005-0000-0000-000041350000}"/>
    <cellStyle name="Normal 4 2 2 3 3 2 7 4" xfId="30028" xr:uid="{D2531797-C719-4669-9325-2F5EEF5A334D}"/>
    <cellStyle name="Normal 4 2 2 3 3 2 8" xfId="17376" xr:uid="{00000000-0005-0000-0000-000042350000}"/>
    <cellStyle name="Normal 4 2 2 3 3 2 8 2" xfId="34245" xr:uid="{629017D1-D851-4EF6-826F-144A8F7914F5}"/>
    <cellStyle name="Normal 4 2 2 3 3 2 9" xfId="8941" xr:uid="{00000000-0005-0000-0000-000043350000}"/>
    <cellStyle name="Normal 4 2 2 3 3 3" xfId="821" xr:uid="{00000000-0005-0000-0000-000044350000}"/>
    <cellStyle name="Normal 4 2 2 3 3 3 2" xfId="3058" xr:uid="{00000000-0005-0000-0000-000045350000}"/>
    <cellStyle name="Normal 4 2 2 3 3 3 2 2" xfId="7281" xr:uid="{00000000-0005-0000-0000-000046350000}"/>
    <cellStyle name="Normal 4 2 2 3 3 3 2 2 2" xfId="24151" xr:uid="{00000000-0005-0000-0000-000047350000}"/>
    <cellStyle name="Normal 4 2 2 3 3 3 2 2 2 2" xfId="41019" xr:uid="{6DE958AC-F2BD-4A2C-8E2A-E6CB9B49425D}"/>
    <cellStyle name="Normal 4 2 2 3 3 3 2 2 3" xfId="15716" xr:uid="{00000000-0005-0000-0000-000048350000}"/>
    <cellStyle name="Normal 4 2 2 3 3 3 2 2 4" xfId="32585" xr:uid="{EF93ED7A-E413-419A-A75C-C9E1A5BC98A7}"/>
    <cellStyle name="Normal 4 2 2 3 3 3 2 3" xfId="19933" xr:uid="{00000000-0005-0000-0000-000049350000}"/>
    <cellStyle name="Normal 4 2 2 3 3 3 2 3 2" xfId="36802" xr:uid="{EA0FF0FE-E9A5-4C82-8F36-2FD91FE452C5}"/>
    <cellStyle name="Normal 4 2 2 3 3 3 2 4" xfId="11498" xr:uid="{00000000-0005-0000-0000-00004A350000}"/>
    <cellStyle name="Normal 4 2 2 3 3 3 2 5" xfId="28368" xr:uid="{F460A338-F85B-4EE5-9881-207D2F6D4281}"/>
    <cellStyle name="Normal 4 2 2 3 3 3 3" xfId="5136" xr:uid="{00000000-0005-0000-0000-00004B350000}"/>
    <cellStyle name="Normal 4 2 2 3 3 3 3 2" xfId="22006" xr:uid="{00000000-0005-0000-0000-00004C350000}"/>
    <cellStyle name="Normal 4 2 2 3 3 3 3 2 2" xfId="38874" xr:uid="{AAE5060B-BB3A-4A66-A791-B64BD4C0A5B4}"/>
    <cellStyle name="Normal 4 2 2 3 3 3 3 3" xfId="13571" xr:uid="{00000000-0005-0000-0000-00004D350000}"/>
    <cellStyle name="Normal 4 2 2 3 3 3 3 4" xfId="30440" xr:uid="{AD156BCA-75CD-4428-8847-255004C24225}"/>
    <cellStyle name="Normal 4 2 2 3 3 3 4" xfId="17788" xr:uid="{00000000-0005-0000-0000-00004E350000}"/>
    <cellStyle name="Normal 4 2 2 3 3 3 4 2" xfId="34657" xr:uid="{F28FD71C-CA73-4A84-814F-CFF989AB4FCD}"/>
    <cellStyle name="Normal 4 2 2 3 3 3 5" xfId="9353" xr:uid="{00000000-0005-0000-0000-00004F350000}"/>
    <cellStyle name="Normal 4 2 2 3 3 3 6" xfId="26223" xr:uid="{41E0521F-DF04-4D67-A996-F5D6643E881A}"/>
    <cellStyle name="Normal 4 2 2 3 3 4" xfId="1241" xr:uid="{00000000-0005-0000-0000-000050350000}"/>
    <cellStyle name="Normal 4 2 2 3 3 4 2" xfId="3471" xr:uid="{00000000-0005-0000-0000-000051350000}"/>
    <cellStyle name="Normal 4 2 2 3 3 4 2 2" xfId="7694" xr:uid="{00000000-0005-0000-0000-000052350000}"/>
    <cellStyle name="Normal 4 2 2 3 3 4 2 2 2" xfId="24564" xr:uid="{00000000-0005-0000-0000-000053350000}"/>
    <cellStyle name="Normal 4 2 2 3 3 4 2 2 2 2" xfId="41432" xr:uid="{4AD34354-6EC5-40B9-B303-D96F24ABEE8F}"/>
    <cellStyle name="Normal 4 2 2 3 3 4 2 2 3" xfId="16129" xr:uid="{00000000-0005-0000-0000-000054350000}"/>
    <cellStyle name="Normal 4 2 2 3 3 4 2 2 4" xfId="32998" xr:uid="{A4E3F431-41BC-4689-A8A5-ADCEF8C3CA15}"/>
    <cellStyle name="Normal 4 2 2 3 3 4 2 3" xfId="20346" xr:uid="{00000000-0005-0000-0000-000055350000}"/>
    <cellStyle name="Normal 4 2 2 3 3 4 2 3 2" xfId="37215" xr:uid="{1BC05B1F-46FB-4EDD-B83F-F3BB2B01BBE2}"/>
    <cellStyle name="Normal 4 2 2 3 3 4 2 4" xfId="11911" xr:uid="{00000000-0005-0000-0000-000056350000}"/>
    <cellStyle name="Normal 4 2 2 3 3 4 2 5" xfId="28781" xr:uid="{7D2FD51C-F4AF-405C-9404-22870D77936E}"/>
    <cellStyle name="Normal 4 2 2 3 3 4 3" xfId="5549" xr:uid="{00000000-0005-0000-0000-000057350000}"/>
    <cellStyle name="Normal 4 2 2 3 3 4 3 2" xfId="22419" xr:uid="{00000000-0005-0000-0000-000058350000}"/>
    <cellStyle name="Normal 4 2 2 3 3 4 3 2 2" xfId="39287" xr:uid="{B0F4FEC5-F4D2-4ABE-9F7D-4345CD83126B}"/>
    <cellStyle name="Normal 4 2 2 3 3 4 3 3" xfId="13984" xr:uid="{00000000-0005-0000-0000-000059350000}"/>
    <cellStyle name="Normal 4 2 2 3 3 4 3 4" xfId="30853" xr:uid="{06AE433A-DF2F-4130-A102-8D135B7221EE}"/>
    <cellStyle name="Normal 4 2 2 3 3 4 4" xfId="18201" xr:uid="{00000000-0005-0000-0000-00005A350000}"/>
    <cellStyle name="Normal 4 2 2 3 3 4 4 2" xfId="35070" xr:uid="{3AB0A94F-E5A5-4598-8759-4C76C6E0C15C}"/>
    <cellStyle name="Normal 4 2 2 3 3 4 5" xfId="9766" xr:uid="{00000000-0005-0000-0000-00005B350000}"/>
    <cellStyle name="Normal 4 2 2 3 3 4 6" xfId="26636" xr:uid="{98F364DE-281F-4BB7-A409-2E672DE5F880}"/>
    <cellStyle name="Normal 4 2 2 3 3 5" xfId="1654" xr:uid="{00000000-0005-0000-0000-00005C350000}"/>
    <cellStyle name="Normal 4 2 2 3 3 5 2" xfId="3884" xr:uid="{00000000-0005-0000-0000-00005D350000}"/>
    <cellStyle name="Normal 4 2 2 3 3 5 2 2" xfId="8107" xr:uid="{00000000-0005-0000-0000-00005E350000}"/>
    <cellStyle name="Normal 4 2 2 3 3 5 2 2 2" xfId="24977" xr:uid="{00000000-0005-0000-0000-00005F350000}"/>
    <cellStyle name="Normal 4 2 2 3 3 5 2 2 2 2" xfId="41845" xr:uid="{EE5B942A-8C1A-4D14-9154-870C77F5AC35}"/>
    <cellStyle name="Normal 4 2 2 3 3 5 2 2 3" xfId="16542" xr:uid="{00000000-0005-0000-0000-000060350000}"/>
    <cellStyle name="Normal 4 2 2 3 3 5 2 2 4" xfId="33411" xr:uid="{63E07114-F78C-429C-851A-DBCCF4661EB0}"/>
    <cellStyle name="Normal 4 2 2 3 3 5 2 3" xfId="20759" xr:uid="{00000000-0005-0000-0000-000061350000}"/>
    <cellStyle name="Normal 4 2 2 3 3 5 2 3 2" xfId="37628" xr:uid="{428675FB-BBB2-4E73-B8C0-38E0B89DA221}"/>
    <cellStyle name="Normal 4 2 2 3 3 5 2 4" xfId="12324" xr:uid="{00000000-0005-0000-0000-000062350000}"/>
    <cellStyle name="Normal 4 2 2 3 3 5 2 5" xfId="29194" xr:uid="{5F6C8FB7-1B48-432B-AD1B-FDAE89949FF9}"/>
    <cellStyle name="Normal 4 2 2 3 3 5 3" xfId="5962" xr:uid="{00000000-0005-0000-0000-000063350000}"/>
    <cellStyle name="Normal 4 2 2 3 3 5 3 2" xfId="22832" xr:uid="{00000000-0005-0000-0000-000064350000}"/>
    <cellStyle name="Normal 4 2 2 3 3 5 3 2 2" xfId="39700" xr:uid="{CF30D71F-BBCB-4EA9-B438-96A855B6E2BD}"/>
    <cellStyle name="Normal 4 2 2 3 3 5 3 3" xfId="14397" xr:uid="{00000000-0005-0000-0000-000065350000}"/>
    <cellStyle name="Normal 4 2 2 3 3 5 3 4" xfId="31266" xr:uid="{872C89FA-E6D9-4EBD-AD3A-443F5C6ACA60}"/>
    <cellStyle name="Normal 4 2 2 3 3 5 4" xfId="18614" xr:uid="{00000000-0005-0000-0000-000066350000}"/>
    <cellStyle name="Normal 4 2 2 3 3 5 4 2" xfId="35483" xr:uid="{470136AF-F524-48F6-8E97-B9135A496A5C}"/>
    <cellStyle name="Normal 4 2 2 3 3 5 5" xfId="10179" xr:uid="{00000000-0005-0000-0000-000067350000}"/>
    <cellStyle name="Normal 4 2 2 3 3 5 6" xfId="27049" xr:uid="{3C403B89-D37B-4FDE-842D-6EB79BC96322}"/>
    <cellStyle name="Normal 4 2 2 3 3 6" xfId="2068" xr:uid="{00000000-0005-0000-0000-000068350000}"/>
    <cellStyle name="Normal 4 2 2 3 3 6 2" xfId="4297" xr:uid="{00000000-0005-0000-0000-000069350000}"/>
    <cellStyle name="Normal 4 2 2 3 3 6 2 2" xfId="8520" xr:uid="{00000000-0005-0000-0000-00006A350000}"/>
    <cellStyle name="Normal 4 2 2 3 3 6 2 2 2" xfId="25390" xr:uid="{00000000-0005-0000-0000-00006B350000}"/>
    <cellStyle name="Normal 4 2 2 3 3 6 2 2 2 2" xfId="42258" xr:uid="{59DCC7EE-B096-4A6B-A3BD-739133B8F081}"/>
    <cellStyle name="Normal 4 2 2 3 3 6 2 2 3" xfId="16955" xr:uid="{00000000-0005-0000-0000-00006C350000}"/>
    <cellStyle name="Normal 4 2 2 3 3 6 2 2 4" xfId="33824" xr:uid="{5F7D7CAD-8609-4E46-8E43-8DCAFB3EA747}"/>
    <cellStyle name="Normal 4 2 2 3 3 6 2 3" xfId="21172" xr:uid="{00000000-0005-0000-0000-00006D350000}"/>
    <cellStyle name="Normal 4 2 2 3 3 6 2 3 2" xfId="38041" xr:uid="{5CED10A2-C256-4D47-917E-62262F9ACEC4}"/>
    <cellStyle name="Normal 4 2 2 3 3 6 2 4" xfId="12737" xr:uid="{00000000-0005-0000-0000-00006E350000}"/>
    <cellStyle name="Normal 4 2 2 3 3 6 2 5" xfId="29607" xr:uid="{482CAD13-5327-46EF-B23C-51F72DC38706}"/>
    <cellStyle name="Normal 4 2 2 3 3 6 3" xfId="6375" xr:uid="{00000000-0005-0000-0000-00006F350000}"/>
    <cellStyle name="Normal 4 2 2 3 3 6 3 2" xfId="23245" xr:uid="{00000000-0005-0000-0000-000070350000}"/>
    <cellStyle name="Normal 4 2 2 3 3 6 3 2 2" xfId="40113" xr:uid="{59610C1C-4D11-47EB-B296-46C206E08653}"/>
    <cellStyle name="Normal 4 2 2 3 3 6 3 3" xfId="14810" xr:uid="{00000000-0005-0000-0000-000071350000}"/>
    <cellStyle name="Normal 4 2 2 3 3 6 3 4" xfId="31679" xr:uid="{36649EFF-8CE6-4024-AEC5-C558629621D8}"/>
    <cellStyle name="Normal 4 2 2 3 3 6 4" xfId="19027" xr:uid="{00000000-0005-0000-0000-000072350000}"/>
    <cellStyle name="Normal 4 2 2 3 3 6 4 2" xfId="35896" xr:uid="{DE9F5936-3DF6-470A-92EF-3E21E73F8B65}"/>
    <cellStyle name="Normal 4 2 2 3 3 6 5" xfId="10592" xr:uid="{00000000-0005-0000-0000-000073350000}"/>
    <cellStyle name="Normal 4 2 2 3 3 6 6" xfId="27462" xr:uid="{FFF52626-CF62-44F1-ABB9-20007B58570F}"/>
    <cellStyle name="Normal 4 2 2 3 3 7" xfId="2504" xr:uid="{00000000-0005-0000-0000-000074350000}"/>
    <cellStyle name="Normal 4 2 2 3 3 7 2" xfId="6788" xr:uid="{00000000-0005-0000-0000-000075350000}"/>
    <cellStyle name="Normal 4 2 2 3 3 7 2 2" xfId="23658" xr:uid="{00000000-0005-0000-0000-000076350000}"/>
    <cellStyle name="Normal 4 2 2 3 3 7 2 2 2" xfId="40526" xr:uid="{DA94FADE-960A-493F-9599-84E11251953D}"/>
    <cellStyle name="Normal 4 2 2 3 3 7 2 3" xfId="15223" xr:uid="{00000000-0005-0000-0000-000077350000}"/>
    <cellStyle name="Normal 4 2 2 3 3 7 2 4" xfId="32092" xr:uid="{935BE541-161A-4C35-9C5D-D756B7D6D5C9}"/>
    <cellStyle name="Normal 4 2 2 3 3 7 3" xfId="19440" xr:uid="{00000000-0005-0000-0000-000078350000}"/>
    <cellStyle name="Normal 4 2 2 3 3 7 3 2" xfId="36309" xr:uid="{8EF818A5-F609-49F2-BDEF-0E436FB5919D}"/>
    <cellStyle name="Normal 4 2 2 3 3 7 4" xfId="11005" xr:uid="{00000000-0005-0000-0000-000079350000}"/>
    <cellStyle name="Normal 4 2 2 3 3 7 5" xfId="27875" xr:uid="{0012FF51-0275-45A3-819B-5E868FE68106}"/>
    <cellStyle name="Normal 4 2 2 3 3 8" xfId="4723" xr:uid="{00000000-0005-0000-0000-00007A350000}"/>
    <cellStyle name="Normal 4 2 2 3 3 8 2" xfId="21593" xr:uid="{00000000-0005-0000-0000-00007B350000}"/>
    <cellStyle name="Normal 4 2 2 3 3 8 2 2" xfId="38461" xr:uid="{3CD94734-BF49-404B-AA64-2D7FB1D75B51}"/>
    <cellStyle name="Normal 4 2 2 3 3 8 3" xfId="13158" xr:uid="{00000000-0005-0000-0000-00007C350000}"/>
    <cellStyle name="Normal 4 2 2 3 3 8 4" xfId="30027" xr:uid="{F78A501B-A44F-465C-A8A9-667EF3C0AD6B}"/>
    <cellStyle name="Normal 4 2 2 3 3 9" xfId="17375" xr:uid="{00000000-0005-0000-0000-00007D350000}"/>
    <cellStyle name="Normal 4 2 2 3 3 9 2" xfId="34244" xr:uid="{575BE057-6ACE-4BAC-910A-86AABF1926AB}"/>
    <cellStyle name="Normal 4 2 2 3 4" xfId="346" xr:uid="{00000000-0005-0000-0000-00007E350000}"/>
    <cellStyle name="Normal 4 2 2 3 4 10" xfId="25812" xr:uid="{0C8B8DAD-9B8D-4C48-ACAA-7C69EDCA55BB}"/>
    <cellStyle name="Normal 4 2 2 3 4 2" xfId="823" xr:uid="{00000000-0005-0000-0000-00007F350000}"/>
    <cellStyle name="Normal 4 2 2 3 4 2 2" xfId="3060" xr:uid="{00000000-0005-0000-0000-000080350000}"/>
    <cellStyle name="Normal 4 2 2 3 4 2 2 2" xfId="7283" xr:uid="{00000000-0005-0000-0000-000081350000}"/>
    <cellStyle name="Normal 4 2 2 3 4 2 2 2 2" xfId="24153" xr:uid="{00000000-0005-0000-0000-000082350000}"/>
    <cellStyle name="Normal 4 2 2 3 4 2 2 2 2 2" xfId="41021" xr:uid="{5403C59B-4B49-4FBA-8B3B-E543563157F6}"/>
    <cellStyle name="Normal 4 2 2 3 4 2 2 2 3" xfId="15718" xr:uid="{00000000-0005-0000-0000-000083350000}"/>
    <cellStyle name="Normal 4 2 2 3 4 2 2 2 4" xfId="32587" xr:uid="{628C3582-D84A-4DBA-8431-7C44EAC5C8A0}"/>
    <cellStyle name="Normal 4 2 2 3 4 2 2 3" xfId="19935" xr:uid="{00000000-0005-0000-0000-000084350000}"/>
    <cellStyle name="Normal 4 2 2 3 4 2 2 3 2" xfId="36804" xr:uid="{B151451D-5812-4D3A-90B4-E1DF3A004908}"/>
    <cellStyle name="Normal 4 2 2 3 4 2 2 4" xfId="11500" xr:uid="{00000000-0005-0000-0000-000085350000}"/>
    <cellStyle name="Normal 4 2 2 3 4 2 2 5" xfId="28370" xr:uid="{FDAA6422-6E2A-4327-A8C8-7C8BE0326E11}"/>
    <cellStyle name="Normal 4 2 2 3 4 2 3" xfId="5138" xr:uid="{00000000-0005-0000-0000-000086350000}"/>
    <cellStyle name="Normal 4 2 2 3 4 2 3 2" xfId="22008" xr:uid="{00000000-0005-0000-0000-000087350000}"/>
    <cellStyle name="Normal 4 2 2 3 4 2 3 2 2" xfId="38876" xr:uid="{3FBE78E3-D7CE-40B8-B833-96C4AFBA7D1F}"/>
    <cellStyle name="Normal 4 2 2 3 4 2 3 3" xfId="13573" xr:uid="{00000000-0005-0000-0000-000088350000}"/>
    <cellStyle name="Normal 4 2 2 3 4 2 3 4" xfId="30442" xr:uid="{6CA0B3E7-E666-4C00-9D92-877CFC670AF6}"/>
    <cellStyle name="Normal 4 2 2 3 4 2 4" xfId="17790" xr:uid="{00000000-0005-0000-0000-000089350000}"/>
    <cellStyle name="Normal 4 2 2 3 4 2 4 2" xfId="34659" xr:uid="{85D11ED8-8126-4D59-8D52-7DDDC28B1796}"/>
    <cellStyle name="Normal 4 2 2 3 4 2 5" xfId="9355" xr:uid="{00000000-0005-0000-0000-00008A350000}"/>
    <cellStyle name="Normal 4 2 2 3 4 2 6" xfId="26225" xr:uid="{D89816DB-AFA8-4D87-AA08-98D4B03DF5A3}"/>
    <cellStyle name="Normal 4 2 2 3 4 3" xfId="1243" xr:uid="{00000000-0005-0000-0000-00008B350000}"/>
    <cellStyle name="Normal 4 2 2 3 4 3 2" xfId="3473" xr:uid="{00000000-0005-0000-0000-00008C350000}"/>
    <cellStyle name="Normal 4 2 2 3 4 3 2 2" xfId="7696" xr:uid="{00000000-0005-0000-0000-00008D350000}"/>
    <cellStyle name="Normal 4 2 2 3 4 3 2 2 2" xfId="24566" xr:uid="{00000000-0005-0000-0000-00008E350000}"/>
    <cellStyle name="Normal 4 2 2 3 4 3 2 2 2 2" xfId="41434" xr:uid="{941354D8-10EE-4160-B737-84AFEFB55523}"/>
    <cellStyle name="Normal 4 2 2 3 4 3 2 2 3" xfId="16131" xr:uid="{00000000-0005-0000-0000-00008F350000}"/>
    <cellStyle name="Normal 4 2 2 3 4 3 2 2 4" xfId="33000" xr:uid="{7363EF6C-88BC-4FE8-A45C-BB56A21ABDF1}"/>
    <cellStyle name="Normal 4 2 2 3 4 3 2 3" xfId="20348" xr:uid="{00000000-0005-0000-0000-000090350000}"/>
    <cellStyle name="Normal 4 2 2 3 4 3 2 3 2" xfId="37217" xr:uid="{634BE08C-FF1B-4A49-B43F-D3BFC864C3A9}"/>
    <cellStyle name="Normal 4 2 2 3 4 3 2 4" xfId="11913" xr:uid="{00000000-0005-0000-0000-000091350000}"/>
    <cellStyle name="Normal 4 2 2 3 4 3 2 5" xfId="28783" xr:uid="{4627BCA4-7665-4622-9356-E3043ACC66C7}"/>
    <cellStyle name="Normal 4 2 2 3 4 3 3" xfId="5551" xr:uid="{00000000-0005-0000-0000-000092350000}"/>
    <cellStyle name="Normal 4 2 2 3 4 3 3 2" xfId="22421" xr:uid="{00000000-0005-0000-0000-000093350000}"/>
    <cellStyle name="Normal 4 2 2 3 4 3 3 2 2" xfId="39289" xr:uid="{EF53780E-71F7-41C9-AC0A-1B48B4B48BF2}"/>
    <cellStyle name="Normal 4 2 2 3 4 3 3 3" xfId="13986" xr:uid="{00000000-0005-0000-0000-000094350000}"/>
    <cellStyle name="Normal 4 2 2 3 4 3 3 4" xfId="30855" xr:uid="{84961C8F-6346-43B9-A5BC-BC3C640203D3}"/>
    <cellStyle name="Normal 4 2 2 3 4 3 4" xfId="18203" xr:uid="{00000000-0005-0000-0000-000095350000}"/>
    <cellStyle name="Normal 4 2 2 3 4 3 4 2" xfId="35072" xr:uid="{3661A587-00C0-4283-8993-B52E2BA60528}"/>
    <cellStyle name="Normal 4 2 2 3 4 3 5" xfId="9768" xr:uid="{00000000-0005-0000-0000-000096350000}"/>
    <cellStyle name="Normal 4 2 2 3 4 3 6" xfId="26638" xr:uid="{45DEF190-4E95-4275-B202-76A4153E1BE9}"/>
    <cellStyle name="Normal 4 2 2 3 4 4" xfId="1656" xr:uid="{00000000-0005-0000-0000-000097350000}"/>
    <cellStyle name="Normal 4 2 2 3 4 4 2" xfId="3886" xr:uid="{00000000-0005-0000-0000-000098350000}"/>
    <cellStyle name="Normal 4 2 2 3 4 4 2 2" xfId="8109" xr:uid="{00000000-0005-0000-0000-000099350000}"/>
    <cellStyle name="Normal 4 2 2 3 4 4 2 2 2" xfId="24979" xr:uid="{00000000-0005-0000-0000-00009A350000}"/>
    <cellStyle name="Normal 4 2 2 3 4 4 2 2 2 2" xfId="41847" xr:uid="{F1238E76-DD74-4220-A9D8-5D66B956E1FA}"/>
    <cellStyle name="Normal 4 2 2 3 4 4 2 2 3" xfId="16544" xr:uid="{00000000-0005-0000-0000-00009B350000}"/>
    <cellStyle name="Normal 4 2 2 3 4 4 2 2 4" xfId="33413" xr:uid="{162301B5-FBE3-4770-93B0-7C21263115D0}"/>
    <cellStyle name="Normal 4 2 2 3 4 4 2 3" xfId="20761" xr:uid="{00000000-0005-0000-0000-00009C350000}"/>
    <cellStyle name="Normal 4 2 2 3 4 4 2 3 2" xfId="37630" xr:uid="{40796997-8FC4-4CCC-94E1-6FAD9A83961A}"/>
    <cellStyle name="Normal 4 2 2 3 4 4 2 4" xfId="12326" xr:uid="{00000000-0005-0000-0000-00009D350000}"/>
    <cellStyle name="Normal 4 2 2 3 4 4 2 5" xfId="29196" xr:uid="{D77E09F4-F43F-4FE6-B698-1AA7860541B1}"/>
    <cellStyle name="Normal 4 2 2 3 4 4 3" xfId="5964" xr:uid="{00000000-0005-0000-0000-00009E350000}"/>
    <cellStyle name="Normal 4 2 2 3 4 4 3 2" xfId="22834" xr:uid="{00000000-0005-0000-0000-00009F350000}"/>
    <cellStyle name="Normal 4 2 2 3 4 4 3 2 2" xfId="39702" xr:uid="{DED8DA1E-FC9F-4599-9539-E5829F496E1E}"/>
    <cellStyle name="Normal 4 2 2 3 4 4 3 3" xfId="14399" xr:uid="{00000000-0005-0000-0000-0000A0350000}"/>
    <cellStyle name="Normal 4 2 2 3 4 4 3 4" xfId="31268" xr:uid="{EACDF73C-256D-4425-AD2E-E94EEFE24C73}"/>
    <cellStyle name="Normal 4 2 2 3 4 4 4" xfId="18616" xr:uid="{00000000-0005-0000-0000-0000A1350000}"/>
    <cellStyle name="Normal 4 2 2 3 4 4 4 2" xfId="35485" xr:uid="{6E199CC6-7CC1-4847-B030-A4FBF18FE712}"/>
    <cellStyle name="Normal 4 2 2 3 4 4 5" xfId="10181" xr:uid="{00000000-0005-0000-0000-0000A2350000}"/>
    <cellStyle name="Normal 4 2 2 3 4 4 6" xfId="27051" xr:uid="{C51F299A-F18C-481D-9856-D13011120607}"/>
    <cellStyle name="Normal 4 2 2 3 4 5" xfId="2070" xr:uid="{00000000-0005-0000-0000-0000A3350000}"/>
    <cellStyle name="Normal 4 2 2 3 4 5 2" xfId="4299" xr:uid="{00000000-0005-0000-0000-0000A4350000}"/>
    <cellStyle name="Normal 4 2 2 3 4 5 2 2" xfId="8522" xr:uid="{00000000-0005-0000-0000-0000A5350000}"/>
    <cellStyle name="Normal 4 2 2 3 4 5 2 2 2" xfId="25392" xr:uid="{00000000-0005-0000-0000-0000A6350000}"/>
    <cellStyle name="Normal 4 2 2 3 4 5 2 2 2 2" xfId="42260" xr:uid="{42DFA22B-3EB2-47D5-8D0E-F7AE29F6F0EC}"/>
    <cellStyle name="Normal 4 2 2 3 4 5 2 2 3" xfId="16957" xr:uid="{00000000-0005-0000-0000-0000A7350000}"/>
    <cellStyle name="Normal 4 2 2 3 4 5 2 2 4" xfId="33826" xr:uid="{C8AB0B93-178F-4A0A-86B4-5F9541647093}"/>
    <cellStyle name="Normal 4 2 2 3 4 5 2 3" xfId="21174" xr:uid="{00000000-0005-0000-0000-0000A8350000}"/>
    <cellStyle name="Normal 4 2 2 3 4 5 2 3 2" xfId="38043" xr:uid="{B8479445-D9DB-49A5-931F-DAA9107E3D2A}"/>
    <cellStyle name="Normal 4 2 2 3 4 5 2 4" xfId="12739" xr:uid="{00000000-0005-0000-0000-0000A9350000}"/>
    <cellStyle name="Normal 4 2 2 3 4 5 2 5" xfId="29609" xr:uid="{F425404E-AF00-4FF8-9A9E-2AB9CD766A58}"/>
    <cellStyle name="Normal 4 2 2 3 4 5 3" xfId="6377" xr:uid="{00000000-0005-0000-0000-0000AA350000}"/>
    <cellStyle name="Normal 4 2 2 3 4 5 3 2" xfId="23247" xr:uid="{00000000-0005-0000-0000-0000AB350000}"/>
    <cellStyle name="Normal 4 2 2 3 4 5 3 2 2" xfId="40115" xr:uid="{2491E68E-81EA-4D38-9E27-92295F096607}"/>
    <cellStyle name="Normal 4 2 2 3 4 5 3 3" xfId="14812" xr:uid="{00000000-0005-0000-0000-0000AC350000}"/>
    <cellStyle name="Normal 4 2 2 3 4 5 3 4" xfId="31681" xr:uid="{6E863D22-C19B-4872-84A4-5213979FBBCE}"/>
    <cellStyle name="Normal 4 2 2 3 4 5 4" xfId="19029" xr:uid="{00000000-0005-0000-0000-0000AD350000}"/>
    <cellStyle name="Normal 4 2 2 3 4 5 4 2" xfId="35898" xr:uid="{D10EC1EE-6866-4A68-9617-95249142A7A3}"/>
    <cellStyle name="Normal 4 2 2 3 4 5 5" xfId="10594" xr:uid="{00000000-0005-0000-0000-0000AE350000}"/>
    <cellStyle name="Normal 4 2 2 3 4 5 6" xfId="27464" xr:uid="{78966220-B7E6-4419-80A6-BA537AACB6DA}"/>
    <cellStyle name="Normal 4 2 2 3 4 6" xfId="2506" xr:uid="{00000000-0005-0000-0000-0000AF350000}"/>
    <cellStyle name="Normal 4 2 2 3 4 6 2" xfId="6790" xr:uid="{00000000-0005-0000-0000-0000B0350000}"/>
    <cellStyle name="Normal 4 2 2 3 4 6 2 2" xfId="23660" xr:uid="{00000000-0005-0000-0000-0000B1350000}"/>
    <cellStyle name="Normal 4 2 2 3 4 6 2 2 2" xfId="40528" xr:uid="{ADB3E227-3784-4ECA-9BE5-ED333C4A0637}"/>
    <cellStyle name="Normal 4 2 2 3 4 6 2 3" xfId="15225" xr:uid="{00000000-0005-0000-0000-0000B2350000}"/>
    <cellStyle name="Normal 4 2 2 3 4 6 2 4" xfId="32094" xr:uid="{96C7D38C-3632-4D8C-A685-82F81471FE79}"/>
    <cellStyle name="Normal 4 2 2 3 4 6 3" xfId="19442" xr:uid="{00000000-0005-0000-0000-0000B3350000}"/>
    <cellStyle name="Normal 4 2 2 3 4 6 3 2" xfId="36311" xr:uid="{422E0E80-7F37-4F82-8FA8-AFA070512D7F}"/>
    <cellStyle name="Normal 4 2 2 3 4 6 4" xfId="11007" xr:uid="{00000000-0005-0000-0000-0000B4350000}"/>
    <cellStyle name="Normal 4 2 2 3 4 6 5" xfId="27877" xr:uid="{493D79F6-53FA-4AF9-A0BA-52A53E69F71E}"/>
    <cellStyle name="Normal 4 2 2 3 4 7" xfId="4725" xr:uid="{00000000-0005-0000-0000-0000B5350000}"/>
    <cellStyle name="Normal 4 2 2 3 4 7 2" xfId="21595" xr:uid="{00000000-0005-0000-0000-0000B6350000}"/>
    <cellStyle name="Normal 4 2 2 3 4 7 2 2" xfId="38463" xr:uid="{BFB58C63-4825-4A80-AF20-3EE0DEA1F9EC}"/>
    <cellStyle name="Normal 4 2 2 3 4 7 3" xfId="13160" xr:uid="{00000000-0005-0000-0000-0000B7350000}"/>
    <cellStyle name="Normal 4 2 2 3 4 7 4" xfId="30029" xr:uid="{EEE21A0A-CDA9-4B0A-98F9-61EA598A0FC4}"/>
    <cellStyle name="Normal 4 2 2 3 4 8" xfId="17377" xr:uid="{00000000-0005-0000-0000-0000B8350000}"/>
    <cellStyle name="Normal 4 2 2 3 4 8 2" xfId="34246" xr:uid="{C68103B7-EF05-4FBA-A353-002F9863189E}"/>
    <cellStyle name="Normal 4 2 2 3 4 9" xfId="8942" xr:uid="{00000000-0005-0000-0000-0000B9350000}"/>
    <cellStyle name="Normal 4 2 2 3 5" xfId="816" xr:uid="{00000000-0005-0000-0000-0000BA350000}"/>
    <cellStyle name="Normal 4 2 2 3 5 2" xfId="3053" xr:uid="{00000000-0005-0000-0000-0000BB350000}"/>
    <cellStyle name="Normal 4 2 2 3 5 2 2" xfId="7276" xr:uid="{00000000-0005-0000-0000-0000BC350000}"/>
    <cellStyle name="Normal 4 2 2 3 5 2 2 2" xfId="24146" xr:uid="{00000000-0005-0000-0000-0000BD350000}"/>
    <cellStyle name="Normal 4 2 2 3 5 2 2 2 2" xfId="41014" xr:uid="{65C5DF41-D00D-4E80-8A8A-AB62CA02A967}"/>
    <cellStyle name="Normal 4 2 2 3 5 2 2 3" xfId="15711" xr:uid="{00000000-0005-0000-0000-0000BE350000}"/>
    <cellStyle name="Normal 4 2 2 3 5 2 2 4" xfId="32580" xr:uid="{4F44447D-908B-4488-AAAA-85B20AA7D70E}"/>
    <cellStyle name="Normal 4 2 2 3 5 2 3" xfId="19928" xr:uid="{00000000-0005-0000-0000-0000BF350000}"/>
    <cellStyle name="Normal 4 2 2 3 5 2 3 2" xfId="36797" xr:uid="{F0FF7F50-313A-4BB2-B648-09F25E951345}"/>
    <cellStyle name="Normal 4 2 2 3 5 2 4" xfId="11493" xr:uid="{00000000-0005-0000-0000-0000C0350000}"/>
    <cellStyle name="Normal 4 2 2 3 5 2 5" xfId="28363" xr:uid="{625772C2-3D55-4B57-840F-C1381C822974}"/>
    <cellStyle name="Normal 4 2 2 3 5 3" xfId="5131" xr:uid="{00000000-0005-0000-0000-0000C1350000}"/>
    <cellStyle name="Normal 4 2 2 3 5 3 2" xfId="22001" xr:uid="{00000000-0005-0000-0000-0000C2350000}"/>
    <cellStyle name="Normal 4 2 2 3 5 3 2 2" xfId="38869" xr:uid="{76288E17-6503-436C-8166-403125D553CC}"/>
    <cellStyle name="Normal 4 2 2 3 5 3 3" xfId="13566" xr:uid="{00000000-0005-0000-0000-0000C3350000}"/>
    <cellStyle name="Normal 4 2 2 3 5 3 4" xfId="30435" xr:uid="{7988358E-0115-4E61-8B54-34CAAEA596AF}"/>
    <cellStyle name="Normal 4 2 2 3 5 4" xfId="17783" xr:uid="{00000000-0005-0000-0000-0000C4350000}"/>
    <cellStyle name="Normal 4 2 2 3 5 4 2" xfId="34652" xr:uid="{07770CF1-ABF7-469A-ACEB-9E5F20BDBA8E}"/>
    <cellStyle name="Normal 4 2 2 3 5 5" xfId="9348" xr:uid="{00000000-0005-0000-0000-0000C5350000}"/>
    <cellStyle name="Normal 4 2 2 3 5 6" xfId="26218" xr:uid="{CB5FEC41-2FD9-4F9B-A340-156CE9EC2FA6}"/>
    <cellStyle name="Normal 4 2 2 3 6" xfId="1236" xr:uid="{00000000-0005-0000-0000-0000C6350000}"/>
    <cellStyle name="Normal 4 2 2 3 6 2" xfId="3466" xr:uid="{00000000-0005-0000-0000-0000C7350000}"/>
    <cellStyle name="Normal 4 2 2 3 6 2 2" xfId="7689" xr:uid="{00000000-0005-0000-0000-0000C8350000}"/>
    <cellStyle name="Normal 4 2 2 3 6 2 2 2" xfId="24559" xr:uid="{00000000-0005-0000-0000-0000C9350000}"/>
    <cellStyle name="Normal 4 2 2 3 6 2 2 2 2" xfId="41427" xr:uid="{BD543631-D16D-4A30-997C-8D84289B0192}"/>
    <cellStyle name="Normal 4 2 2 3 6 2 2 3" xfId="16124" xr:uid="{00000000-0005-0000-0000-0000CA350000}"/>
    <cellStyle name="Normal 4 2 2 3 6 2 2 4" xfId="32993" xr:uid="{6CB311BB-75C3-4DB6-8770-C3E82F6175BC}"/>
    <cellStyle name="Normal 4 2 2 3 6 2 3" xfId="20341" xr:uid="{00000000-0005-0000-0000-0000CB350000}"/>
    <cellStyle name="Normal 4 2 2 3 6 2 3 2" xfId="37210" xr:uid="{D03AD794-6370-46C3-AE39-7EC01B944505}"/>
    <cellStyle name="Normal 4 2 2 3 6 2 4" xfId="11906" xr:uid="{00000000-0005-0000-0000-0000CC350000}"/>
    <cellStyle name="Normal 4 2 2 3 6 2 5" xfId="28776" xr:uid="{92081B43-FE51-45C6-A23E-65E0173E3283}"/>
    <cellStyle name="Normal 4 2 2 3 6 3" xfId="5544" xr:uid="{00000000-0005-0000-0000-0000CD350000}"/>
    <cellStyle name="Normal 4 2 2 3 6 3 2" xfId="22414" xr:uid="{00000000-0005-0000-0000-0000CE350000}"/>
    <cellStyle name="Normal 4 2 2 3 6 3 2 2" xfId="39282" xr:uid="{B811483F-0521-4E3A-A4D8-67A84772863C}"/>
    <cellStyle name="Normal 4 2 2 3 6 3 3" xfId="13979" xr:uid="{00000000-0005-0000-0000-0000CF350000}"/>
    <cellStyle name="Normal 4 2 2 3 6 3 4" xfId="30848" xr:uid="{68591306-F2B7-4FFD-87F5-A0E45B046CD6}"/>
    <cellStyle name="Normal 4 2 2 3 6 4" xfId="18196" xr:uid="{00000000-0005-0000-0000-0000D0350000}"/>
    <cellStyle name="Normal 4 2 2 3 6 4 2" xfId="35065" xr:uid="{03CAF6BF-C8BB-49D0-AE13-6FDEE9BDA379}"/>
    <cellStyle name="Normal 4 2 2 3 6 5" xfId="9761" xr:uid="{00000000-0005-0000-0000-0000D1350000}"/>
    <cellStyle name="Normal 4 2 2 3 6 6" xfId="26631" xr:uid="{679A2B21-5427-4D30-BD8C-4E43F1DD8C8D}"/>
    <cellStyle name="Normal 4 2 2 3 7" xfId="1649" xr:uid="{00000000-0005-0000-0000-0000D2350000}"/>
    <cellStyle name="Normal 4 2 2 3 7 2" xfId="3879" xr:uid="{00000000-0005-0000-0000-0000D3350000}"/>
    <cellStyle name="Normal 4 2 2 3 7 2 2" xfId="8102" xr:uid="{00000000-0005-0000-0000-0000D4350000}"/>
    <cellStyle name="Normal 4 2 2 3 7 2 2 2" xfId="24972" xr:uid="{00000000-0005-0000-0000-0000D5350000}"/>
    <cellStyle name="Normal 4 2 2 3 7 2 2 2 2" xfId="41840" xr:uid="{B73FFB88-655A-4453-987B-69B35B1C8D9F}"/>
    <cellStyle name="Normal 4 2 2 3 7 2 2 3" xfId="16537" xr:uid="{00000000-0005-0000-0000-0000D6350000}"/>
    <cellStyle name="Normal 4 2 2 3 7 2 2 4" xfId="33406" xr:uid="{0674EC09-EBB2-45F1-A540-64DE411233FE}"/>
    <cellStyle name="Normal 4 2 2 3 7 2 3" xfId="20754" xr:uid="{00000000-0005-0000-0000-0000D7350000}"/>
    <cellStyle name="Normal 4 2 2 3 7 2 3 2" xfId="37623" xr:uid="{D2CA2089-F1B9-4718-9E26-8E570444A0F5}"/>
    <cellStyle name="Normal 4 2 2 3 7 2 4" xfId="12319" xr:uid="{00000000-0005-0000-0000-0000D8350000}"/>
    <cellStyle name="Normal 4 2 2 3 7 2 5" xfId="29189" xr:uid="{E4F48DC5-053C-4551-89AB-3E1A9570C582}"/>
    <cellStyle name="Normal 4 2 2 3 7 3" xfId="5957" xr:uid="{00000000-0005-0000-0000-0000D9350000}"/>
    <cellStyle name="Normal 4 2 2 3 7 3 2" xfId="22827" xr:uid="{00000000-0005-0000-0000-0000DA350000}"/>
    <cellStyle name="Normal 4 2 2 3 7 3 2 2" xfId="39695" xr:uid="{A6A855AC-8788-45F2-BD42-E91E90AAD57A}"/>
    <cellStyle name="Normal 4 2 2 3 7 3 3" xfId="14392" xr:uid="{00000000-0005-0000-0000-0000DB350000}"/>
    <cellStyle name="Normal 4 2 2 3 7 3 4" xfId="31261" xr:uid="{0569689B-70CD-400D-BFAB-6DA13CCD951A}"/>
    <cellStyle name="Normal 4 2 2 3 7 4" xfId="18609" xr:uid="{00000000-0005-0000-0000-0000DC350000}"/>
    <cellStyle name="Normal 4 2 2 3 7 4 2" xfId="35478" xr:uid="{7090AD1C-6AA4-4BF1-96EE-423A09EA7632}"/>
    <cellStyle name="Normal 4 2 2 3 7 5" xfId="10174" xr:uid="{00000000-0005-0000-0000-0000DD350000}"/>
    <cellStyle name="Normal 4 2 2 3 7 6" xfId="27044" xr:uid="{B1AF8967-A5C2-451A-895D-CF4C364EA040}"/>
    <cellStyle name="Normal 4 2 2 3 8" xfId="2063" xr:uid="{00000000-0005-0000-0000-0000DE350000}"/>
    <cellStyle name="Normal 4 2 2 3 8 2" xfId="4292" xr:uid="{00000000-0005-0000-0000-0000DF350000}"/>
    <cellStyle name="Normal 4 2 2 3 8 2 2" xfId="8515" xr:uid="{00000000-0005-0000-0000-0000E0350000}"/>
    <cellStyle name="Normal 4 2 2 3 8 2 2 2" xfId="25385" xr:uid="{00000000-0005-0000-0000-0000E1350000}"/>
    <cellStyle name="Normal 4 2 2 3 8 2 2 2 2" xfId="42253" xr:uid="{EDF7148D-FFA5-4107-A214-109B4B438E6C}"/>
    <cellStyle name="Normal 4 2 2 3 8 2 2 3" xfId="16950" xr:uid="{00000000-0005-0000-0000-0000E2350000}"/>
    <cellStyle name="Normal 4 2 2 3 8 2 2 4" xfId="33819" xr:uid="{CF2FEE98-F948-49AF-8538-50F7EF984B6D}"/>
    <cellStyle name="Normal 4 2 2 3 8 2 3" xfId="21167" xr:uid="{00000000-0005-0000-0000-0000E3350000}"/>
    <cellStyle name="Normal 4 2 2 3 8 2 3 2" xfId="38036" xr:uid="{8F966AF9-0153-4D42-8C66-0B7BB44917A8}"/>
    <cellStyle name="Normal 4 2 2 3 8 2 4" xfId="12732" xr:uid="{00000000-0005-0000-0000-0000E4350000}"/>
    <cellStyle name="Normal 4 2 2 3 8 2 5" xfId="29602" xr:uid="{4BFCAC74-CD1A-4F56-AF9C-0A8099C15CA1}"/>
    <cellStyle name="Normal 4 2 2 3 8 3" xfId="6370" xr:uid="{00000000-0005-0000-0000-0000E5350000}"/>
    <cellStyle name="Normal 4 2 2 3 8 3 2" xfId="23240" xr:uid="{00000000-0005-0000-0000-0000E6350000}"/>
    <cellStyle name="Normal 4 2 2 3 8 3 2 2" xfId="40108" xr:uid="{60BA321A-B397-4BBA-968E-23C7D8EA93A8}"/>
    <cellStyle name="Normal 4 2 2 3 8 3 3" xfId="14805" xr:uid="{00000000-0005-0000-0000-0000E7350000}"/>
    <cellStyle name="Normal 4 2 2 3 8 3 4" xfId="31674" xr:uid="{0D61FE65-6E48-49B7-93E4-3270F24D97D9}"/>
    <cellStyle name="Normal 4 2 2 3 8 4" xfId="19022" xr:uid="{00000000-0005-0000-0000-0000E8350000}"/>
    <cellStyle name="Normal 4 2 2 3 8 4 2" xfId="35891" xr:uid="{6B78277D-F974-45EA-A636-9525209FC96F}"/>
    <cellStyle name="Normal 4 2 2 3 8 5" xfId="10587" xr:uid="{00000000-0005-0000-0000-0000E9350000}"/>
    <cellStyle name="Normal 4 2 2 3 8 6" xfId="27457" xr:uid="{E890E73E-7423-4CBF-AB15-8FA5C9A0A6F8}"/>
    <cellStyle name="Normal 4 2 2 3 9" xfId="2499" xr:uid="{00000000-0005-0000-0000-0000EA350000}"/>
    <cellStyle name="Normal 4 2 2 3 9 2" xfId="6783" xr:uid="{00000000-0005-0000-0000-0000EB350000}"/>
    <cellStyle name="Normal 4 2 2 3 9 2 2" xfId="23653" xr:uid="{00000000-0005-0000-0000-0000EC350000}"/>
    <cellStyle name="Normal 4 2 2 3 9 2 2 2" xfId="40521" xr:uid="{5934EBD5-7930-4237-BE86-FBC01B0EC364}"/>
    <cellStyle name="Normal 4 2 2 3 9 2 3" xfId="15218" xr:uid="{00000000-0005-0000-0000-0000ED350000}"/>
    <cellStyle name="Normal 4 2 2 3 9 2 4" xfId="32087" xr:uid="{904672B6-B7AC-423B-8DDA-0F1797E84217}"/>
    <cellStyle name="Normal 4 2 2 3 9 3" xfId="19435" xr:uid="{00000000-0005-0000-0000-0000EE350000}"/>
    <cellStyle name="Normal 4 2 2 3 9 3 2" xfId="36304" xr:uid="{B4B6AB58-51D6-4851-9E59-B1CD333AAF41}"/>
    <cellStyle name="Normal 4 2 2 3 9 4" xfId="11000" xr:uid="{00000000-0005-0000-0000-0000EF350000}"/>
    <cellStyle name="Normal 4 2 2 3 9 5" xfId="27870" xr:uid="{CDC5C850-65BD-48BF-B3E3-5095E358271C}"/>
    <cellStyle name="Normal 4 2 2 4" xfId="347" xr:uid="{00000000-0005-0000-0000-0000F0350000}"/>
    <cellStyle name="Normal 4 2 2 4 10" xfId="17378" xr:uid="{00000000-0005-0000-0000-0000F1350000}"/>
    <cellStyle name="Normal 4 2 2 4 10 2" xfId="34247" xr:uid="{F0AD9E84-05FB-4DBE-825F-29038984D813}"/>
    <cellStyle name="Normal 4 2 2 4 11" xfId="8943" xr:uid="{00000000-0005-0000-0000-0000F2350000}"/>
    <cellStyle name="Normal 4 2 2 4 12" xfId="25813" xr:uid="{D6BE356B-D6A3-43DD-8D2C-4071039EA601}"/>
    <cellStyle name="Normal 4 2 2 4 2" xfId="348" xr:uid="{00000000-0005-0000-0000-0000F3350000}"/>
    <cellStyle name="Normal 4 2 2 4 2 10" xfId="8944" xr:uid="{00000000-0005-0000-0000-0000F4350000}"/>
    <cellStyle name="Normal 4 2 2 4 2 11" xfId="25814" xr:uid="{2922EAA6-4EA4-4059-A843-89CBB2BC9C57}"/>
    <cellStyle name="Normal 4 2 2 4 2 2" xfId="349" xr:uid="{00000000-0005-0000-0000-0000F5350000}"/>
    <cellStyle name="Normal 4 2 2 4 2 2 10" xfId="25815" xr:uid="{487ABADA-94AA-4E25-BC7C-AFAF7CD43737}"/>
    <cellStyle name="Normal 4 2 2 4 2 2 2" xfId="826" xr:uid="{00000000-0005-0000-0000-0000F6350000}"/>
    <cellStyle name="Normal 4 2 2 4 2 2 2 2" xfId="3063" xr:uid="{00000000-0005-0000-0000-0000F7350000}"/>
    <cellStyle name="Normal 4 2 2 4 2 2 2 2 2" xfId="7286" xr:uid="{00000000-0005-0000-0000-0000F8350000}"/>
    <cellStyle name="Normal 4 2 2 4 2 2 2 2 2 2" xfId="24156" xr:uid="{00000000-0005-0000-0000-0000F9350000}"/>
    <cellStyle name="Normal 4 2 2 4 2 2 2 2 2 2 2" xfId="41024" xr:uid="{C10426D4-7AB4-4EF4-B96F-D45BDEBD782B}"/>
    <cellStyle name="Normal 4 2 2 4 2 2 2 2 2 3" xfId="15721" xr:uid="{00000000-0005-0000-0000-0000FA350000}"/>
    <cellStyle name="Normal 4 2 2 4 2 2 2 2 2 4" xfId="32590" xr:uid="{EDA8E6DD-A2BC-4F1F-9CCC-70E90EFF94DE}"/>
    <cellStyle name="Normal 4 2 2 4 2 2 2 2 3" xfId="19938" xr:uid="{00000000-0005-0000-0000-0000FB350000}"/>
    <cellStyle name="Normal 4 2 2 4 2 2 2 2 3 2" xfId="36807" xr:uid="{7D9E5C03-130C-4909-831E-5EE26B2FC29B}"/>
    <cellStyle name="Normal 4 2 2 4 2 2 2 2 4" xfId="11503" xr:uid="{00000000-0005-0000-0000-0000FC350000}"/>
    <cellStyle name="Normal 4 2 2 4 2 2 2 2 5" xfId="28373" xr:uid="{CA70FE16-8E4D-4049-B1FE-146C2E303A0A}"/>
    <cellStyle name="Normal 4 2 2 4 2 2 2 3" xfId="5141" xr:uid="{00000000-0005-0000-0000-0000FD350000}"/>
    <cellStyle name="Normal 4 2 2 4 2 2 2 3 2" xfId="22011" xr:uid="{00000000-0005-0000-0000-0000FE350000}"/>
    <cellStyle name="Normal 4 2 2 4 2 2 2 3 2 2" xfId="38879" xr:uid="{D63690A4-993A-44D7-9F94-18BB74C3A3B4}"/>
    <cellStyle name="Normal 4 2 2 4 2 2 2 3 3" xfId="13576" xr:uid="{00000000-0005-0000-0000-0000FF350000}"/>
    <cellStyle name="Normal 4 2 2 4 2 2 2 3 4" xfId="30445" xr:uid="{FC5A9D21-B80A-4349-BF5E-52D4F70450E6}"/>
    <cellStyle name="Normal 4 2 2 4 2 2 2 4" xfId="17793" xr:uid="{00000000-0005-0000-0000-000000360000}"/>
    <cellStyle name="Normal 4 2 2 4 2 2 2 4 2" xfId="34662" xr:uid="{9683514C-F74F-4C35-BC6C-9ECD55464ECD}"/>
    <cellStyle name="Normal 4 2 2 4 2 2 2 5" xfId="9358" xr:uid="{00000000-0005-0000-0000-000001360000}"/>
    <cellStyle name="Normal 4 2 2 4 2 2 2 6" xfId="26228" xr:uid="{0EAEE02C-D3EC-4FD0-8F40-C781664D729F}"/>
    <cellStyle name="Normal 4 2 2 4 2 2 3" xfId="1246" xr:uid="{00000000-0005-0000-0000-000002360000}"/>
    <cellStyle name="Normal 4 2 2 4 2 2 3 2" xfId="3476" xr:uid="{00000000-0005-0000-0000-000003360000}"/>
    <cellStyle name="Normal 4 2 2 4 2 2 3 2 2" xfId="7699" xr:uid="{00000000-0005-0000-0000-000004360000}"/>
    <cellStyle name="Normal 4 2 2 4 2 2 3 2 2 2" xfId="24569" xr:uid="{00000000-0005-0000-0000-000005360000}"/>
    <cellStyle name="Normal 4 2 2 4 2 2 3 2 2 2 2" xfId="41437" xr:uid="{88A2C227-7F57-4AF9-A392-4C8FA3AD1CA7}"/>
    <cellStyle name="Normal 4 2 2 4 2 2 3 2 2 3" xfId="16134" xr:uid="{00000000-0005-0000-0000-000006360000}"/>
    <cellStyle name="Normal 4 2 2 4 2 2 3 2 2 4" xfId="33003" xr:uid="{25D5662F-61AC-4FB3-A883-10C61523CC39}"/>
    <cellStyle name="Normal 4 2 2 4 2 2 3 2 3" xfId="20351" xr:uid="{00000000-0005-0000-0000-000007360000}"/>
    <cellStyle name="Normal 4 2 2 4 2 2 3 2 3 2" xfId="37220" xr:uid="{00D6916B-DC04-491E-BD02-42BA84CF12A5}"/>
    <cellStyle name="Normal 4 2 2 4 2 2 3 2 4" xfId="11916" xr:uid="{00000000-0005-0000-0000-000008360000}"/>
    <cellStyle name="Normal 4 2 2 4 2 2 3 2 5" xfId="28786" xr:uid="{4059766B-F036-4C53-9AB6-67D69C98C351}"/>
    <cellStyle name="Normal 4 2 2 4 2 2 3 3" xfId="5554" xr:uid="{00000000-0005-0000-0000-000009360000}"/>
    <cellStyle name="Normal 4 2 2 4 2 2 3 3 2" xfId="22424" xr:uid="{00000000-0005-0000-0000-00000A360000}"/>
    <cellStyle name="Normal 4 2 2 4 2 2 3 3 2 2" xfId="39292" xr:uid="{F2A28697-2D28-4379-B068-1C9387940F69}"/>
    <cellStyle name="Normal 4 2 2 4 2 2 3 3 3" xfId="13989" xr:uid="{00000000-0005-0000-0000-00000B360000}"/>
    <cellStyle name="Normal 4 2 2 4 2 2 3 3 4" xfId="30858" xr:uid="{7CAA8462-A86F-4A8C-BC57-B3F8741450C1}"/>
    <cellStyle name="Normal 4 2 2 4 2 2 3 4" xfId="18206" xr:uid="{00000000-0005-0000-0000-00000C360000}"/>
    <cellStyle name="Normal 4 2 2 4 2 2 3 4 2" xfId="35075" xr:uid="{3400209C-954A-45A8-9EAC-EFEC6CB954FC}"/>
    <cellStyle name="Normal 4 2 2 4 2 2 3 5" xfId="9771" xr:uid="{00000000-0005-0000-0000-00000D360000}"/>
    <cellStyle name="Normal 4 2 2 4 2 2 3 6" xfId="26641" xr:uid="{5DBF6914-3539-455B-9E22-C5A714C24400}"/>
    <cellStyle name="Normal 4 2 2 4 2 2 4" xfId="1659" xr:uid="{00000000-0005-0000-0000-00000E360000}"/>
    <cellStyle name="Normal 4 2 2 4 2 2 4 2" xfId="3889" xr:uid="{00000000-0005-0000-0000-00000F360000}"/>
    <cellStyle name="Normal 4 2 2 4 2 2 4 2 2" xfId="8112" xr:uid="{00000000-0005-0000-0000-000010360000}"/>
    <cellStyle name="Normal 4 2 2 4 2 2 4 2 2 2" xfId="24982" xr:uid="{00000000-0005-0000-0000-000011360000}"/>
    <cellStyle name="Normal 4 2 2 4 2 2 4 2 2 2 2" xfId="41850" xr:uid="{F719D563-72E9-4B8A-805C-6B4E51814685}"/>
    <cellStyle name="Normal 4 2 2 4 2 2 4 2 2 3" xfId="16547" xr:uid="{00000000-0005-0000-0000-000012360000}"/>
    <cellStyle name="Normal 4 2 2 4 2 2 4 2 2 4" xfId="33416" xr:uid="{AF3EFBF5-605A-4AE4-9554-83C4C8C9C593}"/>
    <cellStyle name="Normal 4 2 2 4 2 2 4 2 3" xfId="20764" xr:uid="{00000000-0005-0000-0000-000013360000}"/>
    <cellStyle name="Normal 4 2 2 4 2 2 4 2 3 2" xfId="37633" xr:uid="{3728672F-DF90-43D6-9987-5BCA15C0069F}"/>
    <cellStyle name="Normal 4 2 2 4 2 2 4 2 4" xfId="12329" xr:uid="{00000000-0005-0000-0000-000014360000}"/>
    <cellStyle name="Normal 4 2 2 4 2 2 4 2 5" xfId="29199" xr:uid="{BFA8DEF9-83EF-4648-94ED-9B5420430471}"/>
    <cellStyle name="Normal 4 2 2 4 2 2 4 3" xfId="5967" xr:uid="{00000000-0005-0000-0000-000015360000}"/>
    <cellStyle name="Normal 4 2 2 4 2 2 4 3 2" xfId="22837" xr:uid="{00000000-0005-0000-0000-000016360000}"/>
    <cellStyle name="Normal 4 2 2 4 2 2 4 3 2 2" xfId="39705" xr:uid="{681E3B75-71ED-4B5D-9B08-D704C162F06F}"/>
    <cellStyle name="Normal 4 2 2 4 2 2 4 3 3" xfId="14402" xr:uid="{00000000-0005-0000-0000-000017360000}"/>
    <cellStyle name="Normal 4 2 2 4 2 2 4 3 4" xfId="31271" xr:uid="{1430BA27-9501-45F2-BE70-CB040157DF77}"/>
    <cellStyle name="Normal 4 2 2 4 2 2 4 4" xfId="18619" xr:uid="{00000000-0005-0000-0000-000018360000}"/>
    <cellStyle name="Normal 4 2 2 4 2 2 4 4 2" xfId="35488" xr:uid="{59BBF8FA-FF42-479B-B667-B1F8F941A144}"/>
    <cellStyle name="Normal 4 2 2 4 2 2 4 5" xfId="10184" xr:uid="{00000000-0005-0000-0000-000019360000}"/>
    <cellStyle name="Normal 4 2 2 4 2 2 4 6" xfId="27054" xr:uid="{A2F845B8-AE0D-456D-8EBE-417681B0EFD9}"/>
    <cellStyle name="Normal 4 2 2 4 2 2 5" xfId="2073" xr:uid="{00000000-0005-0000-0000-00001A360000}"/>
    <cellStyle name="Normal 4 2 2 4 2 2 5 2" xfId="4302" xr:uid="{00000000-0005-0000-0000-00001B360000}"/>
    <cellStyle name="Normal 4 2 2 4 2 2 5 2 2" xfId="8525" xr:uid="{00000000-0005-0000-0000-00001C360000}"/>
    <cellStyle name="Normal 4 2 2 4 2 2 5 2 2 2" xfId="25395" xr:uid="{00000000-0005-0000-0000-00001D360000}"/>
    <cellStyle name="Normal 4 2 2 4 2 2 5 2 2 2 2" xfId="42263" xr:uid="{2963B06C-73A4-43A7-A354-70F7E7DFC770}"/>
    <cellStyle name="Normal 4 2 2 4 2 2 5 2 2 3" xfId="16960" xr:uid="{00000000-0005-0000-0000-00001E360000}"/>
    <cellStyle name="Normal 4 2 2 4 2 2 5 2 2 4" xfId="33829" xr:uid="{4DE97710-0097-4D9C-935E-4DB57D852BB1}"/>
    <cellStyle name="Normal 4 2 2 4 2 2 5 2 3" xfId="21177" xr:uid="{00000000-0005-0000-0000-00001F360000}"/>
    <cellStyle name="Normal 4 2 2 4 2 2 5 2 3 2" xfId="38046" xr:uid="{92FFACB9-F64A-40C9-8E7A-6B8D948DEA85}"/>
    <cellStyle name="Normal 4 2 2 4 2 2 5 2 4" xfId="12742" xr:uid="{00000000-0005-0000-0000-000020360000}"/>
    <cellStyle name="Normal 4 2 2 4 2 2 5 2 5" xfId="29612" xr:uid="{FB1E16FD-4802-47FA-903F-669471BCE3D5}"/>
    <cellStyle name="Normal 4 2 2 4 2 2 5 3" xfId="6380" xr:uid="{00000000-0005-0000-0000-000021360000}"/>
    <cellStyle name="Normal 4 2 2 4 2 2 5 3 2" xfId="23250" xr:uid="{00000000-0005-0000-0000-000022360000}"/>
    <cellStyle name="Normal 4 2 2 4 2 2 5 3 2 2" xfId="40118" xr:uid="{F6D8C83D-D1BD-4F14-B515-5EE41036CF61}"/>
    <cellStyle name="Normal 4 2 2 4 2 2 5 3 3" xfId="14815" xr:uid="{00000000-0005-0000-0000-000023360000}"/>
    <cellStyle name="Normal 4 2 2 4 2 2 5 3 4" xfId="31684" xr:uid="{32D89FF4-9D6B-467B-9947-95A55AAC79E3}"/>
    <cellStyle name="Normal 4 2 2 4 2 2 5 4" xfId="19032" xr:uid="{00000000-0005-0000-0000-000024360000}"/>
    <cellStyle name="Normal 4 2 2 4 2 2 5 4 2" xfId="35901" xr:uid="{ACB2883E-3EE0-4512-A619-AB6FA947B79B}"/>
    <cellStyle name="Normal 4 2 2 4 2 2 5 5" xfId="10597" xr:uid="{00000000-0005-0000-0000-000025360000}"/>
    <cellStyle name="Normal 4 2 2 4 2 2 5 6" xfId="27467" xr:uid="{E17C67CA-6A9C-49BD-9F82-36B5687AD535}"/>
    <cellStyle name="Normal 4 2 2 4 2 2 6" xfId="2509" xr:uid="{00000000-0005-0000-0000-000026360000}"/>
    <cellStyle name="Normal 4 2 2 4 2 2 6 2" xfId="6793" xr:uid="{00000000-0005-0000-0000-000027360000}"/>
    <cellStyle name="Normal 4 2 2 4 2 2 6 2 2" xfId="23663" xr:uid="{00000000-0005-0000-0000-000028360000}"/>
    <cellStyle name="Normal 4 2 2 4 2 2 6 2 2 2" xfId="40531" xr:uid="{E668412F-AE9D-493A-8AC7-42AEBD031195}"/>
    <cellStyle name="Normal 4 2 2 4 2 2 6 2 3" xfId="15228" xr:uid="{00000000-0005-0000-0000-000029360000}"/>
    <cellStyle name="Normal 4 2 2 4 2 2 6 2 4" xfId="32097" xr:uid="{2818A9B8-3C97-40D6-A154-1F0D65DBCF44}"/>
    <cellStyle name="Normal 4 2 2 4 2 2 6 3" xfId="19445" xr:uid="{00000000-0005-0000-0000-00002A360000}"/>
    <cellStyle name="Normal 4 2 2 4 2 2 6 3 2" xfId="36314" xr:uid="{3A14BAE6-B94A-4AB2-BC9C-587ADDC2AD53}"/>
    <cellStyle name="Normal 4 2 2 4 2 2 6 4" xfId="11010" xr:uid="{00000000-0005-0000-0000-00002B360000}"/>
    <cellStyle name="Normal 4 2 2 4 2 2 6 5" xfId="27880" xr:uid="{4179C07E-0759-46C1-83CD-9BF967E409AF}"/>
    <cellStyle name="Normal 4 2 2 4 2 2 7" xfId="4728" xr:uid="{00000000-0005-0000-0000-00002C360000}"/>
    <cellStyle name="Normal 4 2 2 4 2 2 7 2" xfId="21598" xr:uid="{00000000-0005-0000-0000-00002D360000}"/>
    <cellStyle name="Normal 4 2 2 4 2 2 7 2 2" xfId="38466" xr:uid="{BC642F94-27D8-473D-900D-00B4B3860CA7}"/>
    <cellStyle name="Normal 4 2 2 4 2 2 7 3" xfId="13163" xr:uid="{00000000-0005-0000-0000-00002E360000}"/>
    <cellStyle name="Normal 4 2 2 4 2 2 7 4" xfId="30032" xr:uid="{51428489-D8D4-4381-9353-7B1EE65AFCA9}"/>
    <cellStyle name="Normal 4 2 2 4 2 2 8" xfId="17380" xr:uid="{00000000-0005-0000-0000-00002F360000}"/>
    <cellStyle name="Normal 4 2 2 4 2 2 8 2" xfId="34249" xr:uid="{EDAA9202-4BCC-4F4F-A61F-A1713C4DBDFB}"/>
    <cellStyle name="Normal 4 2 2 4 2 2 9" xfId="8945" xr:uid="{00000000-0005-0000-0000-000030360000}"/>
    <cellStyle name="Normal 4 2 2 4 2 3" xfId="825" xr:uid="{00000000-0005-0000-0000-000031360000}"/>
    <cellStyle name="Normal 4 2 2 4 2 3 2" xfId="3062" xr:uid="{00000000-0005-0000-0000-000032360000}"/>
    <cellStyle name="Normal 4 2 2 4 2 3 2 2" xfId="7285" xr:uid="{00000000-0005-0000-0000-000033360000}"/>
    <cellStyle name="Normal 4 2 2 4 2 3 2 2 2" xfId="24155" xr:uid="{00000000-0005-0000-0000-000034360000}"/>
    <cellStyle name="Normal 4 2 2 4 2 3 2 2 2 2" xfId="41023" xr:uid="{9AA03A0E-79ED-4AE3-9625-64E09AF05486}"/>
    <cellStyle name="Normal 4 2 2 4 2 3 2 2 3" xfId="15720" xr:uid="{00000000-0005-0000-0000-000035360000}"/>
    <cellStyle name="Normal 4 2 2 4 2 3 2 2 4" xfId="32589" xr:uid="{C11A243F-C12D-46D2-82EE-6EF1172D5EF8}"/>
    <cellStyle name="Normal 4 2 2 4 2 3 2 3" xfId="19937" xr:uid="{00000000-0005-0000-0000-000036360000}"/>
    <cellStyle name="Normal 4 2 2 4 2 3 2 3 2" xfId="36806" xr:uid="{E302434D-D04C-467A-9D85-C8A5010039C6}"/>
    <cellStyle name="Normal 4 2 2 4 2 3 2 4" xfId="11502" xr:uid="{00000000-0005-0000-0000-000037360000}"/>
    <cellStyle name="Normal 4 2 2 4 2 3 2 5" xfId="28372" xr:uid="{AD8952E9-C036-4DBD-86D4-449DBD689ECA}"/>
    <cellStyle name="Normal 4 2 2 4 2 3 3" xfId="5140" xr:uid="{00000000-0005-0000-0000-000038360000}"/>
    <cellStyle name="Normal 4 2 2 4 2 3 3 2" xfId="22010" xr:uid="{00000000-0005-0000-0000-000039360000}"/>
    <cellStyle name="Normal 4 2 2 4 2 3 3 2 2" xfId="38878" xr:uid="{A3BBDE93-9A42-48C0-AFBA-027535397263}"/>
    <cellStyle name="Normal 4 2 2 4 2 3 3 3" xfId="13575" xr:uid="{00000000-0005-0000-0000-00003A360000}"/>
    <cellStyle name="Normal 4 2 2 4 2 3 3 4" xfId="30444" xr:uid="{AB1A860F-31DC-4729-961A-1E880EF31CDE}"/>
    <cellStyle name="Normal 4 2 2 4 2 3 4" xfId="17792" xr:uid="{00000000-0005-0000-0000-00003B360000}"/>
    <cellStyle name="Normal 4 2 2 4 2 3 4 2" xfId="34661" xr:uid="{E13D9B03-597B-4216-B590-7EB8F5C1517B}"/>
    <cellStyle name="Normal 4 2 2 4 2 3 5" xfId="9357" xr:uid="{00000000-0005-0000-0000-00003C360000}"/>
    <cellStyle name="Normal 4 2 2 4 2 3 6" xfId="26227" xr:uid="{810DCDD5-F020-460B-9F11-A5CC474F3BFE}"/>
    <cellStyle name="Normal 4 2 2 4 2 4" xfId="1245" xr:uid="{00000000-0005-0000-0000-00003D360000}"/>
    <cellStyle name="Normal 4 2 2 4 2 4 2" xfId="3475" xr:uid="{00000000-0005-0000-0000-00003E360000}"/>
    <cellStyle name="Normal 4 2 2 4 2 4 2 2" xfId="7698" xr:uid="{00000000-0005-0000-0000-00003F360000}"/>
    <cellStyle name="Normal 4 2 2 4 2 4 2 2 2" xfId="24568" xr:uid="{00000000-0005-0000-0000-000040360000}"/>
    <cellStyle name="Normal 4 2 2 4 2 4 2 2 2 2" xfId="41436" xr:uid="{42E6AE88-6162-4C4A-8010-131F5245B2B1}"/>
    <cellStyle name="Normal 4 2 2 4 2 4 2 2 3" xfId="16133" xr:uid="{00000000-0005-0000-0000-000041360000}"/>
    <cellStyle name="Normal 4 2 2 4 2 4 2 2 4" xfId="33002" xr:uid="{5C20B82B-0211-415E-B297-B6DBE3F73345}"/>
    <cellStyle name="Normal 4 2 2 4 2 4 2 3" xfId="20350" xr:uid="{00000000-0005-0000-0000-000042360000}"/>
    <cellStyle name="Normal 4 2 2 4 2 4 2 3 2" xfId="37219" xr:uid="{6943EA91-ACD0-4D52-8EBD-9A3AC9EAB443}"/>
    <cellStyle name="Normal 4 2 2 4 2 4 2 4" xfId="11915" xr:uid="{00000000-0005-0000-0000-000043360000}"/>
    <cellStyle name="Normal 4 2 2 4 2 4 2 5" xfId="28785" xr:uid="{66CDFCCA-6437-4CCA-806E-76760ECF344C}"/>
    <cellStyle name="Normal 4 2 2 4 2 4 3" xfId="5553" xr:uid="{00000000-0005-0000-0000-000044360000}"/>
    <cellStyle name="Normal 4 2 2 4 2 4 3 2" xfId="22423" xr:uid="{00000000-0005-0000-0000-000045360000}"/>
    <cellStyle name="Normal 4 2 2 4 2 4 3 2 2" xfId="39291" xr:uid="{100BB986-6549-49BD-B28A-D491BD8E5B29}"/>
    <cellStyle name="Normal 4 2 2 4 2 4 3 3" xfId="13988" xr:uid="{00000000-0005-0000-0000-000046360000}"/>
    <cellStyle name="Normal 4 2 2 4 2 4 3 4" xfId="30857" xr:uid="{DAD261F7-4946-452E-B734-7FE7B3B728D3}"/>
    <cellStyle name="Normal 4 2 2 4 2 4 4" xfId="18205" xr:uid="{00000000-0005-0000-0000-000047360000}"/>
    <cellStyle name="Normal 4 2 2 4 2 4 4 2" xfId="35074" xr:uid="{5F196043-91DB-4FA5-9608-7D4D485E2EC5}"/>
    <cellStyle name="Normal 4 2 2 4 2 4 5" xfId="9770" xr:uid="{00000000-0005-0000-0000-000048360000}"/>
    <cellStyle name="Normal 4 2 2 4 2 4 6" xfId="26640" xr:uid="{9044A2DC-77F9-4B8D-9850-581BCECA63CA}"/>
    <cellStyle name="Normal 4 2 2 4 2 5" xfId="1658" xr:uid="{00000000-0005-0000-0000-000049360000}"/>
    <cellStyle name="Normal 4 2 2 4 2 5 2" xfId="3888" xr:uid="{00000000-0005-0000-0000-00004A360000}"/>
    <cellStyle name="Normal 4 2 2 4 2 5 2 2" xfId="8111" xr:uid="{00000000-0005-0000-0000-00004B360000}"/>
    <cellStyle name="Normal 4 2 2 4 2 5 2 2 2" xfId="24981" xr:uid="{00000000-0005-0000-0000-00004C360000}"/>
    <cellStyle name="Normal 4 2 2 4 2 5 2 2 2 2" xfId="41849" xr:uid="{840C87E6-576C-41D4-827A-0ED263B76ECC}"/>
    <cellStyle name="Normal 4 2 2 4 2 5 2 2 3" xfId="16546" xr:uid="{00000000-0005-0000-0000-00004D360000}"/>
    <cellStyle name="Normal 4 2 2 4 2 5 2 2 4" xfId="33415" xr:uid="{EB2065DF-A4CF-418C-81A9-54A61A72AE89}"/>
    <cellStyle name="Normal 4 2 2 4 2 5 2 3" xfId="20763" xr:uid="{00000000-0005-0000-0000-00004E360000}"/>
    <cellStyle name="Normal 4 2 2 4 2 5 2 3 2" xfId="37632" xr:uid="{E18CDD65-36FA-46B6-A0B1-BB996BD81132}"/>
    <cellStyle name="Normal 4 2 2 4 2 5 2 4" xfId="12328" xr:uid="{00000000-0005-0000-0000-00004F360000}"/>
    <cellStyle name="Normal 4 2 2 4 2 5 2 5" xfId="29198" xr:uid="{FBCA7838-CE1F-4AD1-9B59-8D4707230DB7}"/>
    <cellStyle name="Normal 4 2 2 4 2 5 3" xfId="5966" xr:uid="{00000000-0005-0000-0000-000050360000}"/>
    <cellStyle name="Normal 4 2 2 4 2 5 3 2" xfId="22836" xr:uid="{00000000-0005-0000-0000-000051360000}"/>
    <cellStyle name="Normal 4 2 2 4 2 5 3 2 2" xfId="39704" xr:uid="{D7DA18E2-9642-4B54-AE14-1666D61950BD}"/>
    <cellStyle name="Normal 4 2 2 4 2 5 3 3" xfId="14401" xr:uid="{00000000-0005-0000-0000-000052360000}"/>
    <cellStyle name="Normal 4 2 2 4 2 5 3 4" xfId="31270" xr:uid="{39A2FC78-4485-4107-9C60-B29D17FCAF04}"/>
    <cellStyle name="Normal 4 2 2 4 2 5 4" xfId="18618" xr:uid="{00000000-0005-0000-0000-000053360000}"/>
    <cellStyle name="Normal 4 2 2 4 2 5 4 2" xfId="35487" xr:uid="{A43FF400-826D-4252-9717-E1A8591FEBC2}"/>
    <cellStyle name="Normal 4 2 2 4 2 5 5" xfId="10183" xr:uid="{00000000-0005-0000-0000-000054360000}"/>
    <cellStyle name="Normal 4 2 2 4 2 5 6" xfId="27053" xr:uid="{550741CD-A7EB-4AD1-84F3-44FEE374A145}"/>
    <cellStyle name="Normal 4 2 2 4 2 6" xfId="2072" xr:uid="{00000000-0005-0000-0000-000055360000}"/>
    <cellStyle name="Normal 4 2 2 4 2 6 2" xfId="4301" xr:uid="{00000000-0005-0000-0000-000056360000}"/>
    <cellStyle name="Normal 4 2 2 4 2 6 2 2" xfId="8524" xr:uid="{00000000-0005-0000-0000-000057360000}"/>
    <cellStyle name="Normal 4 2 2 4 2 6 2 2 2" xfId="25394" xr:uid="{00000000-0005-0000-0000-000058360000}"/>
    <cellStyle name="Normal 4 2 2 4 2 6 2 2 2 2" xfId="42262" xr:uid="{9C07B789-BCB0-495C-BB2D-5ADBA3C97ACA}"/>
    <cellStyle name="Normal 4 2 2 4 2 6 2 2 3" xfId="16959" xr:uid="{00000000-0005-0000-0000-000059360000}"/>
    <cellStyle name="Normal 4 2 2 4 2 6 2 2 4" xfId="33828" xr:uid="{451AD532-C864-4352-B70C-6452FBF206CC}"/>
    <cellStyle name="Normal 4 2 2 4 2 6 2 3" xfId="21176" xr:uid="{00000000-0005-0000-0000-00005A360000}"/>
    <cellStyle name="Normal 4 2 2 4 2 6 2 3 2" xfId="38045" xr:uid="{47D0F45E-FDA6-475A-A21F-1C69E4861141}"/>
    <cellStyle name="Normal 4 2 2 4 2 6 2 4" xfId="12741" xr:uid="{00000000-0005-0000-0000-00005B360000}"/>
    <cellStyle name="Normal 4 2 2 4 2 6 2 5" xfId="29611" xr:uid="{E1CB469D-325D-4DD5-9A47-D8376C924B67}"/>
    <cellStyle name="Normal 4 2 2 4 2 6 3" xfId="6379" xr:uid="{00000000-0005-0000-0000-00005C360000}"/>
    <cellStyle name="Normal 4 2 2 4 2 6 3 2" xfId="23249" xr:uid="{00000000-0005-0000-0000-00005D360000}"/>
    <cellStyle name="Normal 4 2 2 4 2 6 3 2 2" xfId="40117" xr:uid="{A2E3B560-55BB-4AC4-A9B8-5E6B5FF13B09}"/>
    <cellStyle name="Normal 4 2 2 4 2 6 3 3" xfId="14814" xr:uid="{00000000-0005-0000-0000-00005E360000}"/>
    <cellStyle name="Normal 4 2 2 4 2 6 3 4" xfId="31683" xr:uid="{28C45BE3-056E-4FC4-9555-080A921FE927}"/>
    <cellStyle name="Normal 4 2 2 4 2 6 4" xfId="19031" xr:uid="{00000000-0005-0000-0000-00005F360000}"/>
    <cellStyle name="Normal 4 2 2 4 2 6 4 2" xfId="35900" xr:uid="{3901BCE2-3BA5-4A49-92ED-56010A208610}"/>
    <cellStyle name="Normal 4 2 2 4 2 6 5" xfId="10596" xr:uid="{00000000-0005-0000-0000-000060360000}"/>
    <cellStyle name="Normal 4 2 2 4 2 6 6" xfId="27466" xr:uid="{75AF0A76-CB34-4F9C-8B50-FDF6330BE293}"/>
    <cellStyle name="Normal 4 2 2 4 2 7" xfId="2508" xr:uid="{00000000-0005-0000-0000-000061360000}"/>
    <cellStyle name="Normal 4 2 2 4 2 7 2" xfId="6792" xr:uid="{00000000-0005-0000-0000-000062360000}"/>
    <cellStyle name="Normal 4 2 2 4 2 7 2 2" xfId="23662" xr:uid="{00000000-0005-0000-0000-000063360000}"/>
    <cellStyle name="Normal 4 2 2 4 2 7 2 2 2" xfId="40530" xr:uid="{A1032EA3-4C01-4BB2-9B37-DD07CAEE426C}"/>
    <cellStyle name="Normal 4 2 2 4 2 7 2 3" xfId="15227" xr:uid="{00000000-0005-0000-0000-000064360000}"/>
    <cellStyle name="Normal 4 2 2 4 2 7 2 4" xfId="32096" xr:uid="{A68519B6-7305-4908-9554-FB8F27832543}"/>
    <cellStyle name="Normal 4 2 2 4 2 7 3" xfId="19444" xr:uid="{00000000-0005-0000-0000-000065360000}"/>
    <cellStyle name="Normal 4 2 2 4 2 7 3 2" xfId="36313" xr:uid="{95A540C0-A98D-4F43-90C3-70E1BFFDDADF}"/>
    <cellStyle name="Normal 4 2 2 4 2 7 4" xfId="11009" xr:uid="{00000000-0005-0000-0000-000066360000}"/>
    <cellStyle name="Normal 4 2 2 4 2 7 5" xfId="27879" xr:uid="{B5676B8E-8C24-4432-B902-56BBC4598E74}"/>
    <cellStyle name="Normal 4 2 2 4 2 8" xfId="4727" xr:uid="{00000000-0005-0000-0000-000067360000}"/>
    <cellStyle name="Normal 4 2 2 4 2 8 2" xfId="21597" xr:uid="{00000000-0005-0000-0000-000068360000}"/>
    <cellStyle name="Normal 4 2 2 4 2 8 2 2" xfId="38465" xr:uid="{149872CE-1FBF-4909-8A7C-2C056678EE30}"/>
    <cellStyle name="Normal 4 2 2 4 2 8 3" xfId="13162" xr:uid="{00000000-0005-0000-0000-000069360000}"/>
    <cellStyle name="Normal 4 2 2 4 2 8 4" xfId="30031" xr:uid="{A5212AF6-BE5E-4D2D-AEB5-412609B5D215}"/>
    <cellStyle name="Normal 4 2 2 4 2 9" xfId="17379" xr:uid="{00000000-0005-0000-0000-00006A360000}"/>
    <cellStyle name="Normal 4 2 2 4 2 9 2" xfId="34248" xr:uid="{7A6E62E8-2B2A-4EFD-B5F6-EEE630C65A85}"/>
    <cellStyle name="Normal 4 2 2 4 3" xfId="350" xr:uid="{00000000-0005-0000-0000-00006B360000}"/>
    <cellStyle name="Normal 4 2 2 4 3 10" xfId="25816" xr:uid="{D8A6AFF1-09C4-4572-AC3E-16EEFA40B8B2}"/>
    <cellStyle name="Normal 4 2 2 4 3 2" xfId="827" xr:uid="{00000000-0005-0000-0000-00006C360000}"/>
    <cellStyle name="Normal 4 2 2 4 3 2 2" xfId="3064" xr:uid="{00000000-0005-0000-0000-00006D360000}"/>
    <cellStyle name="Normal 4 2 2 4 3 2 2 2" xfId="7287" xr:uid="{00000000-0005-0000-0000-00006E360000}"/>
    <cellStyle name="Normal 4 2 2 4 3 2 2 2 2" xfId="24157" xr:uid="{00000000-0005-0000-0000-00006F360000}"/>
    <cellStyle name="Normal 4 2 2 4 3 2 2 2 2 2" xfId="41025" xr:uid="{247D977A-510A-4F17-9E4A-8247D26F8291}"/>
    <cellStyle name="Normal 4 2 2 4 3 2 2 2 3" xfId="15722" xr:uid="{00000000-0005-0000-0000-000070360000}"/>
    <cellStyle name="Normal 4 2 2 4 3 2 2 2 4" xfId="32591" xr:uid="{55F0D35F-E384-4F72-9A65-5724A3FD382F}"/>
    <cellStyle name="Normal 4 2 2 4 3 2 2 3" xfId="19939" xr:uid="{00000000-0005-0000-0000-000071360000}"/>
    <cellStyle name="Normal 4 2 2 4 3 2 2 3 2" xfId="36808" xr:uid="{6175FBFB-DC88-43BC-9A8E-501E78C0DA49}"/>
    <cellStyle name="Normal 4 2 2 4 3 2 2 4" xfId="11504" xr:uid="{00000000-0005-0000-0000-000072360000}"/>
    <cellStyle name="Normal 4 2 2 4 3 2 2 5" xfId="28374" xr:uid="{6A9832C0-62C1-4304-A2D1-8B987018C87B}"/>
    <cellStyle name="Normal 4 2 2 4 3 2 3" xfId="5142" xr:uid="{00000000-0005-0000-0000-000073360000}"/>
    <cellStyle name="Normal 4 2 2 4 3 2 3 2" xfId="22012" xr:uid="{00000000-0005-0000-0000-000074360000}"/>
    <cellStyle name="Normal 4 2 2 4 3 2 3 2 2" xfId="38880" xr:uid="{C00BA958-45A9-4BE2-93E6-308C9BFD5C2E}"/>
    <cellStyle name="Normal 4 2 2 4 3 2 3 3" xfId="13577" xr:uid="{00000000-0005-0000-0000-000075360000}"/>
    <cellStyle name="Normal 4 2 2 4 3 2 3 4" xfId="30446" xr:uid="{6B2FB3AD-8247-4E3E-A25B-A66DBF31D024}"/>
    <cellStyle name="Normal 4 2 2 4 3 2 4" xfId="17794" xr:uid="{00000000-0005-0000-0000-000076360000}"/>
    <cellStyle name="Normal 4 2 2 4 3 2 4 2" xfId="34663" xr:uid="{20279D26-F806-41D9-A182-0911348B8DE5}"/>
    <cellStyle name="Normal 4 2 2 4 3 2 5" xfId="9359" xr:uid="{00000000-0005-0000-0000-000077360000}"/>
    <cellStyle name="Normal 4 2 2 4 3 2 6" xfId="26229" xr:uid="{A2A1737A-BF9D-425B-B3AA-1250E46C1ED0}"/>
    <cellStyle name="Normal 4 2 2 4 3 3" xfId="1247" xr:uid="{00000000-0005-0000-0000-000078360000}"/>
    <cellStyle name="Normal 4 2 2 4 3 3 2" xfId="3477" xr:uid="{00000000-0005-0000-0000-000079360000}"/>
    <cellStyle name="Normal 4 2 2 4 3 3 2 2" xfId="7700" xr:uid="{00000000-0005-0000-0000-00007A360000}"/>
    <cellStyle name="Normal 4 2 2 4 3 3 2 2 2" xfId="24570" xr:uid="{00000000-0005-0000-0000-00007B360000}"/>
    <cellStyle name="Normal 4 2 2 4 3 3 2 2 2 2" xfId="41438" xr:uid="{A3F1DCCE-A142-42B9-A63E-632214DD1CFD}"/>
    <cellStyle name="Normal 4 2 2 4 3 3 2 2 3" xfId="16135" xr:uid="{00000000-0005-0000-0000-00007C360000}"/>
    <cellStyle name="Normal 4 2 2 4 3 3 2 2 4" xfId="33004" xr:uid="{7FBA96A7-50E6-4B3C-93B4-E0045087F576}"/>
    <cellStyle name="Normal 4 2 2 4 3 3 2 3" xfId="20352" xr:uid="{00000000-0005-0000-0000-00007D360000}"/>
    <cellStyle name="Normal 4 2 2 4 3 3 2 3 2" xfId="37221" xr:uid="{CBB89F9A-C3AC-4BF0-B7A8-5D8CB370568C}"/>
    <cellStyle name="Normal 4 2 2 4 3 3 2 4" xfId="11917" xr:uid="{00000000-0005-0000-0000-00007E360000}"/>
    <cellStyle name="Normal 4 2 2 4 3 3 2 5" xfId="28787" xr:uid="{4BE62A04-79CD-4AC4-9706-EC7B6B505642}"/>
    <cellStyle name="Normal 4 2 2 4 3 3 3" xfId="5555" xr:uid="{00000000-0005-0000-0000-00007F360000}"/>
    <cellStyle name="Normal 4 2 2 4 3 3 3 2" xfId="22425" xr:uid="{00000000-0005-0000-0000-000080360000}"/>
    <cellStyle name="Normal 4 2 2 4 3 3 3 2 2" xfId="39293" xr:uid="{8C2A2D52-F6F5-431A-BF70-E66AB46BCA2A}"/>
    <cellStyle name="Normal 4 2 2 4 3 3 3 3" xfId="13990" xr:uid="{00000000-0005-0000-0000-000081360000}"/>
    <cellStyle name="Normal 4 2 2 4 3 3 3 4" xfId="30859" xr:uid="{158D1C98-0F0F-4988-B055-9146E3D96BBF}"/>
    <cellStyle name="Normal 4 2 2 4 3 3 4" xfId="18207" xr:uid="{00000000-0005-0000-0000-000082360000}"/>
    <cellStyle name="Normal 4 2 2 4 3 3 4 2" xfId="35076" xr:uid="{BCBCB61A-CA5B-4489-9BBD-8B6B2C04D1EB}"/>
    <cellStyle name="Normal 4 2 2 4 3 3 5" xfId="9772" xr:uid="{00000000-0005-0000-0000-000083360000}"/>
    <cellStyle name="Normal 4 2 2 4 3 3 6" xfId="26642" xr:uid="{72E6A1F9-EFBE-4479-B1CC-E33C987A92D6}"/>
    <cellStyle name="Normal 4 2 2 4 3 4" xfId="1660" xr:uid="{00000000-0005-0000-0000-000084360000}"/>
    <cellStyle name="Normal 4 2 2 4 3 4 2" xfId="3890" xr:uid="{00000000-0005-0000-0000-000085360000}"/>
    <cellStyle name="Normal 4 2 2 4 3 4 2 2" xfId="8113" xr:uid="{00000000-0005-0000-0000-000086360000}"/>
    <cellStyle name="Normal 4 2 2 4 3 4 2 2 2" xfId="24983" xr:uid="{00000000-0005-0000-0000-000087360000}"/>
    <cellStyle name="Normal 4 2 2 4 3 4 2 2 2 2" xfId="41851" xr:uid="{FBA84740-7039-435D-81F3-25858C75C576}"/>
    <cellStyle name="Normal 4 2 2 4 3 4 2 2 3" xfId="16548" xr:uid="{00000000-0005-0000-0000-000088360000}"/>
    <cellStyle name="Normal 4 2 2 4 3 4 2 2 4" xfId="33417" xr:uid="{A8288827-CD54-4DAC-9A3D-17C69075F50E}"/>
    <cellStyle name="Normal 4 2 2 4 3 4 2 3" xfId="20765" xr:uid="{00000000-0005-0000-0000-000089360000}"/>
    <cellStyle name="Normal 4 2 2 4 3 4 2 3 2" xfId="37634" xr:uid="{44B2976A-12A0-40D5-BA98-A88B7C6A45C5}"/>
    <cellStyle name="Normal 4 2 2 4 3 4 2 4" xfId="12330" xr:uid="{00000000-0005-0000-0000-00008A360000}"/>
    <cellStyle name="Normal 4 2 2 4 3 4 2 5" xfId="29200" xr:uid="{07059CE4-D4F2-42F4-A77E-613B032E11DA}"/>
    <cellStyle name="Normal 4 2 2 4 3 4 3" xfId="5968" xr:uid="{00000000-0005-0000-0000-00008B360000}"/>
    <cellStyle name="Normal 4 2 2 4 3 4 3 2" xfId="22838" xr:uid="{00000000-0005-0000-0000-00008C360000}"/>
    <cellStyle name="Normal 4 2 2 4 3 4 3 2 2" xfId="39706" xr:uid="{27B37946-8473-499D-A596-E9FDFED0DEA4}"/>
    <cellStyle name="Normal 4 2 2 4 3 4 3 3" xfId="14403" xr:uid="{00000000-0005-0000-0000-00008D360000}"/>
    <cellStyle name="Normal 4 2 2 4 3 4 3 4" xfId="31272" xr:uid="{E7A70F2F-FEA4-4874-9086-3194F6F5BEDF}"/>
    <cellStyle name="Normal 4 2 2 4 3 4 4" xfId="18620" xr:uid="{00000000-0005-0000-0000-00008E360000}"/>
    <cellStyle name="Normal 4 2 2 4 3 4 4 2" xfId="35489" xr:uid="{BEF61CC3-805B-42FA-95B9-5AE0D7A69F9B}"/>
    <cellStyle name="Normal 4 2 2 4 3 4 5" xfId="10185" xr:uid="{00000000-0005-0000-0000-00008F360000}"/>
    <cellStyle name="Normal 4 2 2 4 3 4 6" xfId="27055" xr:uid="{0F6D1EC3-5A38-4E38-AECF-A4DC24A188A5}"/>
    <cellStyle name="Normal 4 2 2 4 3 5" xfId="2074" xr:uid="{00000000-0005-0000-0000-000090360000}"/>
    <cellStyle name="Normal 4 2 2 4 3 5 2" xfId="4303" xr:uid="{00000000-0005-0000-0000-000091360000}"/>
    <cellStyle name="Normal 4 2 2 4 3 5 2 2" xfId="8526" xr:uid="{00000000-0005-0000-0000-000092360000}"/>
    <cellStyle name="Normal 4 2 2 4 3 5 2 2 2" xfId="25396" xr:uid="{00000000-0005-0000-0000-000093360000}"/>
    <cellStyle name="Normal 4 2 2 4 3 5 2 2 2 2" xfId="42264" xr:uid="{38512B7D-E5EA-405C-B3EA-23F28E8847FC}"/>
    <cellStyle name="Normal 4 2 2 4 3 5 2 2 3" xfId="16961" xr:uid="{00000000-0005-0000-0000-000094360000}"/>
    <cellStyle name="Normal 4 2 2 4 3 5 2 2 4" xfId="33830" xr:uid="{E9E730B2-E18B-4D32-AE0D-05F5CEF3DF11}"/>
    <cellStyle name="Normal 4 2 2 4 3 5 2 3" xfId="21178" xr:uid="{00000000-0005-0000-0000-000095360000}"/>
    <cellStyle name="Normal 4 2 2 4 3 5 2 3 2" xfId="38047" xr:uid="{9D20EE29-A777-491E-9AE8-93962437CD57}"/>
    <cellStyle name="Normal 4 2 2 4 3 5 2 4" xfId="12743" xr:uid="{00000000-0005-0000-0000-000096360000}"/>
    <cellStyle name="Normal 4 2 2 4 3 5 2 5" xfId="29613" xr:uid="{9EC1BA7E-6F60-4953-B398-4873B7126ECA}"/>
    <cellStyle name="Normal 4 2 2 4 3 5 3" xfId="6381" xr:uid="{00000000-0005-0000-0000-000097360000}"/>
    <cellStyle name="Normal 4 2 2 4 3 5 3 2" xfId="23251" xr:uid="{00000000-0005-0000-0000-000098360000}"/>
    <cellStyle name="Normal 4 2 2 4 3 5 3 2 2" xfId="40119" xr:uid="{07A647C1-AB22-4FCF-88BA-31A74BD8A6DE}"/>
    <cellStyle name="Normal 4 2 2 4 3 5 3 3" xfId="14816" xr:uid="{00000000-0005-0000-0000-000099360000}"/>
    <cellStyle name="Normal 4 2 2 4 3 5 3 4" xfId="31685" xr:uid="{6ADA8E49-F1BB-4B68-B031-27CEF1702FB6}"/>
    <cellStyle name="Normal 4 2 2 4 3 5 4" xfId="19033" xr:uid="{00000000-0005-0000-0000-00009A360000}"/>
    <cellStyle name="Normal 4 2 2 4 3 5 4 2" xfId="35902" xr:uid="{1DCD149B-9B41-4D18-9EC7-774EB8AB3CB0}"/>
    <cellStyle name="Normal 4 2 2 4 3 5 5" xfId="10598" xr:uid="{00000000-0005-0000-0000-00009B360000}"/>
    <cellStyle name="Normal 4 2 2 4 3 5 6" xfId="27468" xr:uid="{198E5271-0A0A-4FD3-8314-EEDB19D47273}"/>
    <cellStyle name="Normal 4 2 2 4 3 6" xfId="2510" xr:uid="{00000000-0005-0000-0000-00009C360000}"/>
    <cellStyle name="Normal 4 2 2 4 3 6 2" xfId="6794" xr:uid="{00000000-0005-0000-0000-00009D360000}"/>
    <cellStyle name="Normal 4 2 2 4 3 6 2 2" xfId="23664" xr:uid="{00000000-0005-0000-0000-00009E360000}"/>
    <cellStyle name="Normal 4 2 2 4 3 6 2 2 2" xfId="40532" xr:uid="{A9CA792E-25D5-44B4-8AA7-A24A859A4709}"/>
    <cellStyle name="Normal 4 2 2 4 3 6 2 3" xfId="15229" xr:uid="{00000000-0005-0000-0000-00009F360000}"/>
    <cellStyle name="Normal 4 2 2 4 3 6 2 4" xfId="32098" xr:uid="{18CC7184-4970-4CBA-B4BC-0ECFFEC46178}"/>
    <cellStyle name="Normal 4 2 2 4 3 6 3" xfId="19446" xr:uid="{00000000-0005-0000-0000-0000A0360000}"/>
    <cellStyle name="Normal 4 2 2 4 3 6 3 2" xfId="36315" xr:uid="{005C4AEE-ED36-4B01-AA2B-D7DA9F6B1D58}"/>
    <cellStyle name="Normal 4 2 2 4 3 6 4" xfId="11011" xr:uid="{00000000-0005-0000-0000-0000A1360000}"/>
    <cellStyle name="Normal 4 2 2 4 3 6 5" xfId="27881" xr:uid="{B67CBFEE-EA91-4CE0-9BF2-C86E45A665B6}"/>
    <cellStyle name="Normal 4 2 2 4 3 7" xfId="4729" xr:uid="{00000000-0005-0000-0000-0000A2360000}"/>
    <cellStyle name="Normal 4 2 2 4 3 7 2" xfId="21599" xr:uid="{00000000-0005-0000-0000-0000A3360000}"/>
    <cellStyle name="Normal 4 2 2 4 3 7 2 2" xfId="38467" xr:uid="{FCBA1D0D-566B-43A6-BFBB-7ABB408CFFEF}"/>
    <cellStyle name="Normal 4 2 2 4 3 7 3" xfId="13164" xr:uid="{00000000-0005-0000-0000-0000A4360000}"/>
    <cellStyle name="Normal 4 2 2 4 3 7 4" xfId="30033" xr:uid="{A915AF25-523D-4DC0-AED3-EF8ADE241475}"/>
    <cellStyle name="Normal 4 2 2 4 3 8" xfId="17381" xr:uid="{00000000-0005-0000-0000-0000A5360000}"/>
    <cellStyle name="Normal 4 2 2 4 3 8 2" xfId="34250" xr:uid="{3458BBF5-FD85-4CC3-9847-BCB2EA0BA12C}"/>
    <cellStyle name="Normal 4 2 2 4 3 9" xfId="8946" xr:uid="{00000000-0005-0000-0000-0000A6360000}"/>
    <cellStyle name="Normal 4 2 2 4 4" xfId="824" xr:uid="{00000000-0005-0000-0000-0000A7360000}"/>
    <cellStyle name="Normal 4 2 2 4 4 2" xfId="3061" xr:uid="{00000000-0005-0000-0000-0000A8360000}"/>
    <cellStyle name="Normal 4 2 2 4 4 2 2" xfId="7284" xr:uid="{00000000-0005-0000-0000-0000A9360000}"/>
    <cellStyle name="Normal 4 2 2 4 4 2 2 2" xfId="24154" xr:uid="{00000000-0005-0000-0000-0000AA360000}"/>
    <cellStyle name="Normal 4 2 2 4 4 2 2 2 2" xfId="41022" xr:uid="{C5DDC4C6-89C0-4298-AB82-9C2C8A889B96}"/>
    <cellStyle name="Normal 4 2 2 4 4 2 2 3" xfId="15719" xr:uid="{00000000-0005-0000-0000-0000AB360000}"/>
    <cellStyle name="Normal 4 2 2 4 4 2 2 4" xfId="32588" xr:uid="{EB3B3136-166B-4FA7-B20C-4D166F235B0D}"/>
    <cellStyle name="Normal 4 2 2 4 4 2 3" xfId="19936" xr:uid="{00000000-0005-0000-0000-0000AC360000}"/>
    <cellStyle name="Normal 4 2 2 4 4 2 3 2" xfId="36805" xr:uid="{15686611-3147-486E-8F0A-8014542C629E}"/>
    <cellStyle name="Normal 4 2 2 4 4 2 4" xfId="11501" xr:uid="{00000000-0005-0000-0000-0000AD360000}"/>
    <cellStyle name="Normal 4 2 2 4 4 2 5" xfId="28371" xr:uid="{A997CC4B-8E36-41EC-8CEA-66EC6E8302A8}"/>
    <cellStyle name="Normal 4 2 2 4 4 3" xfId="5139" xr:uid="{00000000-0005-0000-0000-0000AE360000}"/>
    <cellStyle name="Normal 4 2 2 4 4 3 2" xfId="22009" xr:uid="{00000000-0005-0000-0000-0000AF360000}"/>
    <cellStyle name="Normal 4 2 2 4 4 3 2 2" xfId="38877" xr:uid="{A969E383-E674-442D-8433-58BB89790E51}"/>
    <cellStyle name="Normal 4 2 2 4 4 3 3" xfId="13574" xr:uid="{00000000-0005-0000-0000-0000B0360000}"/>
    <cellStyle name="Normal 4 2 2 4 4 3 4" xfId="30443" xr:uid="{4D4AAEF4-543B-4A64-9987-71B73C134D9A}"/>
    <cellStyle name="Normal 4 2 2 4 4 4" xfId="17791" xr:uid="{00000000-0005-0000-0000-0000B1360000}"/>
    <cellStyle name="Normal 4 2 2 4 4 4 2" xfId="34660" xr:uid="{0B89FC34-703F-4311-A4E8-1C35DA16683F}"/>
    <cellStyle name="Normal 4 2 2 4 4 5" xfId="9356" xr:uid="{00000000-0005-0000-0000-0000B2360000}"/>
    <cellStyle name="Normal 4 2 2 4 4 6" xfId="26226" xr:uid="{B9BE99A5-96E4-4EBA-B66D-C8604B8D44D9}"/>
    <cellStyle name="Normal 4 2 2 4 5" xfId="1244" xr:uid="{00000000-0005-0000-0000-0000B3360000}"/>
    <cellStyle name="Normal 4 2 2 4 5 2" xfId="3474" xr:uid="{00000000-0005-0000-0000-0000B4360000}"/>
    <cellStyle name="Normal 4 2 2 4 5 2 2" xfId="7697" xr:uid="{00000000-0005-0000-0000-0000B5360000}"/>
    <cellStyle name="Normal 4 2 2 4 5 2 2 2" xfId="24567" xr:uid="{00000000-0005-0000-0000-0000B6360000}"/>
    <cellStyle name="Normal 4 2 2 4 5 2 2 2 2" xfId="41435" xr:uid="{A4F1CC75-4E2B-4A48-89DD-225A2E61CDCB}"/>
    <cellStyle name="Normal 4 2 2 4 5 2 2 3" xfId="16132" xr:uid="{00000000-0005-0000-0000-0000B7360000}"/>
    <cellStyle name="Normal 4 2 2 4 5 2 2 4" xfId="33001" xr:uid="{8A411FD2-3127-44AC-BE6C-0B20D7AB51D0}"/>
    <cellStyle name="Normal 4 2 2 4 5 2 3" xfId="20349" xr:uid="{00000000-0005-0000-0000-0000B8360000}"/>
    <cellStyle name="Normal 4 2 2 4 5 2 3 2" xfId="37218" xr:uid="{E8C30E44-6750-49D3-B32D-ACAD326287BB}"/>
    <cellStyle name="Normal 4 2 2 4 5 2 4" xfId="11914" xr:uid="{00000000-0005-0000-0000-0000B9360000}"/>
    <cellStyle name="Normal 4 2 2 4 5 2 5" xfId="28784" xr:uid="{D736030E-8E45-4CC4-B60D-BA24FAD7FF30}"/>
    <cellStyle name="Normal 4 2 2 4 5 3" xfId="5552" xr:uid="{00000000-0005-0000-0000-0000BA360000}"/>
    <cellStyle name="Normal 4 2 2 4 5 3 2" xfId="22422" xr:uid="{00000000-0005-0000-0000-0000BB360000}"/>
    <cellStyle name="Normal 4 2 2 4 5 3 2 2" xfId="39290" xr:uid="{A8CF1609-8100-43EA-920E-09ED10D350CD}"/>
    <cellStyle name="Normal 4 2 2 4 5 3 3" xfId="13987" xr:uid="{00000000-0005-0000-0000-0000BC360000}"/>
    <cellStyle name="Normal 4 2 2 4 5 3 4" xfId="30856" xr:uid="{8AF52E61-1235-4436-95B8-A476199068EE}"/>
    <cellStyle name="Normal 4 2 2 4 5 4" xfId="18204" xr:uid="{00000000-0005-0000-0000-0000BD360000}"/>
    <cellStyle name="Normal 4 2 2 4 5 4 2" xfId="35073" xr:uid="{67CE0EAF-2882-4405-B152-F472C9E0D8F3}"/>
    <cellStyle name="Normal 4 2 2 4 5 5" xfId="9769" xr:uid="{00000000-0005-0000-0000-0000BE360000}"/>
    <cellStyle name="Normal 4 2 2 4 5 6" xfId="26639" xr:uid="{B1578577-30E9-40EA-B55E-64B54C1B36C7}"/>
    <cellStyle name="Normal 4 2 2 4 6" xfId="1657" xr:uid="{00000000-0005-0000-0000-0000BF360000}"/>
    <cellStyle name="Normal 4 2 2 4 6 2" xfId="3887" xr:uid="{00000000-0005-0000-0000-0000C0360000}"/>
    <cellStyle name="Normal 4 2 2 4 6 2 2" xfId="8110" xr:uid="{00000000-0005-0000-0000-0000C1360000}"/>
    <cellStyle name="Normal 4 2 2 4 6 2 2 2" xfId="24980" xr:uid="{00000000-0005-0000-0000-0000C2360000}"/>
    <cellStyle name="Normal 4 2 2 4 6 2 2 2 2" xfId="41848" xr:uid="{1A86998A-445B-4652-944F-D19AFCEC3A9C}"/>
    <cellStyle name="Normal 4 2 2 4 6 2 2 3" xfId="16545" xr:uid="{00000000-0005-0000-0000-0000C3360000}"/>
    <cellStyle name="Normal 4 2 2 4 6 2 2 4" xfId="33414" xr:uid="{14C9769E-1E55-4082-B143-085A551ADD6B}"/>
    <cellStyle name="Normal 4 2 2 4 6 2 3" xfId="20762" xr:uid="{00000000-0005-0000-0000-0000C4360000}"/>
    <cellStyle name="Normal 4 2 2 4 6 2 3 2" xfId="37631" xr:uid="{FD8B54C0-BC22-4CC9-90F2-4CC501F74505}"/>
    <cellStyle name="Normal 4 2 2 4 6 2 4" xfId="12327" xr:uid="{00000000-0005-0000-0000-0000C5360000}"/>
    <cellStyle name="Normal 4 2 2 4 6 2 5" xfId="29197" xr:uid="{048947E2-559C-4C95-8610-FB28BBDCD905}"/>
    <cellStyle name="Normal 4 2 2 4 6 3" xfId="5965" xr:uid="{00000000-0005-0000-0000-0000C6360000}"/>
    <cellStyle name="Normal 4 2 2 4 6 3 2" xfId="22835" xr:uid="{00000000-0005-0000-0000-0000C7360000}"/>
    <cellStyle name="Normal 4 2 2 4 6 3 2 2" xfId="39703" xr:uid="{EC23B07C-CEBD-4F31-A5C9-DF18E89E00E3}"/>
    <cellStyle name="Normal 4 2 2 4 6 3 3" xfId="14400" xr:uid="{00000000-0005-0000-0000-0000C8360000}"/>
    <cellStyle name="Normal 4 2 2 4 6 3 4" xfId="31269" xr:uid="{837BCD87-B0C8-4578-8C54-120E312D90AF}"/>
    <cellStyle name="Normal 4 2 2 4 6 4" xfId="18617" xr:uid="{00000000-0005-0000-0000-0000C9360000}"/>
    <cellStyle name="Normal 4 2 2 4 6 4 2" xfId="35486" xr:uid="{63D20D1D-31F0-4D4E-97AE-6457FCFA025D}"/>
    <cellStyle name="Normal 4 2 2 4 6 5" xfId="10182" xr:uid="{00000000-0005-0000-0000-0000CA360000}"/>
    <cellStyle name="Normal 4 2 2 4 6 6" xfId="27052" xr:uid="{EB5B8EF8-8AC2-46B6-8F28-D5433A9F5CB8}"/>
    <cellStyle name="Normal 4 2 2 4 7" xfId="2071" xr:uid="{00000000-0005-0000-0000-0000CB360000}"/>
    <cellStyle name="Normal 4 2 2 4 7 2" xfId="4300" xr:uid="{00000000-0005-0000-0000-0000CC360000}"/>
    <cellStyle name="Normal 4 2 2 4 7 2 2" xfId="8523" xr:uid="{00000000-0005-0000-0000-0000CD360000}"/>
    <cellStyle name="Normal 4 2 2 4 7 2 2 2" xfId="25393" xr:uid="{00000000-0005-0000-0000-0000CE360000}"/>
    <cellStyle name="Normal 4 2 2 4 7 2 2 2 2" xfId="42261" xr:uid="{3A59AAD6-99C0-4FFC-AC5A-9C487B64D453}"/>
    <cellStyle name="Normal 4 2 2 4 7 2 2 3" xfId="16958" xr:uid="{00000000-0005-0000-0000-0000CF360000}"/>
    <cellStyle name="Normal 4 2 2 4 7 2 2 4" xfId="33827" xr:uid="{B51633A8-0C19-47DD-81B3-99F8DF8E0ACC}"/>
    <cellStyle name="Normal 4 2 2 4 7 2 3" xfId="21175" xr:uid="{00000000-0005-0000-0000-0000D0360000}"/>
    <cellStyle name="Normal 4 2 2 4 7 2 3 2" xfId="38044" xr:uid="{16DC55C6-2070-4AF3-8A6A-D80DB9B34FA9}"/>
    <cellStyle name="Normal 4 2 2 4 7 2 4" xfId="12740" xr:uid="{00000000-0005-0000-0000-0000D1360000}"/>
    <cellStyle name="Normal 4 2 2 4 7 2 5" xfId="29610" xr:uid="{F13F15CE-906A-4D42-A4D1-FF5F61F785B9}"/>
    <cellStyle name="Normal 4 2 2 4 7 3" xfId="6378" xr:uid="{00000000-0005-0000-0000-0000D2360000}"/>
    <cellStyle name="Normal 4 2 2 4 7 3 2" xfId="23248" xr:uid="{00000000-0005-0000-0000-0000D3360000}"/>
    <cellStyle name="Normal 4 2 2 4 7 3 2 2" xfId="40116" xr:uid="{91BF6A33-0148-44D6-A77B-B0CB3EBC580C}"/>
    <cellStyle name="Normal 4 2 2 4 7 3 3" xfId="14813" xr:uid="{00000000-0005-0000-0000-0000D4360000}"/>
    <cellStyle name="Normal 4 2 2 4 7 3 4" xfId="31682" xr:uid="{0209DF5B-847E-4B5B-9F20-F035373BFB10}"/>
    <cellStyle name="Normal 4 2 2 4 7 4" xfId="19030" xr:uid="{00000000-0005-0000-0000-0000D5360000}"/>
    <cellStyle name="Normal 4 2 2 4 7 4 2" xfId="35899" xr:uid="{68EB8FF0-BFBF-45EB-8A2C-7BF90811E1A9}"/>
    <cellStyle name="Normal 4 2 2 4 7 5" xfId="10595" xr:uid="{00000000-0005-0000-0000-0000D6360000}"/>
    <cellStyle name="Normal 4 2 2 4 7 6" xfId="27465" xr:uid="{8B14538B-ECAC-41E4-A657-4242A18B2AD5}"/>
    <cellStyle name="Normal 4 2 2 4 8" xfId="2507" xr:uid="{00000000-0005-0000-0000-0000D7360000}"/>
    <cellStyle name="Normal 4 2 2 4 8 2" xfId="6791" xr:uid="{00000000-0005-0000-0000-0000D8360000}"/>
    <cellStyle name="Normal 4 2 2 4 8 2 2" xfId="23661" xr:uid="{00000000-0005-0000-0000-0000D9360000}"/>
    <cellStyle name="Normal 4 2 2 4 8 2 2 2" xfId="40529" xr:uid="{151F9197-94FC-4058-AE39-DA9F08E2869A}"/>
    <cellStyle name="Normal 4 2 2 4 8 2 3" xfId="15226" xr:uid="{00000000-0005-0000-0000-0000DA360000}"/>
    <cellStyle name="Normal 4 2 2 4 8 2 4" xfId="32095" xr:uid="{C7CBD5F5-8999-4450-A672-12424E0AB0D1}"/>
    <cellStyle name="Normal 4 2 2 4 8 3" xfId="19443" xr:uid="{00000000-0005-0000-0000-0000DB360000}"/>
    <cellStyle name="Normal 4 2 2 4 8 3 2" xfId="36312" xr:uid="{621C520A-724E-49FF-8B38-1D034DFE4C04}"/>
    <cellStyle name="Normal 4 2 2 4 8 4" xfId="11008" xr:uid="{00000000-0005-0000-0000-0000DC360000}"/>
    <cellStyle name="Normal 4 2 2 4 8 5" xfId="27878" xr:uid="{3AF6943B-92F5-4E57-9894-28F37A7BDF58}"/>
    <cellStyle name="Normal 4 2 2 4 9" xfId="4726" xr:uid="{00000000-0005-0000-0000-0000DD360000}"/>
    <cellStyle name="Normal 4 2 2 4 9 2" xfId="21596" xr:uid="{00000000-0005-0000-0000-0000DE360000}"/>
    <cellStyle name="Normal 4 2 2 4 9 2 2" xfId="38464" xr:uid="{8C867AFE-6CEA-4536-8C2E-6955396D17A1}"/>
    <cellStyle name="Normal 4 2 2 4 9 3" xfId="13161" xr:uid="{00000000-0005-0000-0000-0000DF360000}"/>
    <cellStyle name="Normal 4 2 2 4 9 4" xfId="30030" xr:uid="{32EBC785-E6CD-48D9-BE54-BC9CD0C3C3E3}"/>
    <cellStyle name="Normal 4 2 2 5" xfId="351" xr:uid="{00000000-0005-0000-0000-0000E0360000}"/>
    <cellStyle name="Normal 4 2 2 5 10" xfId="8947" xr:uid="{00000000-0005-0000-0000-0000E1360000}"/>
    <cellStyle name="Normal 4 2 2 5 11" xfId="25817" xr:uid="{A7C5C2C8-18E7-4080-8A81-98A8AF8A6145}"/>
    <cellStyle name="Normal 4 2 2 5 2" xfId="352" xr:uid="{00000000-0005-0000-0000-0000E2360000}"/>
    <cellStyle name="Normal 4 2 2 5 2 10" xfId="25818" xr:uid="{2EACA820-8243-4CA9-B28F-D843F90C765D}"/>
    <cellStyle name="Normal 4 2 2 5 2 2" xfId="829" xr:uid="{00000000-0005-0000-0000-0000E3360000}"/>
    <cellStyle name="Normal 4 2 2 5 2 2 2" xfId="3066" xr:uid="{00000000-0005-0000-0000-0000E4360000}"/>
    <cellStyle name="Normal 4 2 2 5 2 2 2 2" xfId="7289" xr:uid="{00000000-0005-0000-0000-0000E5360000}"/>
    <cellStyle name="Normal 4 2 2 5 2 2 2 2 2" xfId="24159" xr:uid="{00000000-0005-0000-0000-0000E6360000}"/>
    <cellStyle name="Normal 4 2 2 5 2 2 2 2 2 2" xfId="41027" xr:uid="{52B3A55C-ACD5-46D1-A378-43C7558EE203}"/>
    <cellStyle name="Normal 4 2 2 5 2 2 2 2 3" xfId="15724" xr:uid="{00000000-0005-0000-0000-0000E7360000}"/>
    <cellStyle name="Normal 4 2 2 5 2 2 2 2 4" xfId="32593" xr:uid="{6E88A7B0-DE7F-4A11-9D33-69D6F33E478B}"/>
    <cellStyle name="Normal 4 2 2 5 2 2 2 3" xfId="19941" xr:uid="{00000000-0005-0000-0000-0000E8360000}"/>
    <cellStyle name="Normal 4 2 2 5 2 2 2 3 2" xfId="36810" xr:uid="{ECDAA169-5CDB-4C1B-9633-872E27017CA1}"/>
    <cellStyle name="Normal 4 2 2 5 2 2 2 4" xfId="11506" xr:uid="{00000000-0005-0000-0000-0000E9360000}"/>
    <cellStyle name="Normal 4 2 2 5 2 2 2 5" xfId="28376" xr:uid="{7CCFFD9C-0BAD-4B6C-9B6B-59B896511C69}"/>
    <cellStyle name="Normal 4 2 2 5 2 2 3" xfId="5144" xr:uid="{00000000-0005-0000-0000-0000EA360000}"/>
    <cellStyle name="Normal 4 2 2 5 2 2 3 2" xfId="22014" xr:uid="{00000000-0005-0000-0000-0000EB360000}"/>
    <cellStyle name="Normal 4 2 2 5 2 2 3 2 2" xfId="38882" xr:uid="{B52ACF3E-FCB0-48C7-99B5-E445F7174A71}"/>
    <cellStyle name="Normal 4 2 2 5 2 2 3 3" xfId="13579" xr:uid="{00000000-0005-0000-0000-0000EC360000}"/>
    <cellStyle name="Normal 4 2 2 5 2 2 3 4" xfId="30448" xr:uid="{F3D805C6-A09C-40AB-A954-814BCB0C9468}"/>
    <cellStyle name="Normal 4 2 2 5 2 2 4" xfId="17796" xr:uid="{00000000-0005-0000-0000-0000ED360000}"/>
    <cellStyle name="Normal 4 2 2 5 2 2 4 2" xfId="34665" xr:uid="{5A7948D8-BC7E-4AA9-B889-45D6CA1A6CF9}"/>
    <cellStyle name="Normal 4 2 2 5 2 2 5" xfId="9361" xr:uid="{00000000-0005-0000-0000-0000EE360000}"/>
    <cellStyle name="Normal 4 2 2 5 2 2 6" xfId="26231" xr:uid="{BD0E0A62-D6AA-486F-869F-A43DA4151C19}"/>
    <cellStyle name="Normal 4 2 2 5 2 3" xfId="1249" xr:uid="{00000000-0005-0000-0000-0000EF360000}"/>
    <cellStyle name="Normal 4 2 2 5 2 3 2" xfId="3479" xr:uid="{00000000-0005-0000-0000-0000F0360000}"/>
    <cellStyle name="Normal 4 2 2 5 2 3 2 2" xfId="7702" xr:uid="{00000000-0005-0000-0000-0000F1360000}"/>
    <cellStyle name="Normal 4 2 2 5 2 3 2 2 2" xfId="24572" xr:uid="{00000000-0005-0000-0000-0000F2360000}"/>
    <cellStyle name="Normal 4 2 2 5 2 3 2 2 2 2" xfId="41440" xr:uid="{ED7ACAE9-B8D2-4B00-8E0E-ABDC77D15041}"/>
    <cellStyle name="Normal 4 2 2 5 2 3 2 2 3" xfId="16137" xr:uid="{00000000-0005-0000-0000-0000F3360000}"/>
    <cellStyle name="Normal 4 2 2 5 2 3 2 2 4" xfId="33006" xr:uid="{E41927FB-D0F1-4B4E-8EC8-2D4997200BBA}"/>
    <cellStyle name="Normal 4 2 2 5 2 3 2 3" xfId="20354" xr:uid="{00000000-0005-0000-0000-0000F4360000}"/>
    <cellStyle name="Normal 4 2 2 5 2 3 2 3 2" xfId="37223" xr:uid="{496A2055-C4B8-4FD7-8255-9E51E601E676}"/>
    <cellStyle name="Normal 4 2 2 5 2 3 2 4" xfId="11919" xr:uid="{00000000-0005-0000-0000-0000F5360000}"/>
    <cellStyle name="Normal 4 2 2 5 2 3 2 5" xfId="28789" xr:uid="{1A758830-F61C-49E8-9189-51F4319570A6}"/>
    <cellStyle name="Normal 4 2 2 5 2 3 3" xfId="5557" xr:uid="{00000000-0005-0000-0000-0000F6360000}"/>
    <cellStyle name="Normal 4 2 2 5 2 3 3 2" xfId="22427" xr:uid="{00000000-0005-0000-0000-0000F7360000}"/>
    <cellStyle name="Normal 4 2 2 5 2 3 3 2 2" xfId="39295" xr:uid="{ABF40969-5554-497D-8CFE-04385DAC7C74}"/>
    <cellStyle name="Normal 4 2 2 5 2 3 3 3" xfId="13992" xr:uid="{00000000-0005-0000-0000-0000F8360000}"/>
    <cellStyle name="Normal 4 2 2 5 2 3 3 4" xfId="30861" xr:uid="{DC18161F-7B5D-45A6-BD93-63A7364F8C0D}"/>
    <cellStyle name="Normal 4 2 2 5 2 3 4" xfId="18209" xr:uid="{00000000-0005-0000-0000-0000F9360000}"/>
    <cellStyle name="Normal 4 2 2 5 2 3 4 2" xfId="35078" xr:uid="{729C8D56-D46B-4355-8089-2354FDFECA70}"/>
    <cellStyle name="Normal 4 2 2 5 2 3 5" xfId="9774" xr:uid="{00000000-0005-0000-0000-0000FA360000}"/>
    <cellStyle name="Normal 4 2 2 5 2 3 6" xfId="26644" xr:uid="{D3DDD5EB-6E32-4118-82EA-9B9EDFD91CE8}"/>
    <cellStyle name="Normal 4 2 2 5 2 4" xfId="1662" xr:uid="{00000000-0005-0000-0000-0000FB360000}"/>
    <cellStyle name="Normal 4 2 2 5 2 4 2" xfId="3892" xr:uid="{00000000-0005-0000-0000-0000FC360000}"/>
    <cellStyle name="Normal 4 2 2 5 2 4 2 2" xfId="8115" xr:uid="{00000000-0005-0000-0000-0000FD360000}"/>
    <cellStyle name="Normal 4 2 2 5 2 4 2 2 2" xfId="24985" xr:uid="{00000000-0005-0000-0000-0000FE360000}"/>
    <cellStyle name="Normal 4 2 2 5 2 4 2 2 2 2" xfId="41853" xr:uid="{BBF5E101-B704-4CC6-84FF-FC1BFB7AE1A1}"/>
    <cellStyle name="Normal 4 2 2 5 2 4 2 2 3" xfId="16550" xr:uid="{00000000-0005-0000-0000-0000FF360000}"/>
    <cellStyle name="Normal 4 2 2 5 2 4 2 2 4" xfId="33419" xr:uid="{5FC4EEDE-20A1-4095-BE50-DBD1F04976F7}"/>
    <cellStyle name="Normal 4 2 2 5 2 4 2 3" xfId="20767" xr:uid="{00000000-0005-0000-0000-000000370000}"/>
    <cellStyle name="Normal 4 2 2 5 2 4 2 3 2" xfId="37636" xr:uid="{5A58904C-19A1-4B21-A454-F51D209E731E}"/>
    <cellStyle name="Normal 4 2 2 5 2 4 2 4" xfId="12332" xr:uid="{00000000-0005-0000-0000-000001370000}"/>
    <cellStyle name="Normal 4 2 2 5 2 4 2 5" xfId="29202" xr:uid="{35A2E736-8134-44DD-B765-035A2AFF16F6}"/>
    <cellStyle name="Normal 4 2 2 5 2 4 3" xfId="5970" xr:uid="{00000000-0005-0000-0000-000002370000}"/>
    <cellStyle name="Normal 4 2 2 5 2 4 3 2" xfId="22840" xr:uid="{00000000-0005-0000-0000-000003370000}"/>
    <cellStyle name="Normal 4 2 2 5 2 4 3 2 2" xfId="39708" xr:uid="{7FC41D0D-7F9A-4C5A-ABF7-4A24A9BEF998}"/>
    <cellStyle name="Normal 4 2 2 5 2 4 3 3" xfId="14405" xr:uid="{00000000-0005-0000-0000-000004370000}"/>
    <cellStyle name="Normal 4 2 2 5 2 4 3 4" xfId="31274" xr:uid="{CEFEAA9A-CF94-4D55-AF3F-97C4194A9800}"/>
    <cellStyle name="Normal 4 2 2 5 2 4 4" xfId="18622" xr:uid="{00000000-0005-0000-0000-000005370000}"/>
    <cellStyle name="Normal 4 2 2 5 2 4 4 2" xfId="35491" xr:uid="{FAA340C0-B3B3-4866-9146-EA8DC3B6E7B1}"/>
    <cellStyle name="Normal 4 2 2 5 2 4 5" xfId="10187" xr:uid="{00000000-0005-0000-0000-000006370000}"/>
    <cellStyle name="Normal 4 2 2 5 2 4 6" xfId="27057" xr:uid="{740B8B6D-1664-4364-A1EE-B1C2306E75F1}"/>
    <cellStyle name="Normal 4 2 2 5 2 5" xfId="2076" xr:uid="{00000000-0005-0000-0000-000007370000}"/>
    <cellStyle name="Normal 4 2 2 5 2 5 2" xfId="4305" xr:uid="{00000000-0005-0000-0000-000008370000}"/>
    <cellStyle name="Normal 4 2 2 5 2 5 2 2" xfId="8528" xr:uid="{00000000-0005-0000-0000-000009370000}"/>
    <cellStyle name="Normal 4 2 2 5 2 5 2 2 2" xfId="25398" xr:uid="{00000000-0005-0000-0000-00000A370000}"/>
    <cellStyle name="Normal 4 2 2 5 2 5 2 2 2 2" xfId="42266" xr:uid="{57741F7C-E28D-481D-BD84-574F0882B0E9}"/>
    <cellStyle name="Normal 4 2 2 5 2 5 2 2 3" xfId="16963" xr:uid="{00000000-0005-0000-0000-00000B370000}"/>
    <cellStyle name="Normal 4 2 2 5 2 5 2 2 4" xfId="33832" xr:uid="{ED212048-5A24-4469-B446-1E523FAE01F1}"/>
    <cellStyle name="Normal 4 2 2 5 2 5 2 3" xfId="21180" xr:uid="{00000000-0005-0000-0000-00000C370000}"/>
    <cellStyle name="Normal 4 2 2 5 2 5 2 3 2" xfId="38049" xr:uid="{549C59FF-7FFD-4F86-A559-0911EE5BE4E1}"/>
    <cellStyle name="Normal 4 2 2 5 2 5 2 4" xfId="12745" xr:uid="{00000000-0005-0000-0000-00000D370000}"/>
    <cellStyle name="Normal 4 2 2 5 2 5 2 5" xfId="29615" xr:uid="{6F904F41-1BED-4F16-9CB6-6FDD7D680053}"/>
    <cellStyle name="Normal 4 2 2 5 2 5 3" xfId="6383" xr:uid="{00000000-0005-0000-0000-00000E370000}"/>
    <cellStyle name="Normal 4 2 2 5 2 5 3 2" xfId="23253" xr:uid="{00000000-0005-0000-0000-00000F370000}"/>
    <cellStyle name="Normal 4 2 2 5 2 5 3 2 2" xfId="40121" xr:uid="{78BB8C9D-313C-44D3-A17D-90F8EE14202E}"/>
    <cellStyle name="Normal 4 2 2 5 2 5 3 3" xfId="14818" xr:uid="{00000000-0005-0000-0000-000010370000}"/>
    <cellStyle name="Normal 4 2 2 5 2 5 3 4" xfId="31687" xr:uid="{B2C70D81-340A-4D05-86B2-FA399E8621A6}"/>
    <cellStyle name="Normal 4 2 2 5 2 5 4" xfId="19035" xr:uid="{00000000-0005-0000-0000-000011370000}"/>
    <cellStyle name="Normal 4 2 2 5 2 5 4 2" xfId="35904" xr:uid="{590FAA0E-D39A-4621-8A3A-70F1DABB1447}"/>
    <cellStyle name="Normal 4 2 2 5 2 5 5" xfId="10600" xr:uid="{00000000-0005-0000-0000-000012370000}"/>
    <cellStyle name="Normal 4 2 2 5 2 5 6" xfId="27470" xr:uid="{48910A85-AF5C-41E6-A400-C9CC7E75BE84}"/>
    <cellStyle name="Normal 4 2 2 5 2 6" xfId="2512" xr:uid="{00000000-0005-0000-0000-000013370000}"/>
    <cellStyle name="Normal 4 2 2 5 2 6 2" xfId="6796" xr:uid="{00000000-0005-0000-0000-000014370000}"/>
    <cellStyle name="Normal 4 2 2 5 2 6 2 2" xfId="23666" xr:uid="{00000000-0005-0000-0000-000015370000}"/>
    <cellStyle name="Normal 4 2 2 5 2 6 2 2 2" xfId="40534" xr:uid="{325EAD23-7707-457F-9605-68E3237E851A}"/>
    <cellStyle name="Normal 4 2 2 5 2 6 2 3" xfId="15231" xr:uid="{00000000-0005-0000-0000-000016370000}"/>
    <cellStyle name="Normal 4 2 2 5 2 6 2 4" xfId="32100" xr:uid="{1F4BB179-49CF-44F1-AFEE-4E14E450E9AF}"/>
    <cellStyle name="Normal 4 2 2 5 2 6 3" xfId="19448" xr:uid="{00000000-0005-0000-0000-000017370000}"/>
    <cellStyle name="Normal 4 2 2 5 2 6 3 2" xfId="36317" xr:uid="{CE305F32-0374-45FC-A3F3-446BB4F93E4E}"/>
    <cellStyle name="Normal 4 2 2 5 2 6 4" xfId="11013" xr:uid="{00000000-0005-0000-0000-000018370000}"/>
    <cellStyle name="Normal 4 2 2 5 2 6 5" xfId="27883" xr:uid="{380854BE-6F4A-405E-9A2F-CB4D60F64E92}"/>
    <cellStyle name="Normal 4 2 2 5 2 7" xfId="4731" xr:uid="{00000000-0005-0000-0000-000019370000}"/>
    <cellStyle name="Normal 4 2 2 5 2 7 2" xfId="21601" xr:uid="{00000000-0005-0000-0000-00001A370000}"/>
    <cellStyle name="Normal 4 2 2 5 2 7 2 2" xfId="38469" xr:uid="{D03C2DF4-B7BD-4F26-ABEE-43FF159219BC}"/>
    <cellStyle name="Normal 4 2 2 5 2 7 3" xfId="13166" xr:uid="{00000000-0005-0000-0000-00001B370000}"/>
    <cellStyle name="Normal 4 2 2 5 2 7 4" xfId="30035" xr:uid="{FD1AF536-8CFB-4BBB-9847-208822672468}"/>
    <cellStyle name="Normal 4 2 2 5 2 8" xfId="17383" xr:uid="{00000000-0005-0000-0000-00001C370000}"/>
    <cellStyle name="Normal 4 2 2 5 2 8 2" xfId="34252" xr:uid="{A7C26055-80B5-4B15-B4C6-B5A0962AFBDD}"/>
    <cellStyle name="Normal 4 2 2 5 2 9" xfId="8948" xr:uid="{00000000-0005-0000-0000-00001D370000}"/>
    <cellStyle name="Normal 4 2 2 5 3" xfId="828" xr:uid="{00000000-0005-0000-0000-00001E370000}"/>
    <cellStyle name="Normal 4 2 2 5 3 2" xfId="3065" xr:uid="{00000000-0005-0000-0000-00001F370000}"/>
    <cellStyle name="Normal 4 2 2 5 3 2 2" xfId="7288" xr:uid="{00000000-0005-0000-0000-000020370000}"/>
    <cellStyle name="Normal 4 2 2 5 3 2 2 2" xfId="24158" xr:uid="{00000000-0005-0000-0000-000021370000}"/>
    <cellStyle name="Normal 4 2 2 5 3 2 2 2 2" xfId="41026" xr:uid="{3A4D89CD-E5FA-41F9-A504-A9DB27A757C1}"/>
    <cellStyle name="Normal 4 2 2 5 3 2 2 3" xfId="15723" xr:uid="{00000000-0005-0000-0000-000022370000}"/>
    <cellStyle name="Normal 4 2 2 5 3 2 2 4" xfId="32592" xr:uid="{C7B5A2C6-722E-4CA1-B126-991E0234A146}"/>
    <cellStyle name="Normal 4 2 2 5 3 2 3" xfId="19940" xr:uid="{00000000-0005-0000-0000-000023370000}"/>
    <cellStyle name="Normal 4 2 2 5 3 2 3 2" xfId="36809" xr:uid="{61E6F492-EC7E-4198-BF65-AF24BA5705A6}"/>
    <cellStyle name="Normal 4 2 2 5 3 2 4" xfId="11505" xr:uid="{00000000-0005-0000-0000-000024370000}"/>
    <cellStyle name="Normal 4 2 2 5 3 2 5" xfId="28375" xr:uid="{54730B55-93E7-4856-A479-EBB79587A1DD}"/>
    <cellStyle name="Normal 4 2 2 5 3 3" xfId="5143" xr:uid="{00000000-0005-0000-0000-000025370000}"/>
    <cellStyle name="Normal 4 2 2 5 3 3 2" xfId="22013" xr:uid="{00000000-0005-0000-0000-000026370000}"/>
    <cellStyle name="Normal 4 2 2 5 3 3 2 2" xfId="38881" xr:uid="{9F7ABE99-5BC7-41BB-93DD-2EE275AFB656}"/>
    <cellStyle name="Normal 4 2 2 5 3 3 3" xfId="13578" xr:uid="{00000000-0005-0000-0000-000027370000}"/>
    <cellStyle name="Normal 4 2 2 5 3 3 4" xfId="30447" xr:uid="{2A4FB1A7-277C-4675-A609-613206892B59}"/>
    <cellStyle name="Normal 4 2 2 5 3 4" xfId="17795" xr:uid="{00000000-0005-0000-0000-000028370000}"/>
    <cellStyle name="Normal 4 2 2 5 3 4 2" xfId="34664" xr:uid="{3AA19B36-9C80-4B36-B71E-CAC29ECABB92}"/>
    <cellStyle name="Normal 4 2 2 5 3 5" xfId="9360" xr:uid="{00000000-0005-0000-0000-000029370000}"/>
    <cellStyle name="Normal 4 2 2 5 3 6" xfId="26230" xr:uid="{A052AE3B-A996-4AEA-9834-DF7619416E03}"/>
    <cellStyle name="Normal 4 2 2 5 4" xfId="1248" xr:uid="{00000000-0005-0000-0000-00002A370000}"/>
    <cellStyle name="Normal 4 2 2 5 4 2" xfId="3478" xr:uid="{00000000-0005-0000-0000-00002B370000}"/>
    <cellStyle name="Normal 4 2 2 5 4 2 2" xfId="7701" xr:uid="{00000000-0005-0000-0000-00002C370000}"/>
    <cellStyle name="Normal 4 2 2 5 4 2 2 2" xfId="24571" xr:uid="{00000000-0005-0000-0000-00002D370000}"/>
    <cellStyle name="Normal 4 2 2 5 4 2 2 2 2" xfId="41439" xr:uid="{CB4615C6-3CCF-43A0-8CA5-3070C1161DF5}"/>
    <cellStyle name="Normal 4 2 2 5 4 2 2 3" xfId="16136" xr:uid="{00000000-0005-0000-0000-00002E370000}"/>
    <cellStyle name="Normal 4 2 2 5 4 2 2 4" xfId="33005" xr:uid="{1A5DAE8F-9652-4041-AF44-24830F713992}"/>
    <cellStyle name="Normal 4 2 2 5 4 2 3" xfId="20353" xr:uid="{00000000-0005-0000-0000-00002F370000}"/>
    <cellStyle name="Normal 4 2 2 5 4 2 3 2" xfId="37222" xr:uid="{FC2E4246-9071-4254-B0A9-9983C9810274}"/>
    <cellStyle name="Normal 4 2 2 5 4 2 4" xfId="11918" xr:uid="{00000000-0005-0000-0000-000030370000}"/>
    <cellStyle name="Normal 4 2 2 5 4 2 5" xfId="28788" xr:uid="{570AFC8D-8D93-4740-A8DE-AD7A7D775169}"/>
    <cellStyle name="Normal 4 2 2 5 4 3" xfId="5556" xr:uid="{00000000-0005-0000-0000-000031370000}"/>
    <cellStyle name="Normal 4 2 2 5 4 3 2" xfId="22426" xr:uid="{00000000-0005-0000-0000-000032370000}"/>
    <cellStyle name="Normal 4 2 2 5 4 3 2 2" xfId="39294" xr:uid="{81CCE8CB-FD2F-4713-8C0A-A003A5DAFEEC}"/>
    <cellStyle name="Normal 4 2 2 5 4 3 3" xfId="13991" xr:uid="{00000000-0005-0000-0000-000033370000}"/>
    <cellStyle name="Normal 4 2 2 5 4 3 4" xfId="30860" xr:uid="{510EDBDD-0B5F-4CD4-9CB7-4E2EB7FE51A0}"/>
    <cellStyle name="Normal 4 2 2 5 4 4" xfId="18208" xr:uid="{00000000-0005-0000-0000-000034370000}"/>
    <cellStyle name="Normal 4 2 2 5 4 4 2" xfId="35077" xr:uid="{AEB1A522-9468-4418-89D0-629233D89E88}"/>
    <cellStyle name="Normal 4 2 2 5 4 5" xfId="9773" xr:uid="{00000000-0005-0000-0000-000035370000}"/>
    <cellStyle name="Normal 4 2 2 5 4 6" xfId="26643" xr:uid="{5514C45B-55B1-40BB-ABA6-52BFD4386A00}"/>
    <cellStyle name="Normal 4 2 2 5 5" xfId="1661" xr:uid="{00000000-0005-0000-0000-000036370000}"/>
    <cellStyle name="Normal 4 2 2 5 5 2" xfId="3891" xr:uid="{00000000-0005-0000-0000-000037370000}"/>
    <cellStyle name="Normal 4 2 2 5 5 2 2" xfId="8114" xr:uid="{00000000-0005-0000-0000-000038370000}"/>
    <cellStyle name="Normal 4 2 2 5 5 2 2 2" xfId="24984" xr:uid="{00000000-0005-0000-0000-000039370000}"/>
    <cellStyle name="Normal 4 2 2 5 5 2 2 2 2" xfId="41852" xr:uid="{7A5152DA-3EB7-4590-B6BD-07E48D3122D7}"/>
    <cellStyle name="Normal 4 2 2 5 5 2 2 3" xfId="16549" xr:uid="{00000000-0005-0000-0000-00003A370000}"/>
    <cellStyle name="Normal 4 2 2 5 5 2 2 4" xfId="33418" xr:uid="{C48845E4-C3CE-4EEF-A8FC-2FA1AFA0836F}"/>
    <cellStyle name="Normal 4 2 2 5 5 2 3" xfId="20766" xr:uid="{00000000-0005-0000-0000-00003B370000}"/>
    <cellStyle name="Normal 4 2 2 5 5 2 3 2" xfId="37635" xr:uid="{151AB1C9-2AE2-4828-8276-CFAFAB6B2892}"/>
    <cellStyle name="Normal 4 2 2 5 5 2 4" xfId="12331" xr:uid="{00000000-0005-0000-0000-00003C370000}"/>
    <cellStyle name="Normal 4 2 2 5 5 2 5" xfId="29201" xr:uid="{8BB5B9D8-EBAA-4901-8B23-747B06FC489F}"/>
    <cellStyle name="Normal 4 2 2 5 5 3" xfId="5969" xr:uid="{00000000-0005-0000-0000-00003D370000}"/>
    <cellStyle name="Normal 4 2 2 5 5 3 2" xfId="22839" xr:uid="{00000000-0005-0000-0000-00003E370000}"/>
    <cellStyle name="Normal 4 2 2 5 5 3 2 2" xfId="39707" xr:uid="{65BBFD73-2609-4205-AADA-04757DD9F2B0}"/>
    <cellStyle name="Normal 4 2 2 5 5 3 3" xfId="14404" xr:uid="{00000000-0005-0000-0000-00003F370000}"/>
    <cellStyle name="Normal 4 2 2 5 5 3 4" xfId="31273" xr:uid="{2FB35F89-ED83-4CE5-9271-277FA4932AF7}"/>
    <cellStyle name="Normal 4 2 2 5 5 4" xfId="18621" xr:uid="{00000000-0005-0000-0000-000040370000}"/>
    <cellStyle name="Normal 4 2 2 5 5 4 2" xfId="35490" xr:uid="{1AB24256-205C-4313-B8E2-C0C81B1AB195}"/>
    <cellStyle name="Normal 4 2 2 5 5 5" xfId="10186" xr:uid="{00000000-0005-0000-0000-000041370000}"/>
    <cellStyle name="Normal 4 2 2 5 5 6" xfId="27056" xr:uid="{BF413D73-49A0-4A7B-AD04-5CD4146D44FF}"/>
    <cellStyle name="Normal 4 2 2 5 6" xfId="2075" xr:uid="{00000000-0005-0000-0000-000042370000}"/>
    <cellStyle name="Normal 4 2 2 5 6 2" xfId="4304" xr:uid="{00000000-0005-0000-0000-000043370000}"/>
    <cellStyle name="Normal 4 2 2 5 6 2 2" xfId="8527" xr:uid="{00000000-0005-0000-0000-000044370000}"/>
    <cellStyle name="Normal 4 2 2 5 6 2 2 2" xfId="25397" xr:uid="{00000000-0005-0000-0000-000045370000}"/>
    <cellStyle name="Normal 4 2 2 5 6 2 2 2 2" xfId="42265" xr:uid="{BB9ED40F-436D-454E-89B0-81B639893C99}"/>
    <cellStyle name="Normal 4 2 2 5 6 2 2 3" xfId="16962" xr:uid="{00000000-0005-0000-0000-000046370000}"/>
    <cellStyle name="Normal 4 2 2 5 6 2 2 4" xfId="33831" xr:uid="{E7867308-84E9-411D-88C7-47A13BA4B533}"/>
    <cellStyle name="Normal 4 2 2 5 6 2 3" xfId="21179" xr:uid="{00000000-0005-0000-0000-000047370000}"/>
    <cellStyle name="Normal 4 2 2 5 6 2 3 2" xfId="38048" xr:uid="{0DEBD098-D777-4751-BF86-EA7E0AAE6E77}"/>
    <cellStyle name="Normal 4 2 2 5 6 2 4" xfId="12744" xr:uid="{00000000-0005-0000-0000-000048370000}"/>
    <cellStyle name="Normal 4 2 2 5 6 2 5" xfId="29614" xr:uid="{D2938520-4E2D-451B-9205-35AC92A1322D}"/>
    <cellStyle name="Normal 4 2 2 5 6 3" xfId="6382" xr:uid="{00000000-0005-0000-0000-000049370000}"/>
    <cellStyle name="Normal 4 2 2 5 6 3 2" xfId="23252" xr:uid="{00000000-0005-0000-0000-00004A370000}"/>
    <cellStyle name="Normal 4 2 2 5 6 3 2 2" xfId="40120" xr:uid="{84C2D338-61D5-47BA-8A57-3A645595A043}"/>
    <cellStyle name="Normal 4 2 2 5 6 3 3" xfId="14817" xr:uid="{00000000-0005-0000-0000-00004B370000}"/>
    <cellStyle name="Normal 4 2 2 5 6 3 4" xfId="31686" xr:uid="{FA074BC0-0FC2-4B5A-A50E-3170D35CB8B2}"/>
    <cellStyle name="Normal 4 2 2 5 6 4" xfId="19034" xr:uid="{00000000-0005-0000-0000-00004C370000}"/>
    <cellStyle name="Normal 4 2 2 5 6 4 2" xfId="35903" xr:uid="{92C31957-B7DE-4CFE-8E6F-5E25BE92BCCA}"/>
    <cellStyle name="Normal 4 2 2 5 6 5" xfId="10599" xr:uid="{00000000-0005-0000-0000-00004D370000}"/>
    <cellStyle name="Normal 4 2 2 5 6 6" xfId="27469" xr:uid="{01095FB1-A642-4340-885C-F40DE1BB4CC1}"/>
    <cellStyle name="Normal 4 2 2 5 7" xfId="2511" xr:uid="{00000000-0005-0000-0000-00004E370000}"/>
    <cellStyle name="Normal 4 2 2 5 7 2" xfId="6795" xr:uid="{00000000-0005-0000-0000-00004F370000}"/>
    <cellStyle name="Normal 4 2 2 5 7 2 2" xfId="23665" xr:uid="{00000000-0005-0000-0000-000050370000}"/>
    <cellStyle name="Normal 4 2 2 5 7 2 2 2" xfId="40533" xr:uid="{1ABA28E0-6E29-430A-A8CE-0CDE68F3120E}"/>
    <cellStyle name="Normal 4 2 2 5 7 2 3" xfId="15230" xr:uid="{00000000-0005-0000-0000-000051370000}"/>
    <cellStyle name="Normal 4 2 2 5 7 2 4" xfId="32099" xr:uid="{3265DAAB-B83C-4E02-A8F9-F0446800C71A}"/>
    <cellStyle name="Normal 4 2 2 5 7 3" xfId="19447" xr:uid="{00000000-0005-0000-0000-000052370000}"/>
    <cellStyle name="Normal 4 2 2 5 7 3 2" xfId="36316" xr:uid="{7FBF8E48-47A4-40BD-B1F1-5004061FFDCD}"/>
    <cellStyle name="Normal 4 2 2 5 7 4" xfId="11012" xr:uid="{00000000-0005-0000-0000-000053370000}"/>
    <cellStyle name="Normal 4 2 2 5 7 5" xfId="27882" xr:uid="{889520B5-616C-4C99-8FD7-93C17463A8ED}"/>
    <cellStyle name="Normal 4 2 2 5 8" xfId="4730" xr:uid="{00000000-0005-0000-0000-000054370000}"/>
    <cellStyle name="Normal 4 2 2 5 8 2" xfId="21600" xr:uid="{00000000-0005-0000-0000-000055370000}"/>
    <cellStyle name="Normal 4 2 2 5 8 2 2" xfId="38468" xr:uid="{09AF4D32-72BD-4C43-9C1B-CA61F0A2D889}"/>
    <cellStyle name="Normal 4 2 2 5 8 3" xfId="13165" xr:uid="{00000000-0005-0000-0000-000056370000}"/>
    <cellStyle name="Normal 4 2 2 5 8 4" xfId="30034" xr:uid="{72C87574-FF2B-4904-B914-AD600F7596D3}"/>
    <cellStyle name="Normal 4 2 2 5 9" xfId="17382" xr:uid="{00000000-0005-0000-0000-000057370000}"/>
    <cellStyle name="Normal 4 2 2 5 9 2" xfId="34251" xr:uid="{A91C264E-8F4D-4A83-98CC-E40116E1388F}"/>
    <cellStyle name="Normal 4 2 2 6" xfId="353" xr:uid="{00000000-0005-0000-0000-000058370000}"/>
    <cellStyle name="Normal 4 2 2 6 10" xfId="25819" xr:uid="{D8D89E05-CE58-4DC2-8ED6-0B49E5D9E018}"/>
    <cellStyle name="Normal 4 2 2 6 2" xfId="830" xr:uid="{00000000-0005-0000-0000-000059370000}"/>
    <cellStyle name="Normal 4 2 2 6 2 2" xfId="3067" xr:uid="{00000000-0005-0000-0000-00005A370000}"/>
    <cellStyle name="Normal 4 2 2 6 2 2 2" xfId="7290" xr:uid="{00000000-0005-0000-0000-00005B370000}"/>
    <cellStyle name="Normal 4 2 2 6 2 2 2 2" xfId="24160" xr:uid="{00000000-0005-0000-0000-00005C370000}"/>
    <cellStyle name="Normal 4 2 2 6 2 2 2 2 2" xfId="41028" xr:uid="{C5CD8CA7-6A2A-41BA-BB2C-2797D5B0939D}"/>
    <cellStyle name="Normal 4 2 2 6 2 2 2 3" xfId="15725" xr:uid="{00000000-0005-0000-0000-00005D370000}"/>
    <cellStyle name="Normal 4 2 2 6 2 2 2 4" xfId="32594" xr:uid="{A954EC31-56DA-465A-AFAB-D10DBF73E165}"/>
    <cellStyle name="Normal 4 2 2 6 2 2 3" xfId="19942" xr:uid="{00000000-0005-0000-0000-00005E370000}"/>
    <cellStyle name="Normal 4 2 2 6 2 2 3 2" xfId="36811" xr:uid="{914FB243-2823-4882-9A3F-C045E893E790}"/>
    <cellStyle name="Normal 4 2 2 6 2 2 4" xfId="11507" xr:uid="{00000000-0005-0000-0000-00005F370000}"/>
    <cellStyle name="Normal 4 2 2 6 2 2 5" xfId="28377" xr:uid="{BD992683-72FC-4E60-A906-56022DB2B6A5}"/>
    <cellStyle name="Normal 4 2 2 6 2 3" xfId="5145" xr:uid="{00000000-0005-0000-0000-000060370000}"/>
    <cellStyle name="Normal 4 2 2 6 2 3 2" xfId="22015" xr:uid="{00000000-0005-0000-0000-000061370000}"/>
    <cellStyle name="Normal 4 2 2 6 2 3 2 2" xfId="38883" xr:uid="{EC50B7DE-A1BD-4E50-8588-B215A695D98F}"/>
    <cellStyle name="Normal 4 2 2 6 2 3 3" xfId="13580" xr:uid="{00000000-0005-0000-0000-000062370000}"/>
    <cellStyle name="Normal 4 2 2 6 2 3 4" xfId="30449" xr:uid="{447E35C3-493B-4D34-8FD8-C5EDA6FF96C6}"/>
    <cellStyle name="Normal 4 2 2 6 2 4" xfId="17797" xr:uid="{00000000-0005-0000-0000-000063370000}"/>
    <cellStyle name="Normal 4 2 2 6 2 4 2" xfId="34666" xr:uid="{65302A21-2C66-4BD4-9331-A498CCF01CFF}"/>
    <cellStyle name="Normal 4 2 2 6 2 5" xfId="9362" xr:uid="{00000000-0005-0000-0000-000064370000}"/>
    <cellStyle name="Normal 4 2 2 6 2 6" xfId="26232" xr:uid="{C6C79C0D-7329-4C01-A326-A7BBA2C751D6}"/>
    <cellStyle name="Normal 4 2 2 6 3" xfId="1250" xr:uid="{00000000-0005-0000-0000-000065370000}"/>
    <cellStyle name="Normal 4 2 2 6 3 2" xfId="3480" xr:uid="{00000000-0005-0000-0000-000066370000}"/>
    <cellStyle name="Normal 4 2 2 6 3 2 2" xfId="7703" xr:uid="{00000000-0005-0000-0000-000067370000}"/>
    <cellStyle name="Normal 4 2 2 6 3 2 2 2" xfId="24573" xr:uid="{00000000-0005-0000-0000-000068370000}"/>
    <cellStyle name="Normal 4 2 2 6 3 2 2 2 2" xfId="41441" xr:uid="{F2B38E51-D54A-4C32-BB88-FB5E05C69C77}"/>
    <cellStyle name="Normal 4 2 2 6 3 2 2 3" xfId="16138" xr:uid="{00000000-0005-0000-0000-000069370000}"/>
    <cellStyle name="Normal 4 2 2 6 3 2 2 4" xfId="33007" xr:uid="{5CE185A3-0AD1-4F21-A67F-6A5AFDBCDA56}"/>
    <cellStyle name="Normal 4 2 2 6 3 2 3" xfId="20355" xr:uid="{00000000-0005-0000-0000-00006A370000}"/>
    <cellStyle name="Normal 4 2 2 6 3 2 3 2" xfId="37224" xr:uid="{01D574F9-C200-439A-80DA-52A0E5335FEF}"/>
    <cellStyle name="Normal 4 2 2 6 3 2 4" xfId="11920" xr:uid="{00000000-0005-0000-0000-00006B370000}"/>
    <cellStyle name="Normal 4 2 2 6 3 2 5" xfId="28790" xr:uid="{9DDF371D-5225-4EA3-8A68-A47A752B82F3}"/>
    <cellStyle name="Normal 4 2 2 6 3 3" xfId="5558" xr:uid="{00000000-0005-0000-0000-00006C370000}"/>
    <cellStyle name="Normal 4 2 2 6 3 3 2" xfId="22428" xr:uid="{00000000-0005-0000-0000-00006D370000}"/>
    <cellStyle name="Normal 4 2 2 6 3 3 2 2" xfId="39296" xr:uid="{80A24F2A-2E53-4425-94A9-D0D1C2504E47}"/>
    <cellStyle name="Normal 4 2 2 6 3 3 3" xfId="13993" xr:uid="{00000000-0005-0000-0000-00006E370000}"/>
    <cellStyle name="Normal 4 2 2 6 3 3 4" xfId="30862" xr:uid="{B1B1BE3A-A6A4-4BFB-908C-0405E6D072DB}"/>
    <cellStyle name="Normal 4 2 2 6 3 4" xfId="18210" xr:uid="{00000000-0005-0000-0000-00006F370000}"/>
    <cellStyle name="Normal 4 2 2 6 3 4 2" xfId="35079" xr:uid="{C40C5D82-10A7-4FB0-AACE-3CB285CE6027}"/>
    <cellStyle name="Normal 4 2 2 6 3 5" xfId="9775" xr:uid="{00000000-0005-0000-0000-000070370000}"/>
    <cellStyle name="Normal 4 2 2 6 3 6" xfId="26645" xr:uid="{0D5C1B42-C9AB-483C-B1C5-0BE93FDBA183}"/>
    <cellStyle name="Normal 4 2 2 6 4" xfId="1663" xr:uid="{00000000-0005-0000-0000-000071370000}"/>
    <cellStyle name="Normal 4 2 2 6 4 2" xfId="3893" xr:uid="{00000000-0005-0000-0000-000072370000}"/>
    <cellStyle name="Normal 4 2 2 6 4 2 2" xfId="8116" xr:uid="{00000000-0005-0000-0000-000073370000}"/>
    <cellStyle name="Normal 4 2 2 6 4 2 2 2" xfId="24986" xr:uid="{00000000-0005-0000-0000-000074370000}"/>
    <cellStyle name="Normal 4 2 2 6 4 2 2 2 2" xfId="41854" xr:uid="{944E44BE-FFDF-4190-891B-79EEBA468861}"/>
    <cellStyle name="Normal 4 2 2 6 4 2 2 3" xfId="16551" xr:uid="{00000000-0005-0000-0000-000075370000}"/>
    <cellStyle name="Normal 4 2 2 6 4 2 2 4" xfId="33420" xr:uid="{53F2D689-8D0D-4702-9E54-2340EB5BA2A8}"/>
    <cellStyle name="Normal 4 2 2 6 4 2 3" xfId="20768" xr:uid="{00000000-0005-0000-0000-000076370000}"/>
    <cellStyle name="Normal 4 2 2 6 4 2 3 2" xfId="37637" xr:uid="{AF6BA5DC-8633-4DE8-8B6D-84F70CBB744F}"/>
    <cellStyle name="Normal 4 2 2 6 4 2 4" xfId="12333" xr:uid="{00000000-0005-0000-0000-000077370000}"/>
    <cellStyle name="Normal 4 2 2 6 4 2 5" xfId="29203" xr:uid="{5D087EE2-6A07-4D3A-B094-133993D8431C}"/>
    <cellStyle name="Normal 4 2 2 6 4 3" xfId="5971" xr:uid="{00000000-0005-0000-0000-000078370000}"/>
    <cellStyle name="Normal 4 2 2 6 4 3 2" xfId="22841" xr:uid="{00000000-0005-0000-0000-000079370000}"/>
    <cellStyle name="Normal 4 2 2 6 4 3 2 2" xfId="39709" xr:uid="{D7F4A905-4ED4-41B8-A177-D27C81CDE97E}"/>
    <cellStyle name="Normal 4 2 2 6 4 3 3" xfId="14406" xr:uid="{00000000-0005-0000-0000-00007A370000}"/>
    <cellStyle name="Normal 4 2 2 6 4 3 4" xfId="31275" xr:uid="{E5721ACE-BF0E-41F2-8080-92E8FD8D8157}"/>
    <cellStyle name="Normal 4 2 2 6 4 4" xfId="18623" xr:uid="{00000000-0005-0000-0000-00007B370000}"/>
    <cellStyle name="Normal 4 2 2 6 4 4 2" xfId="35492" xr:uid="{BCCF640A-525F-4FF7-8F94-C4E52C69D270}"/>
    <cellStyle name="Normal 4 2 2 6 4 5" xfId="10188" xr:uid="{00000000-0005-0000-0000-00007C370000}"/>
    <cellStyle name="Normal 4 2 2 6 4 6" xfId="27058" xr:uid="{536380BC-2375-40D6-849A-93F4F9A5539F}"/>
    <cellStyle name="Normal 4 2 2 6 5" xfId="2077" xr:uid="{00000000-0005-0000-0000-00007D370000}"/>
    <cellStyle name="Normal 4 2 2 6 5 2" xfId="4306" xr:uid="{00000000-0005-0000-0000-00007E370000}"/>
    <cellStyle name="Normal 4 2 2 6 5 2 2" xfId="8529" xr:uid="{00000000-0005-0000-0000-00007F370000}"/>
    <cellStyle name="Normal 4 2 2 6 5 2 2 2" xfId="25399" xr:uid="{00000000-0005-0000-0000-000080370000}"/>
    <cellStyle name="Normal 4 2 2 6 5 2 2 2 2" xfId="42267" xr:uid="{28A90F60-0371-4566-8CBC-D95649274A4E}"/>
    <cellStyle name="Normal 4 2 2 6 5 2 2 3" xfId="16964" xr:uid="{00000000-0005-0000-0000-000081370000}"/>
    <cellStyle name="Normal 4 2 2 6 5 2 2 4" xfId="33833" xr:uid="{AF36B1C5-5D5D-4A62-80A2-A6E83F8663BB}"/>
    <cellStyle name="Normal 4 2 2 6 5 2 3" xfId="21181" xr:uid="{00000000-0005-0000-0000-000082370000}"/>
    <cellStyle name="Normal 4 2 2 6 5 2 3 2" xfId="38050" xr:uid="{563F30BF-A120-41D3-BAA1-F24E37493BBB}"/>
    <cellStyle name="Normal 4 2 2 6 5 2 4" xfId="12746" xr:uid="{00000000-0005-0000-0000-000083370000}"/>
    <cellStyle name="Normal 4 2 2 6 5 2 5" xfId="29616" xr:uid="{CE2A32CE-CC5D-4EAC-A0C6-B3A6255ADAF9}"/>
    <cellStyle name="Normal 4 2 2 6 5 3" xfId="6384" xr:uid="{00000000-0005-0000-0000-000084370000}"/>
    <cellStyle name="Normal 4 2 2 6 5 3 2" xfId="23254" xr:uid="{00000000-0005-0000-0000-000085370000}"/>
    <cellStyle name="Normal 4 2 2 6 5 3 2 2" xfId="40122" xr:uid="{A09A0236-2398-45FC-8E6D-3493FE39AAE2}"/>
    <cellStyle name="Normal 4 2 2 6 5 3 3" xfId="14819" xr:uid="{00000000-0005-0000-0000-000086370000}"/>
    <cellStyle name="Normal 4 2 2 6 5 3 4" xfId="31688" xr:uid="{CCE39238-DAB5-4875-A7AE-1D2D37CD4F60}"/>
    <cellStyle name="Normal 4 2 2 6 5 4" xfId="19036" xr:uid="{00000000-0005-0000-0000-000087370000}"/>
    <cellStyle name="Normal 4 2 2 6 5 4 2" xfId="35905" xr:uid="{D623131E-B6D2-4D1A-ADB9-BB9662111784}"/>
    <cellStyle name="Normal 4 2 2 6 5 5" xfId="10601" xr:uid="{00000000-0005-0000-0000-000088370000}"/>
    <cellStyle name="Normal 4 2 2 6 5 6" xfId="27471" xr:uid="{ACC5B96E-1672-48F0-85F9-59779AE3AB66}"/>
    <cellStyle name="Normal 4 2 2 6 6" xfId="2513" xr:uid="{00000000-0005-0000-0000-000089370000}"/>
    <cellStyle name="Normal 4 2 2 6 6 2" xfId="6797" xr:uid="{00000000-0005-0000-0000-00008A370000}"/>
    <cellStyle name="Normal 4 2 2 6 6 2 2" xfId="23667" xr:uid="{00000000-0005-0000-0000-00008B370000}"/>
    <cellStyle name="Normal 4 2 2 6 6 2 2 2" xfId="40535" xr:uid="{79FBFE72-C205-4BD2-B7F7-CBCC2885795E}"/>
    <cellStyle name="Normal 4 2 2 6 6 2 3" xfId="15232" xr:uid="{00000000-0005-0000-0000-00008C370000}"/>
    <cellStyle name="Normal 4 2 2 6 6 2 4" xfId="32101" xr:uid="{12ABCB68-89FA-426C-A2B9-CDC02CF91E81}"/>
    <cellStyle name="Normal 4 2 2 6 6 3" xfId="19449" xr:uid="{00000000-0005-0000-0000-00008D370000}"/>
    <cellStyle name="Normal 4 2 2 6 6 3 2" xfId="36318" xr:uid="{0E1576EC-1CCA-439F-9789-2C50B2F66EEA}"/>
    <cellStyle name="Normal 4 2 2 6 6 4" xfId="11014" xr:uid="{00000000-0005-0000-0000-00008E370000}"/>
    <cellStyle name="Normal 4 2 2 6 6 5" xfId="27884" xr:uid="{4D2B0C6F-AC0D-4DD5-889D-AAF855227BD3}"/>
    <cellStyle name="Normal 4 2 2 6 7" xfId="4732" xr:uid="{00000000-0005-0000-0000-00008F370000}"/>
    <cellStyle name="Normal 4 2 2 6 7 2" xfId="21602" xr:uid="{00000000-0005-0000-0000-000090370000}"/>
    <cellStyle name="Normal 4 2 2 6 7 2 2" xfId="38470" xr:uid="{DD1B2B6A-6006-44DF-8DAA-9ABE8EA090E5}"/>
    <cellStyle name="Normal 4 2 2 6 7 3" xfId="13167" xr:uid="{00000000-0005-0000-0000-000091370000}"/>
    <cellStyle name="Normal 4 2 2 6 7 4" xfId="30036" xr:uid="{B52F6DCA-CEF7-4AD4-9B13-2B22BCCF7AE6}"/>
    <cellStyle name="Normal 4 2 2 6 8" xfId="17384" xr:uid="{00000000-0005-0000-0000-000092370000}"/>
    <cellStyle name="Normal 4 2 2 6 8 2" xfId="34253" xr:uid="{A30BFBF4-7AAF-41DA-9B85-F5100D8D0344}"/>
    <cellStyle name="Normal 4 2 2 6 9" xfId="8949" xr:uid="{00000000-0005-0000-0000-000093370000}"/>
    <cellStyle name="Normal 4 2 2 7" xfId="815" xr:uid="{00000000-0005-0000-0000-000094370000}"/>
    <cellStyle name="Normal 4 2 2 7 2" xfId="3052" xr:uid="{00000000-0005-0000-0000-000095370000}"/>
    <cellStyle name="Normal 4 2 2 7 2 2" xfId="7275" xr:uid="{00000000-0005-0000-0000-000096370000}"/>
    <cellStyle name="Normal 4 2 2 7 2 2 2" xfId="24145" xr:uid="{00000000-0005-0000-0000-000097370000}"/>
    <cellStyle name="Normal 4 2 2 7 2 2 2 2" xfId="41013" xr:uid="{54AEDDB9-B740-4118-9378-0B46781746A8}"/>
    <cellStyle name="Normal 4 2 2 7 2 2 3" xfId="15710" xr:uid="{00000000-0005-0000-0000-000098370000}"/>
    <cellStyle name="Normal 4 2 2 7 2 2 4" xfId="32579" xr:uid="{A21529E9-C8CC-4073-933A-DF2C12F19841}"/>
    <cellStyle name="Normal 4 2 2 7 2 3" xfId="19927" xr:uid="{00000000-0005-0000-0000-000099370000}"/>
    <cellStyle name="Normal 4 2 2 7 2 3 2" xfId="36796" xr:uid="{F576E8D0-557F-46DF-95FB-83163C33D9DC}"/>
    <cellStyle name="Normal 4 2 2 7 2 4" xfId="11492" xr:uid="{00000000-0005-0000-0000-00009A370000}"/>
    <cellStyle name="Normal 4 2 2 7 2 5" xfId="28362" xr:uid="{AD60794D-0085-45CA-8646-55AC17EB50B8}"/>
    <cellStyle name="Normal 4 2 2 7 3" xfId="5130" xr:uid="{00000000-0005-0000-0000-00009B370000}"/>
    <cellStyle name="Normal 4 2 2 7 3 2" xfId="22000" xr:uid="{00000000-0005-0000-0000-00009C370000}"/>
    <cellStyle name="Normal 4 2 2 7 3 2 2" xfId="38868" xr:uid="{D7AC5E3E-14DC-46D9-8FD0-BF6CD8A26BA7}"/>
    <cellStyle name="Normal 4 2 2 7 3 3" xfId="13565" xr:uid="{00000000-0005-0000-0000-00009D370000}"/>
    <cellStyle name="Normal 4 2 2 7 3 4" xfId="30434" xr:uid="{D67435BD-3953-4D5F-9469-7201D6F6E7D9}"/>
    <cellStyle name="Normal 4 2 2 7 4" xfId="17782" xr:uid="{00000000-0005-0000-0000-00009E370000}"/>
    <cellStyle name="Normal 4 2 2 7 4 2" xfId="34651" xr:uid="{B015BFAE-7F43-463C-9029-C105C9713471}"/>
    <cellStyle name="Normal 4 2 2 7 5" xfId="9347" xr:uid="{00000000-0005-0000-0000-00009F370000}"/>
    <cellStyle name="Normal 4 2 2 7 6" xfId="26217" xr:uid="{5D4CEAC1-70FE-46F6-8FAC-75801E83C282}"/>
    <cellStyle name="Normal 4 2 2 8" xfId="1235" xr:uid="{00000000-0005-0000-0000-0000A0370000}"/>
    <cellStyle name="Normal 4 2 2 8 2" xfId="3465" xr:uid="{00000000-0005-0000-0000-0000A1370000}"/>
    <cellStyle name="Normal 4 2 2 8 2 2" xfId="7688" xr:uid="{00000000-0005-0000-0000-0000A2370000}"/>
    <cellStyle name="Normal 4 2 2 8 2 2 2" xfId="24558" xr:uid="{00000000-0005-0000-0000-0000A3370000}"/>
    <cellStyle name="Normal 4 2 2 8 2 2 2 2" xfId="41426" xr:uid="{88DBE9BF-4FF8-428C-9041-587060DF004F}"/>
    <cellStyle name="Normal 4 2 2 8 2 2 3" xfId="16123" xr:uid="{00000000-0005-0000-0000-0000A4370000}"/>
    <cellStyle name="Normal 4 2 2 8 2 2 4" xfId="32992" xr:uid="{B927577A-6E1E-4D79-AFF7-DFCC5C587621}"/>
    <cellStyle name="Normal 4 2 2 8 2 3" xfId="20340" xr:uid="{00000000-0005-0000-0000-0000A5370000}"/>
    <cellStyle name="Normal 4 2 2 8 2 3 2" xfId="37209" xr:uid="{7B6D3B07-0544-4C65-8722-0CB77F922BA3}"/>
    <cellStyle name="Normal 4 2 2 8 2 4" xfId="11905" xr:uid="{00000000-0005-0000-0000-0000A6370000}"/>
    <cellStyle name="Normal 4 2 2 8 2 5" xfId="28775" xr:uid="{59CD160C-9A61-4E54-896E-5FD3B2BAFBC5}"/>
    <cellStyle name="Normal 4 2 2 8 3" xfId="5543" xr:uid="{00000000-0005-0000-0000-0000A7370000}"/>
    <cellStyle name="Normal 4 2 2 8 3 2" xfId="22413" xr:uid="{00000000-0005-0000-0000-0000A8370000}"/>
    <cellStyle name="Normal 4 2 2 8 3 2 2" xfId="39281" xr:uid="{0DE8A08F-227B-475E-99AD-E0E940A0D0E8}"/>
    <cellStyle name="Normal 4 2 2 8 3 3" xfId="13978" xr:uid="{00000000-0005-0000-0000-0000A9370000}"/>
    <cellStyle name="Normal 4 2 2 8 3 4" xfId="30847" xr:uid="{679E8F73-02F1-4AFC-A89D-0A7ED1FD5671}"/>
    <cellStyle name="Normal 4 2 2 8 4" xfId="18195" xr:uid="{00000000-0005-0000-0000-0000AA370000}"/>
    <cellStyle name="Normal 4 2 2 8 4 2" xfId="35064" xr:uid="{E64363E4-6CB6-410C-AF32-355F81F0F122}"/>
    <cellStyle name="Normal 4 2 2 8 5" xfId="9760" xr:uid="{00000000-0005-0000-0000-0000AB370000}"/>
    <cellStyle name="Normal 4 2 2 8 6" xfId="26630" xr:uid="{EE9E8015-49D6-4C14-990A-7CF01395ADE4}"/>
    <cellStyle name="Normal 4 2 2 9" xfId="1648" xr:uid="{00000000-0005-0000-0000-0000AC370000}"/>
    <cellStyle name="Normal 4 2 2 9 2" xfId="3878" xr:uid="{00000000-0005-0000-0000-0000AD370000}"/>
    <cellStyle name="Normal 4 2 2 9 2 2" xfId="8101" xr:uid="{00000000-0005-0000-0000-0000AE370000}"/>
    <cellStyle name="Normal 4 2 2 9 2 2 2" xfId="24971" xr:uid="{00000000-0005-0000-0000-0000AF370000}"/>
    <cellStyle name="Normal 4 2 2 9 2 2 2 2" xfId="41839" xr:uid="{FBE5EAED-A505-4B44-B1EE-BD646C6A280C}"/>
    <cellStyle name="Normal 4 2 2 9 2 2 3" xfId="16536" xr:uid="{00000000-0005-0000-0000-0000B0370000}"/>
    <cellStyle name="Normal 4 2 2 9 2 2 4" xfId="33405" xr:uid="{81F49BB8-D493-4039-B020-4D00D260F1F8}"/>
    <cellStyle name="Normal 4 2 2 9 2 3" xfId="20753" xr:uid="{00000000-0005-0000-0000-0000B1370000}"/>
    <cellStyle name="Normal 4 2 2 9 2 3 2" xfId="37622" xr:uid="{31446488-9595-4D10-A0FE-44268000C615}"/>
    <cellStyle name="Normal 4 2 2 9 2 4" xfId="12318" xr:uid="{00000000-0005-0000-0000-0000B2370000}"/>
    <cellStyle name="Normal 4 2 2 9 2 5" xfId="29188" xr:uid="{637ABFC4-B7C0-43A3-AC63-8D2C3220556E}"/>
    <cellStyle name="Normal 4 2 2 9 3" xfId="5956" xr:uid="{00000000-0005-0000-0000-0000B3370000}"/>
    <cellStyle name="Normal 4 2 2 9 3 2" xfId="22826" xr:uid="{00000000-0005-0000-0000-0000B4370000}"/>
    <cellStyle name="Normal 4 2 2 9 3 2 2" xfId="39694" xr:uid="{CEB535B9-1417-4356-9AD5-9683390F3E0E}"/>
    <cellStyle name="Normal 4 2 2 9 3 3" xfId="14391" xr:uid="{00000000-0005-0000-0000-0000B5370000}"/>
    <cellStyle name="Normal 4 2 2 9 3 4" xfId="31260" xr:uid="{97B24514-20E4-42AC-B568-0B4BDAC6FBBA}"/>
    <cellStyle name="Normal 4 2 2 9 4" xfId="18608" xr:uid="{00000000-0005-0000-0000-0000B6370000}"/>
    <cellStyle name="Normal 4 2 2 9 4 2" xfId="35477" xr:uid="{18126701-F144-460B-BFCC-E43AAA5D9BAE}"/>
    <cellStyle name="Normal 4 2 2 9 5" xfId="10173" xr:uid="{00000000-0005-0000-0000-0000B7370000}"/>
    <cellStyle name="Normal 4 2 2 9 6" xfId="27043" xr:uid="{2184BDB7-7AC0-4D62-B8D0-03B29288E951}"/>
    <cellStyle name="Normal 4 2 3" xfId="354" xr:uid="{00000000-0005-0000-0000-0000B8370000}"/>
    <cellStyle name="Normal 4 2 4" xfId="355" xr:uid="{00000000-0005-0000-0000-0000B9370000}"/>
    <cellStyle name="Normal 4 2 4 10" xfId="4733" xr:uid="{00000000-0005-0000-0000-0000BA370000}"/>
    <cellStyle name="Normal 4 2 4 10 2" xfId="21603" xr:uid="{00000000-0005-0000-0000-0000BB370000}"/>
    <cellStyle name="Normal 4 2 4 10 2 2" xfId="38471" xr:uid="{2C7D8553-6BFA-472C-A9D0-8AC09E5FE70B}"/>
    <cellStyle name="Normal 4 2 4 10 3" xfId="13168" xr:uid="{00000000-0005-0000-0000-0000BC370000}"/>
    <cellStyle name="Normal 4 2 4 10 4" xfId="30037" xr:uid="{B8F45696-8641-446C-8777-CBF350981DDD}"/>
    <cellStyle name="Normal 4 2 4 11" xfId="17385" xr:uid="{00000000-0005-0000-0000-0000BD370000}"/>
    <cellStyle name="Normal 4 2 4 11 2" xfId="34254" xr:uid="{747CFA49-FCCA-47F8-827B-C3E830687950}"/>
    <cellStyle name="Normal 4 2 4 12" xfId="8950" xr:uid="{00000000-0005-0000-0000-0000BE370000}"/>
    <cellStyle name="Normal 4 2 4 13" xfId="25820" xr:uid="{37B46955-F83C-4E74-A3D7-D330A3BD2BBC}"/>
    <cellStyle name="Normal 4 2 4 2" xfId="356" xr:uid="{00000000-0005-0000-0000-0000BF370000}"/>
    <cellStyle name="Normal 4 2 4 2 10" xfId="17386" xr:uid="{00000000-0005-0000-0000-0000C0370000}"/>
    <cellStyle name="Normal 4 2 4 2 10 2" xfId="34255" xr:uid="{CFEBCBD2-AF47-4435-99E4-8A270B01DA67}"/>
    <cellStyle name="Normal 4 2 4 2 11" xfId="8951" xr:uid="{00000000-0005-0000-0000-0000C1370000}"/>
    <cellStyle name="Normal 4 2 4 2 12" xfId="25821" xr:uid="{7752F81A-2932-4E2B-BDB0-0BE43C4D9564}"/>
    <cellStyle name="Normal 4 2 4 2 2" xfId="357" xr:uid="{00000000-0005-0000-0000-0000C2370000}"/>
    <cellStyle name="Normal 4 2 4 2 2 10" xfId="8952" xr:uid="{00000000-0005-0000-0000-0000C3370000}"/>
    <cellStyle name="Normal 4 2 4 2 2 11" xfId="25822" xr:uid="{63E0BED2-BB95-4358-A368-B0B8E8CB147F}"/>
    <cellStyle name="Normal 4 2 4 2 2 2" xfId="358" xr:uid="{00000000-0005-0000-0000-0000C4370000}"/>
    <cellStyle name="Normal 4 2 4 2 2 2 10" xfId="25823" xr:uid="{562CDF3E-1C11-4867-995F-4225FCB75A8C}"/>
    <cellStyle name="Normal 4 2 4 2 2 2 2" xfId="834" xr:uid="{00000000-0005-0000-0000-0000C5370000}"/>
    <cellStyle name="Normal 4 2 4 2 2 2 2 2" xfId="3071" xr:uid="{00000000-0005-0000-0000-0000C6370000}"/>
    <cellStyle name="Normal 4 2 4 2 2 2 2 2 2" xfId="7294" xr:uid="{00000000-0005-0000-0000-0000C7370000}"/>
    <cellStyle name="Normal 4 2 4 2 2 2 2 2 2 2" xfId="24164" xr:uid="{00000000-0005-0000-0000-0000C8370000}"/>
    <cellStyle name="Normal 4 2 4 2 2 2 2 2 2 2 2" xfId="41032" xr:uid="{30D0B810-DA3A-4962-8235-5449E92B827E}"/>
    <cellStyle name="Normal 4 2 4 2 2 2 2 2 2 3" xfId="15729" xr:uid="{00000000-0005-0000-0000-0000C9370000}"/>
    <cellStyle name="Normal 4 2 4 2 2 2 2 2 2 4" xfId="32598" xr:uid="{8E865F8A-10E8-4A07-B6C8-A8CFEF7D5529}"/>
    <cellStyle name="Normal 4 2 4 2 2 2 2 2 3" xfId="19946" xr:uid="{00000000-0005-0000-0000-0000CA370000}"/>
    <cellStyle name="Normal 4 2 4 2 2 2 2 2 3 2" xfId="36815" xr:uid="{2D31E1C4-3F8F-4072-814B-3336030AD0DE}"/>
    <cellStyle name="Normal 4 2 4 2 2 2 2 2 4" xfId="11511" xr:uid="{00000000-0005-0000-0000-0000CB370000}"/>
    <cellStyle name="Normal 4 2 4 2 2 2 2 2 5" xfId="28381" xr:uid="{71BFE6DC-AFD8-47AD-B40F-BDD2ACFB5087}"/>
    <cellStyle name="Normal 4 2 4 2 2 2 2 3" xfId="5149" xr:uid="{00000000-0005-0000-0000-0000CC370000}"/>
    <cellStyle name="Normal 4 2 4 2 2 2 2 3 2" xfId="22019" xr:uid="{00000000-0005-0000-0000-0000CD370000}"/>
    <cellStyle name="Normal 4 2 4 2 2 2 2 3 2 2" xfId="38887" xr:uid="{9D1DB6A1-148C-46DF-A039-30582484B89D}"/>
    <cellStyle name="Normal 4 2 4 2 2 2 2 3 3" xfId="13584" xr:uid="{00000000-0005-0000-0000-0000CE370000}"/>
    <cellStyle name="Normal 4 2 4 2 2 2 2 3 4" xfId="30453" xr:uid="{CB0F343A-7293-4971-AFFC-7074664D9B42}"/>
    <cellStyle name="Normal 4 2 4 2 2 2 2 4" xfId="17801" xr:uid="{00000000-0005-0000-0000-0000CF370000}"/>
    <cellStyle name="Normal 4 2 4 2 2 2 2 4 2" xfId="34670" xr:uid="{9E3517D5-4A38-452D-A9EF-7A90D58798B5}"/>
    <cellStyle name="Normal 4 2 4 2 2 2 2 5" xfId="9366" xr:uid="{00000000-0005-0000-0000-0000D0370000}"/>
    <cellStyle name="Normal 4 2 4 2 2 2 2 6" xfId="26236" xr:uid="{4292926E-D949-4D69-BFF9-C1D39FF06BC9}"/>
    <cellStyle name="Normal 4 2 4 2 2 2 3" xfId="1254" xr:uid="{00000000-0005-0000-0000-0000D1370000}"/>
    <cellStyle name="Normal 4 2 4 2 2 2 3 2" xfId="3484" xr:uid="{00000000-0005-0000-0000-0000D2370000}"/>
    <cellStyle name="Normal 4 2 4 2 2 2 3 2 2" xfId="7707" xr:uid="{00000000-0005-0000-0000-0000D3370000}"/>
    <cellStyle name="Normal 4 2 4 2 2 2 3 2 2 2" xfId="24577" xr:uid="{00000000-0005-0000-0000-0000D4370000}"/>
    <cellStyle name="Normal 4 2 4 2 2 2 3 2 2 2 2" xfId="41445" xr:uid="{FDF3A289-BF39-4A01-9790-B095F0EE1B8B}"/>
    <cellStyle name="Normal 4 2 4 2 2 2 3 2 2 3" xfId="16142" xr:uid="{00000000-0005-0000-0000-0000D5370000}"/>
    <cellStyle name="Normal 4 2 4 2 2 2 3 2 2 4" xfId="33011" xr:uid="{44101E26-DB5E-48BE-8370-57CED1DE942B}"/>
    <cellStyle name="Normal 4 2 4 2 2 2 3 2 3" xfId="20359" xr:uid="{00000000-0005-0000-0000-0000D6370000}"/>
    <cellStyle name="Normal 4 2 4 2 2 2 3 2 3 2" xfId="37228" xr:uid="{A8319E0A-5B7E-451E-925E-0FFAA94FEAF7}"/>
    <cellStyle name="Normal 4 2 4 2 2 2 3 2 4" xfId="11924" xr:uid="{00000000-0005-0000-0000-0000D7370000}"/>
    <cellStyle name="Normal 4 2 4 2 2 2 3 2 5" xfId="28794" xr:uid="{C3F0A411-8BDB-4587-9CE5-604660EA8074}"/>
    <cellStyle name="Normal 4 2 4 2 2 2 3 3" xfId="5562" xr:uid="{00000000-0005-0000-0000-0000D8370000}"/>
    <cellStyle name="Normal 4 2 4 2 2 2 3 3 2" xfId="22432" xr:uid="{00000000-0005-0000-0000-0000D9370000}"/>
    <cellStyle name="Normal 4 2 4 2 2 2 3 3 2 2" xfId="39300" xr:uid="{5CE3F69C-26AC-4349-BFE8-A685E842C1BB}"/>
    <cellStyle name="Normal 4 2 4 2 2 2 3 3 3" xfId="13997" xr:uid="{00000000-0005-0000-0000-0000DA370000}"/>
    <cellStyle name="Normal 4 2 4 2 2 2 3 3 4" xfId="30866" xr:uid="{762F706F-2546-418A-8DA7-DF34A9F690A9}"/>
    <cellStyle name="Normal 4 2 4 2 2 2 3 4" xfId="18214" xr:uid="{00000000-0005-0000-0000-0000DB370000}"/>
    <cellStyle name="Normal 4 2 4 2 2 2 3 4 2" xfId="35083" xr:uid="{5AC616DC-1701-4EC1-94B5-787DFBB361FB}"/>
    <cellStyle name="Normal 4 2 4 2 2 2 3 5" xfId="9779" xr:uid="{00000000-0005-0000-0000-0000DC370000}"/>
    <cellStyle name="Normal 4 2 4 2 2 2 3 6" xfId="26649" xr:uid="{99BA93E6-5047-44F6-9AB9-994EAB28A2E4}"/>
    <cellStyle name="Normal 4 2 4 2 2 2 4" xfId="1667" xr:uid="{00000000-0005-0000-0000-0000DD370000}"/>
    <cellStyle name="Normal 4 2 4 2 2 2 4 2" xfId="3897" xr:uid="{00000000-0005-0000-0000-0000DE370000}"/>
    <cellStyle name="Normal 4 2 4 2 2 2 4 2 2" xfId="8120" xr:uid="{00000000-0005-0000-0000-0000DF370000}"/>
    <cellStyle name="Normal 4 2 4 2 2 2 4 2 2 2" xfId="24990" xr:uid="{00000000-0005-0000-0000-0000E0370000}"/>
    <cellStyle name="Normal 4 2 4 2 2 2 4 2 2 2 2" xfId="41858" xr:uid="{15E7ADEA-0048-455A-AA7B-77200CD7F1F7}"/>
    <cellStyle name="Normal 4 2 4 2 2 2 4 2 2 3" xfId="16555" xr:uid="{00000000-0005-0000-0000-0000E1370000}"/>
    <cellStyle name="Normal 4 2 4 2 2 2 4 2 2 4" xfId="33424" xr:uid="{D7D3AAF2-1331-4F9B-B4FC-40F532170304}"/>
    <cellStyle name="Normal 4 2 4 2 2 2 4 2 3" xfId="20772" xr:uid="{00000000-0005-0000-0000-0000E2370000}"/>
    <cellStyle name="Normal 4 2 4 2 2 2 4 2 3 2" xfId="37641" xr:uid="{DF615E31-E15F-451C-B595-910898D69E09}"/>
    <cellStyle name="Normal 4 2 4 2 2 2 4 2 4" xfId="12337" xr:uid="{00000000-0005-0000-0000-0000E3370000}"/>
    <cellStyle name="Normal 4 2 4 2 2 2 4 2 5" xfId="29207" xr:uid="{B1449E7A-A986-4B2E-A69C-E2842E7628D7}"/>
    <cellStyle name="Normal 4 2 4 2 2 2 4 3" xfId="5975" xr:uid="{00000000-0005-0000-0000-0000E4370000}"/>
    <cellStyle name="Normal 4 2 4 2 2 2 4 3 2" xfId="22845" xr:uid="{00000000-0005-0000-0000-0000E5370000}"/>
    <cellStyle name="Normal 4 2 4 2 2 2 4 3 2 2" xfId="39713" xr:uid="{9D68F8C8-C3F0-4417-B1BA-6AC177BDDA76}"/>
    <cellStyle name="Normal 4 2 4 2 2 2 4 3 3" xfId="14410" xr:uid="{00000000-0005-0000-0000-0000E6370000}"/>
    <cellStyle name="Normal 4 2 4 2 2 2 4 3 4" xfId="31279" xr:uid="{A835178C-E142-4FF2-9484-E554D887B03D}"/>
    <cellStyle name="Normal 4 2 4 2 2 2 4 4" xfId="18627" xr:uid="{00000000-0005-0000-0000-0000E7370000}"/>
    <cellStyle name="Normal 4 2 4 2 2 2 4 4 2" xfId="35496" xr:uid="{19FE0E38-8EC0-4F8D-A849-F7B213E1BC92}"/>
    <cellStyle name="Normal 4 2 4 2 2 2 4 5" xfId="10192" xr:uid="{00000000-0005-0000-0000-0000E8370000}"/>
    <cellStyle name="Normal 4 2 4 2 2 2 4 6" xfId="27062" xr:uid="{A354D8A1-8274-43F8-936E-63237EAE62FD}"/>
    <cellStyle name="Normal 4 2 4 2 2 2 5" xfId="2081" xr:uid="{00000000-0005-0000-0000-0000E9370000}"/>
    <cellStyle name="Normal 4 2 4 2 2 2 5 2" xfId="4310" xr:uid="{00000000-0005-0000-0000-0000EA370000}"/>
    <cellStyle name="Normal 4 2 4 2 2 2 5 2 2" xfId="8533" xr:uid="{00000000-0005-0000-0000-0000EB370000}"/>
    <cellStyle name="Normal 4 2 4 2 2 2 5 2 2 2" xfId="25403" xr:uid="{00000000-0005-0000-0000-0000EC370000}"/>
    <cellStyle name="Normal 4 2 4 2 2 2 5 2 2 2 2" xfId="42271" xr:uid="{611D398B-3AB9-4DC9-B0E1-791CAADCA0D8}"/>
    <cellStyle name="Normal 4 2 4 2 2 2 5 2 2 3" xfId="16968" xr:uid="{00000000-0005-0000-0000-0000ED370000}"/>
    <cellStyle name="Normal 4 2 4 2 2 2 5 2 2 4" xfId="33837" xr:uid="{3B26348F-6716-41C3-8BD2-60CFA265E074}"/>
    <cellStyle name="Normal 4 2 4 2 2 2 5 2 3" xfId="21185" xr:uid="{00000000-0005-0000-0000-0000EE370000}"/>
    <cellStyle name="Normal 4 2 4 2 2 2 5 2 3 2" xfId="38054" xr:uid="{A7349249-77B8-42A1-BF99-D742ABA6099B}"/>
    <cellStyle name="Normal 4 2 4 2 2 2 5 2 4" xfId="12750" xr:uid="{00000000-0005-0000-0000-0000EF370000}"/>
    <cellStyle name="Normal 4 2 4 2 2 2 5 2 5" xfId="29620" xr:uid="{50793FA3-71B8-474B-8EC1-22CB7B344396}"/>
    <cellStyle name="Normal 4 2 4 2 2 2 5 3" xfId="6388" xr:uid="{00000000-0005-0000-0000-0000F0370000}"/>
    <cellStyle name="Normal 4 2 4 2 2 2 5 3 2" xfId="23258" xr:uid="{00000000-0005-0000-0000-0000F1370000}"/>
    <cellStyle name="Normal 4 2 4 2 2 2 5 3 2 2" xfId="40126" xr:uid="{EDB110F7-78E0-4148-9EA8-BBE649B75B8C}"/>
    <cellStyle name="Normal 4 2 4 2 2 2 5 3 3" xfId="14823" xr:uid="{00000000-0005-0000-0000-0000F2370000}"/>
    <cellStyle name="Normal 4 2 4 2 2 2 5 3 4" xfId="31692" xr:uid="{3B5C024B-32E3-4ABF-848D-27DA2FFB22B0}"/>
    <cellStyle name="Normal 4 2 4 2 2 2 5 4" xfId="19040" xr:uid="{00000000-0005-0000-0000-0000F3370000}"/>
    <cellStyle name="Normal 4 2 4 2 2 2 5 4 2" xfId="35909" xr:uid="{83AE09AB-C206-4092-A54C-74D2D4911176}"/>
    <cellStyle name="Normal 4 2 4 2 2 2 5 5" xfId="10605" xr:uid="{00000000-0005-0000-0000-0000F4370000}"/>
    <cellStyle name="Normal 4 2 4 2 2 2 5 6" xfId="27475" xr:uid="{14A57E11-5ABA-41FA-9270-B1D2388DEAD8}"/>
    <cellStyle name="Normal 4 2 4 2 2 2 6" xfId="2517" xr:uid="{00000000-0005-0000-0000-0000F5370000}"/>
    <cellStyle name="Normal 4 2 4 2 2 2 6 2" xfId="6801" xr:uid="{00000000-0005-0000-0000-0000F6370000}"/>
    <cellStyle name="Normal 4 2 4 2 2 2 6 2 2" xfId="23671" xr:uid="{00000000-0005-0000-0000-0000F7370000}"/>
    <cellStyle name="Normal 4 2 4 2 2 2 6 2 2 2" xfId="40539" xr:uid="{247A8846-6A18-4A23-B7B2-3DAC77860B5E}"/>
    <cellStyle name="Normal 4 2 4 2 2 2 6 2 3" xfId="15236" xr:uid="{00000000-0005-0000-0000-0000F8370000}"/>
    <cellStyle name="Normal 4 2 4 2 2 2 6 2 4" xfId="32105" xr:uid="{29EC981D-AE49-4B5A-A619-66A05C158F51}"/>
    <cellStyle name="Normal 4 2 4 2 2 2 6 3" xfId="19453" xr:uid="{00000000-0005-0000-0000-0000F9370000}"/>
    <cellStyle name="Normal 4 2 4 2 2 2 6 3 2" xfId="36322" xr:uid="{61C39BE5-295D-4900-BF86-FBE0E419E110}"/>
    <cellStyle name="Normal 4 2 4 2 2 2 6 4" xfId="11018" xr:uid="{00000000-0005-0000-0000-0000FA370000}"/>
    <cellStyle name="Normal 4 2 4 2 2 2 6 5" xfId="27888" xr:uid="{DA1EF74F-2D0C-43BE-A8A5-FA3FD5E89D32}"/>
    <cellStyle name="Normal 4 2 4 2 2 2 7" xfId="4736" xr:uid="{00000000-0005-0000-0000-0000FB370000}"/>
    <cellStyle name="Normal 4 2 4 2 2 2 7 2" xfId="21606" xr:uid="{00000000-0005-0000-0000-0000FC370000}"/>
    <cellStyle name="Normal 4 2 4 2 2 2 7 2 2" xfId="38474" xr:uid="{64D1C3C1-BA9E-429F-A48F-D39A5733C264}"/>
    <cellStyle name="Normal 4 2 4 2 2 2 7 3" xfId="13171" xr:uid="{00000000-0005-0000-0000-0000FD370000}"/>
    <cellStyle name="Normal 4 2 4 2 2 2 7 4" xfId="30040" xr:uid="{45E46C01-DDB4-4654-81C0-0FA1100497F8}"/>
    <cellStyle name="Normal 4 2 4 2 2 2 8" xfId="17388" xr:uid="{00000000-0005-0000-0000-0000FE370000}"/>
    <cellStyle name="Normal 4 2 4 2 2 2 8 2" xfId="34257" xr:uid="{F7C789FE-2909-4384-9731-BE616ED20EED}"/>
    <cellStyle name="Normal 4 2 4 2 2 2 9" xfId="8953" xr:uid="{00000000-0005-0000-0000-0000FF370000}"/>
    <cellStyle name="Normal 4 2 4 2 2 3" xfId="833" xr:uid="{00000000-0005-0000-0000-000000380000}"/>
    <cellStyle name="Normal 4 2 4 2 2 3 2" xfId="3070" xr:uid="{00000000-0005-0000-0000-000001380000}"/>
    <cellStyle name="Normal 4 2 4 2 2 3 2 2" xfId="7293" xr:uid="{00000000-0005-0000-0000-000002380000}"/>
    <cellStyle name="Normal 4 2 4 2 2 3 2 2 2" xfId="24163" xr:uid="{00000000-0005-0000-0000-000003380000}"/>
    <cellStyle name="Normal 4 2 4 2 2 3 2 2 2 2" xfId="41031" xr:uid="{DD443E94-8056-40B3-A9D2-9FBAD5C6B869}"/>
    <cellStyle name="Normal 4 2 4 2 2 3 2 2 3" xfId="15728" xr:uid="{00000000-0005-0000-0000-000004380000}"/>
    <cellStyle name="Normal 4 2 4 2 2 3 2 2 4" xfId="32597" xr:uid="{687EFCAC-161B-4D0A-80EB-0FD92676EB74}"/>
    <cellStyle name="Normal 4 2 4 2 2 3 2 3" xfId="19945" xr:uid="{00000000-0005-0000-0000-000005380000}"/>
    <cellStyle name="Normal 4 2 4 2 2 3 2 3 2" xfId="36814" xr:uid="{3FCF26DE-81A0-49E8-A2B0-C0FE9E503BDB}"/>
    <cellStyle name="Normal 4 2 4 2 2 3 2 4" xfId="11510" xr:uid="{00000000-0005-0000-0000-000006380000}"/>
    <cellStyle name="Normal 4 2 4 2 2 3 2 5" xfId="28380" xr:uid="{A687DD6E-2151-436D-AC46-5FF66203F6E6}"/>
    <cellStyle name="Normal 4 2 4 2 2 3 3" xfId="5148" xr:uid="{00000000-0005-0000-0000-000007380000}"/>
    <cellStyle name="Normal 4 2 4 2 2 3 3 2" xfId="22018" xr:uid="{00000000-0005-0000-0000-000008380000}"/>
    <cellStyle name="Normal 4 2 4 2 2 3 3 2 2" xfId="38886" xr:uid="{CC387E46-2405-473D-AC3E-56C42B258EBF}"/>
    <cellStyle name="Normal 4 2 4 2 2 3 3 3" xfId="13583" xr:uid="{00000000-0005-0000-0000-000009380000}"/>
    <cellStyle name="Normal 4 2 4 2 2 3 3 4" xfId="30452" xr:uid="{ECA669FC-B84D-48B1-BB7F-C7866988CD3B}"/>
    <cellStyle name="Normal 4 2 4 2 2 3 4" xfId="17800" xr:uid="{00000000-0005-0000-0000-00000A380000}"/>
    <cellStyle name="Normal 4 2 4 2 2 3 4 2" xfId="34669" xr:uid="{7187606E-CAAC-4249-84DC-94CC1D6E0E24}"/>
    <cellStyle name="Normal 4 2 4 2 2 3 5" xfId="9365" xr:uid="{00000000-0005-0000-0000-00000B380000}"/>
    <cellStyle name="Normal 4 2 4 2 2 3 6" xfId="26235" xr:uid="{F3E1927F-A623-4D47-9DC0-4269BD60FE12}"/>
    <cellStyle name="Normal 4 2 4 2 2 4" xfId="1253" xr:uid="{00000000-0005-0000-0000-00000C380000}"/>
    <cellStyle name="Normal 4 2 4 2 2 4 2" xfId="3483" xr:uid="{00000000-0005-0000-0000-00000D380000}"/>
    <cellStyle name="Normal 4 2 4 2 2 4 2 2" xfId="7706" xr:uid="{00000000-0005-0000-0000-00000E380000}"/>
    <cellStyle name="Normal 4 2 4 2 2 4 2 2 2" xfId="24576" xr:uid="{00000000-0005-0000-0000-00000F380000}"/>
    <cellStyle name="Normal 4 2 4 2 2 4 2 2 2 2" xfId="41444" xr:uid="{1E0E8AEB-A436-439B-9703-095ACA04F943}"/>
    <cellStyle name="Normal 4 2 4 2 2 4 2 2 3" xfId="16141" xr:uid="{00000000-0005-0000-0000-000010380000}"/>
    <cellStyle name="Normal 4 2 4 2 2 4 2 2 4" xfId="33010" xr:uid="{13CE6BA4-F65B-4098-AE94-359AC58B0683}"/>
    <cellStyle name="Normal 4 2 4 2 2 4 2 3" xfId="20358" xr:uid="{00000000-0005-0000-0000-000011380000}"/>
    <cellStyle name="Normal 4 2 4 2 2 4 2 3 2" xfId="37227" xr:uid="{97CB9CCB-F80D-40F6-A32C-937F7DA9DEB5}"/>
    <cellStyle name="Normal 4 2 4 2 2 4 2 4" xfId="11923" xr:uid="{00000000-0005-0000-0000-000012380000}"/>
    <cellStyle name="Normal 4 2 4 2 2 4 2 5" xfId="28793" xr:uid="{9FEC7FA3-BD5B-4F96-AB35-72A6B818E153}"/>
    <cellStyle name="Normal 4 2 4 2 2 4 3" xfId="5561" xr:uid="{00000000-0005-0000-0000-000013380000}"/>
    <cellStyle name="Normal 4 2 4 2 2 4 3 2" xfId="22431" xr:uid="{00000000-0005-0000-0000-000014380000}"/>
    <cellStyle name="Normal 4 2 4 2 2 4 3 2 2" xfId="39299" xr:uid="{0F51E82C-6990-46E4-A3B9-BA0B593C95CC}"/>
    <cellStyle name="Normal 4 2 4 2 2 4 3 3" xfId="13996" xr:uid="{00000000-0005-0000-0000-000015380000}"/>
    <cellStyle name="Normal 4 2 4 2 2 4 3 4" xfId="30865" xr:uid="{7526F7D1-81D6-4ADA-A7ED-1158BAF40865}"/>
    <cellStyle name="Normal 4 2 4 2 2 4 4" xfId="18213" xr:uid="{00000000-0005-0000-0000-000016380000}"/>
    <cellStyle name="Normal 4 2 4 2 2 4 4 2" xfId="35082" xr:uid="{A5EEC4AE-CBB5-49DF-91E5-A265A7CCCBA6}"/>
    <cellStyle name="Normal 4 2 4 2 2 4 5" xfId="9778" xr:uid="{00000000-0005-0000-0000-000017380000}"/>
    <cellStyle name="Normal 4 2 4 2 2 4 6" xfId="26648" xr:uid="{BA5AC618-0F8F-48B5-966E-320589267B8E}"/>
    <cellStyle name="Normal 4 2 4 2 2 5" xfId="1666" xr:uid="{00000000-0005-0000-0000-000018380000}"/>
    <cellStyle name="Normal 4 2 4 2 2 5 2" xfId="3896" xr:uid="{00000000-0005-0000-0000-000019380000}"/>
    <cellStyle name="Normal 4 2 4 2 2 5 2 2" xfId="8119" xr:uid="{00000000-0005-0000-0000-00001A380000}"/>
    <cellStyle name="Normal 4 2 4 2 2 5 2 2 2" xfId="24989" xr:uid="{00000000-0005-0000-0000-00001B380000}"/>
    <cellStyle name="Normal 4 2 4 2 2 5 2 2 2 2" xfId="41857" xr:uid="{01EB351F-32ED-4080-BC81-3829271B2908}"/>
    <cellStyle name="Normal 4 2 4 2 2 5 2 2 3" xfId="16554" xr:uid="{00000000-0005-0000-0000-00001C380000}"/>
    <cellStyle name="Normal 4 2 4 2 2 5 2 2 4" xfId="33423" xr:uid="{9CC2614E-8033-480C-916C-7AE283A5E094}"/>
    <cellStyle name="Normal 4 2 4 2 2 5 2 3" xfId="20771" xr:uid="{00000000-0005-0000-0000-00001D380000}"/>
    <cellStyle name="Normal 4 2 4 2 2 5 2 3 2" xfId="37640" xr:uid="{D871064F-9AEF-4371-A84E-332DA193EA41}"/>
    <cellStyle name="Normal 4 2 4 2 2 5 2 4" xfId="12336" xr:uid="{00000000-0005-0000-0000-00001E380000}"/>
    <cellStyle name="Normal 4 2 4 2 2 5 2 5" xfId="29206" xr:uid="{CC45AE81-7BB6-40A8-9F82-E9D6F38B48A0}"/>
    <cellStyle name="Normal 4 2 4 2 2 5 3" xfId="5974" xr:uid="{00000000-0005-0000-0000-00001F380000}"/>
    <cellStyle name="Normal 4 2 4 2 2 5 3 2" xfId="22844" xr:uid="{00000000-0005-0000-0000-000020380000}"/>
    <cellStyle name="Normal 4 2 4 2 2 5 3 2 2" xfId="39712" xr:uid="{CEDAEB98-F716-44A1-8ABF-45A50836D523}"/>
    <cellStyle name="Normal 4 2 4 2 2 5 3 3" xfId="14409" xr:uid="{00000000-0005-0000-0000-000021380000}"/>
    <cellStyle name="Normal 4 2 4 2 2 5 3 4" xfId="31278" xr:uid="{6B381684-5B5C-41B0-BE6A-6017D5F5E54B}"/>
    <cellStyle name="Normal 4 2 4 2 2 5 4" xfId="18626" xr:uid="{00000000-0005-0000-0000-000022380000}"/>
    <cellStyle name="Normal 4 2 4 2 2 5 4 2" xfId="35495" xr:uid="{51DCF47B-0ABB-4DAB-8C6E-19751A5B0B36}"/>
    <cellStyle name="Normal 4 2 4 2 2 5 5" xfId="10191" xr:uid="{00000000-0005-0000-0000-000023380000}"/>
    <cellStyle name="Normal 4 2 4 2 2 5 6" xfId="27061" xr:uid="{0E6E8D1D-CA7A-47D0-ACE2-120A4BFDBAF2}"/>
    <cellStyle name="Normal 4 2 4 2 2 6" xfId="2080" xr:uid="{00000000-0005-0000-0000-000024380000}"/>
    <cellStyle name="Normal 4 2 4 2 2 6 2" xfId="4309" xr:uid="{00000000-0005-0000-0000-000025380000}"/>
    <cellStyle name="Normal 4 2 4 2 2 6 2 2" xfId="8532" xr:uid="{00000000-0005-0000-0000-000026380000}"/>
    <cellStyle name="Normal 4 2 4 2 2 6 2 2 2" xfId="25402" xr:uid="{00000000-0005-0000-0000-000027380000}"/>
    <cellStyle name="Normal 4 2 4 2 2 6 2 2 2 2" xfId="42270" xr:uid="{FA28C12A-A1AD-4781-A4B2-835D72886A62}"/>
    <cellStyle name="Normal 4 2 4 2 2 6 2 2 3" xfId="16967" xr:uid="{00000000-0005-0000-0000-000028380000}"/>
    <cellStyle name="Normal 4 2 4 2 2 6 2 2 4" xfId="33836" xr:uid="{A02BA07D-D4A0-4E36-9637-432DAE171354}"/>
    <cellStyle name="Normal 4 2 4 2 2 6 2 3" xfId="21184" xr:uid="{00000000-0005-0000-0000-000029380000}"/>
    <cellStyle name="Normal 4 2 4 2 2 6 2 3 2" xfId="38053" xr:uid="{B7D278D2-10D9-474D-BE3F-FD471A988D0F}"/>
    <cellStyle name="Normal 4 2 4 2 2 6 2 4" xfId="12749" xr:uid="{00000000-0005-0000-0000-00002A380000}"/>
    <cellStyle name="Normal 4 2 4 2 2 6 2 5" xfId="29619" xr:uid="{C6FB74AE-70F2-498A-B48C-0B859229A3CC}"/>
    <cellStyle name="Normal 4 2 4 2 2 6 3" xfId="6387" xr:uid="{00000000-0005-0000-0000-00002B380000}"/>
    <cellStyle name="Normal 4 2 4 2 2 6 3 2" xfId="23257" xr:uid="{00000000-0005-0000-0000-00002C380000}"/>
    <cellStyle name="Normal 4 2 4 2 2 6 3 2 2" xfId="40125" xr:uid="{D892D6E0-142F-4EF0-8FBE-27DFA4B0D336}"/>
    <cellStyle name="Normal 4 2 4 2 2 6 3 3" xfId="14822" xr:uid="{00000000-0005-0000-0000-00002D380000}"/>
    <cellStyle name="Normal 4 2 4 2 2 6 3 4" xfId="31691" xr:uid="{B00E6983-EB14-4AC9-B44E-5CFA8669E09C}"/>
    <cellStyle name="Normal 4 2 4 2 2 6 4" xfId="19039" xr:uid="{00000000-0005-0000-0000-00002E380000}"/>
    <cellStyle name="Normal 4 2 4 2 2 6 4 2" xfId="35908" xr:uid="{F985F805-FE23-4A3A-8126-76BC8A98F4EC}"/>
    <cellStyle name="Normal 4 2 4 2 2 6 5" xfId="10604" xr:uid="{00000000-0005-0000-0000-00002F380000}"/>
    <cellStyle name="Normal 4 2 4 2 2 6 6" xfId="27474" xr:uid="{A5AF4E00-5FEB-478B-85CD-F998AE5EA9A7}"/>
    <cellStyle name="Normal 4 2 4 2 2 7" xfId="2516" xr:uid="{00000000-0005-0000-0000-000030380000}"/>
    <cellStyle name="Normal 4 2 4 2 2 7 2" xfId="6800" xr:uid="{00000000-0005-0000-0000-000031380000}"/>
    <cellStyle name="Normal 4 2 4 2 2 7 2 2" xfId="23670" xr:uid="{00000000-0005-0000-0000-000032380000}"/>
    <cellStyle name="Normal 4 2 4 2 2 7 2 2 2" xfId="40538" xr:uid="{2ED27F68-BBBD-4A86-89CF-E91926427824}"/>
    <cellStyle name="Normal 4 2 4 2 2 7 2 3" xfId="15235" xr:uid="{00000000-0005-0000-0000-000033380000}"/>
    <cellStyle name="Normal 4 2 4 2 2 7 2 4" xfId="32104" xr:uid="{56B175F7-248D-4D1D-8E99-E633D497AE9F}"/>
    <cellStyle name="Normal 4 2 4 2 2 7 3" xfId="19452" xr:uid="{00000000-0005-0000-0000-000034380000}"/>
    <cellStyle name="Normal 4 2 4 2 2 7 3 2" xfId="36321" xr:uid="{960C4D04-0F1B-4A36-84E7-C145096A3A39}"/>
    <cellStyle name="Normal 4 2 4 2 2 7 4" xfId="11017" xr:uid="{00000000-0005-0000-0000-000035380000}"/>
    <cellStyle name="Normal 4 2 4 2 2 7 5" xfId="27887" xr:uid="{ACB364EE-1842-4250-B64E-AE51768B83FC}"/>
    <cellStyle name="Normal 4 2 4 2 2 8" xfId="4735" xr:uid="{00000000-0005-0000-0000-000036380000}"/>
    <cellStyle name="Normal 4 2 4 2 2 8 2" xfId="21605" xr:uid="{00000000-0005-0000-0000-000037380000}"/>
    <cellStyle name="Normal 4 2 4 2 2 8 2 2" xfId="38473" xr:uid="{22D3D0D4-9A2A-4EE2-A91B-94620EF27366}"/>
    <cellStyle name="Normal 4 2 4 2 2 8 3" xfId="13170" xr:uid="{00000000-0005-0000-0000-000038380000}"/>
    <cellStyle name="Normal 4 2 4 2 2 8 4" xfId="30039" xr:uid="{DBA7F108-A257-4623-9BD4-1D5C97E4B484}"/>
    <cellStyle name="Normal 4 2 4 2 2 9" xfId="17387" xr:uid="{00000000-0005-0000-0000-000039380000}"/>
    <cellStyle name="Normal 4 2 4 2 2 9 2" xfId="34256" xr:uid="{60DB9558-BF24-473F-BBA3-49BED7905C4D}"/>
    <cellStyle name="Normal 4 2 4 2 3" xfId="359" xr:uid="{00000000-0005-0000-0000-00003A380000}"/>
    <cellStyle name="Normal 4 2 4 2 3 10" xfId="25824" xr:uid="{A7CEB9F5-69D5-4F99-A18C-186417F853CD}"/>
    <cellStyle name="Normal 4 2 4 2 3 2" xfId="835" xr:uid="{00000000-0005-0000-0000-00003B380000}"/>
    <cellStyle name="Normal 4 2 4 2 3 2 2" xfId="3072" xr:uid="{00000000-0005-0000-0000-00003C380000}"/>
    <cellStyle name="Normal 4 2 4 2 3 2 2 2" xfId="7295" xr:uid="{00000000-0005-0000-0000-00003D380000}"/>
    <cellStyle name="Normal 4 2 4 2 3 2 2 2 2" xfId="24165" xr:uid="{00000000-0005-0000-0000-00003E380000}"/>
    <cellStyle name="Normal 4 2 4 2 3 2 2 2 2 2" xfId="41033" xr:uid="{6830EDE3-C0CD-46D6-81E8-10AE4DA8FAF6}"/>
    <cellStyle name="Normal 4 2 4 2 3 2 2 2 3" xfId="15730" xr:uid="{00000000-0005-0000-0000-00003F380000}"/>
    <cellStyle name="Normal 4 2 4 2 3 2 2 2 4" xfId="32599" xr:uid="{30D48E3C-E400-4F9B-A054-10C6E3A38007}"/>
    <cellStyle name="Normal 4 2 4 2 3 2 2 3" xfId="19947" xr:uid="{00000000-0005-0000-0000-000040380000}"/>
    <cellStyle name="Normal 4 2 4 2 3 2 2 3 2" xfId="36816" xr:uid="{369440E7-66A0-4F32-90C9-13C92125BEB0}"/>
    <cellStyle name="Normal 4 2 4 2 3 2 2 4" xfId="11512" xr:uid="{00000000-0005-0000-0000-000041380000}"/>
    <cellStyle name="Normal 4 2 4 2 3 2 2 5" xfId="28382" xr:uid="{583F516F-6700-494E-A520-0E1D301E064B}"/>
    <cellStyle name="Normal 4 2 4 2 3 2 3" xfId="5150" xr:uid="{00000000-0005-0000-0000-000042380000}"/>
    <cellStyle name="Normal 4 2 4 2 3 2 3 2" xfId="22020" xr:uid="{00000000-0005-0000-0000-000043380000}"/>
    <cellStyle name="Normal 4 2 4 2 3 2 3 2 2" xfId="38888" xr:uid="{62126251-2A64-4FD5-B708-CA54F5EAD9F0}"/>
    <cellStyle name="Normal 4 2 4 2 3 2 3 3" xfId="13585" xr:uid="{00000000-0005-0000-0000-000044380000}"/>
    <cellStyle name="Normal 4 2 4 2 3 2 3 4" xfId="30454" xr:uid="{A692C713-35D0-409E-B41D-E96C3D188140}"/>
    <cellStyle name="Normal 4 2 4 2 3 2 4" xfId="17802" xr:uid="{00000000-0005-0000-0000-000045380000}"/>
    <cellStyle name="Normal 4 2 4 2 3 2 4 2" xfId="34671" xr:uid="{BE73F054-1805-4438-8E10-EBF8F58504CD}"/>
    <cellStyle name="Normal 4 2 4 2 3 2 5" xfId="9367" xr:uid="{00000000-0005-0000-0000-000046380000}"/>
    <cellStyle name="Normal 4 2 4 2 3 2 6" xfId="26237" xr:uid="{EB673BC5-4187-4781-A5AE-B5BE9F7648CE}"/>
    <cellStyle name="Normal 4 2 4 2 3 3" xfId="1255" xr:uid="{00000000-0005-0000-0000-000047380000}"/>
    <cellStyle name="Normal 4 2 4 2 3 3 2" xfId="3485" xr:uid="{00000000-0005-0000-0000-000048380000}"/>
    <cellStyle name="Normal 4 2 4 2 3 3 2 2" xfId="7708" xr:uid="{00000000-0005-0000-0000-000049380000}"/>
    <cellStyle name="Normal 4 2 4 2 3 3 2 2 2" xfId="24578" xr:uid="{00000000-0005-0000-0000-00004A380000}"/>
    <cellStyle name="Normal 4 2 4 2 3 3 2 2 2 2" xfId="41446" xr:uid="{2D506CB1-F1C9-47CB-8319-EB70CC643659}"/>
    <cellStyle name="Normal 4 2 4 2 3 3 2 2 3" xfId="16143" xr:uid="{00000000-0005-0000-0000-00004B380000}"/>
    <cellStyle name="Normal 4 2 4 2 3 3 2 2 4" xfId="33012" xr:uid="{DCB60084-C9BD-4554-BA86-980970386480}"/>
    <cellStyle name="Normal 4 2 4 2 3 3 2 3" xfId="20360" xr:uid="{00000000-0005-0000-0000-00004C380000}"/>
    <cellStyle name="Normal 4 2 4 2 3 3 2 3 2" xfId="37229" xr:uid="{D48367CC-4DFA-46CE-891F-B6611EF13FB8}"/>
    <cellStyle name="Normal 4 2 4 2 3 3 2 4" xfId="11925" xr:uid="{00000000-0005-0000-0000-00004D380000}"/>
    <cellStyle name="Normal 4 2 4 2 3 3 2 5" xfId="28795" xr:uid="{2018F822-1024-4DC7-8752-CD69D3C9E50F}"/>
    <cellStyle name="Normal 4 2 4 2 3 3 3" xfId="5563" xr:uid="{00000000-0005-0000-0000-00004E380000}"/>
    <cellStyle name="Normal 4 2 4 2 3 3 3 2" xfId="22433" xr:uid="{00000000-0005-0000-0000-00004F380000}"/>
    <cellStyle name="Normal 4 2 4 2 3 3 3 2 2" xfId="39301" xr:uid="{4C80ACFB-AE2D-4683-A0DE-B4B9D287D6E8}"/>
    <cellStyle name="Normal 4 2 4 2 3 3 3 3" xfId="13998" xr:uid="{00000000-0005-0000-0000-000050380000}"/>
    <cellStyle name="Normal 4 2 4 2 3 3 3 4" xfId="30867" xr:uid="{93E94B73-6850-476B-8341-42DED6AD8D26}"/>
    <cellStyle name="Normal 4 2 4 2 3 3 4" xfId="18215" xr:uid="{00000000-0005-0000-0000-000051380000}"/>
    <cellStyle name="Normal 4 2 4 2 3 3 4 2" xfId="35084" xr:uid="{BEE730CF-CA7B-4DF5-BC15-8D1FDB751F21}"/>
    <cellStyle name="Normal 4 2 4 2 3 3 5" xfId="9780" xr:uid="{00000000-0005-0000-0000-000052380000}"/>
    <cellStyle name="Normal 4 2 4 2 3 3 6" xfId="26650" xr:uid="{5CFCFB77-2F24-4B92-A8E1-E6402FDF363A}"/>
    <cellStyle name="Normal 4 2 4 2 3 4" xfId="1668" xr:uid="{00000000-0005-0000-0000-000053380000}"/>
    <cellStyle name="Normal 4 2 4 2 3 4 2" xfId="3898" xr:uid="{00000000-0005-0000-0000-000054380000}"/>
    <cellStyle name="Normal 4 2 4 2 3 4 2 2" xfId="8121" xr:uid="{00000000-0005-0000-0000-000055380000}"/>
    <cellStyle name="Normal 4 2 4 2 3 4 2 2 2" xfId="24991" xr:uid="{00000000-0005-0000-0000-000056380000}"/>
    <cellStyle name="Normal 4 2 4 2 3 4 2 2 2 2" xfId="41859" xr:uid="{B7863656-8023-4018-8B4A-F5FDDFC16BC5}"/>
    <cellStyle name="Normal 4 2 4 2 3 4 2 2 3" xfId="16556" xr:uid="{00000000-0005-0000-0000-000057380000}"/>
    <cellStyle name="Normal 4 2 4 2 3 4 2 2 4" xfId="33425" xr:uid="{5E5D5828-2EC5-4195-8A50-74142950B231}"/>
    <cellStyle name="Normal 4 2 4 2 3 4 2 3" xfId="20773" xr:uid="{00000000-0005-0000-0000-000058380000}"/>
    <cellStyle name="Normal 4 2 4 2 3 4 2 3 2" xfId="37642" xr:uid="{2565ED6A-F12D-4EA8-B9F3-8C40B26F5B71}"/>
    <cellStyle name="Normal 4 2 4 2 3 4 2 4" xfId="12338" xr:uid="{00000000-0005-0000-0000-000059380000}"/>
    <cellStyle name="Normal 4 2 4 2 3 4 2 5" xfId="29208" xr:uid="{B9ACC6D5-2C02-41DB-8327-046378ADBD12}"/>
    <cellStyle name="Normal 4 2 4 2 3 4 3" xfId="5976" xr:uid="{00000000-0005-0000-0000-00005A380000}"/>
    <cellStyle name="Normal 4 2 4 2 3 4 3 2" xfId="22846" xr:uid="{00000000-0005-0000-0000-00005B380000}"/>
    <cellStyle name="Normal 4 2 4 2 3 4 3 2 2" xfId="39714" xr:uid="{A93B2D54-8187-41BC-84A7-95C495791597}"/>
    <cellStyle name="Normal 4 2 4 2 3 4 3 3" xfId="14411" xr:uid="{00000000-0005-0000-0000-00005C380000}"/>
    <cellStyle name="Normal 4 2 4 2 3 4 3 4" xfId="31280" xr:uid="{0248C7A5-7CCB-43D2-8D0A-F3DDCFB4B723}"/>
    <cellStyle name="Normal 4 2 4 2 3 4 4" xfId="18628" xr:uid="{00000000-0005-0000-0000-00005D380000}"/>
    <cellStyle name="Normal 4 2 4 2 3 4 4 2" xfId="35497" xr:uid="{9F49B157-87AF-42A4-9055-0745FB2C817F}"/>
    <cellStyle name="Normal 4 2 4 2 3 4 5" xfId="10193" xr:uid="{00000000-0005-0000-0000-00005E380000}"/>
    <cellStyle name="Normal 4 2 4 2 3 4 6" xfId="27063" xr:uid="{D8954614-F051-4884-A3E1-C1C77A776CAE}"/>
    <cellStyle name="Normal 4 2 4 2 3 5" xfId="2082" xr:uid="{00000000-0005-0000-0000-00005F380000}"/>
    <cellStyle name="Normal 4 2 4 2 3 5 2" xfId="4311" xr:uid="{00000000-0005-0000-0000-000060380000}"/>
    <cellStyle name="Normal 4 2 4 2 3 5 2 2" xfId="8534" xr:uid="{00000000-0005-0000-0000-000061380000}"/>
    <cellStyle name="Normal 4 2 4 2 3 5 2 2 2" xfId="25404" xr:uid="{00000000-0005-0000-0000-000062380000}"/>
    <cellStyle name="Normal 4 2 4 2 3 5 2 2 2 2" xfId="42272" xr:uid="{5A09964B-4E53-4AAB-8F8C-E4B1B3D7AF6C}"/>
    <cellStyle name="Normal 4 2 4 2 3 5 2 2 3" xfId="16969" xr:uid="{00000000-0005-0000-0000-000063380000}"/>
    <cellStyle name="Normal 4 2 4 2 3 5 2 2 4" xfId="33838" xr:uid="{372B4758-E72A-479C-9D5A-4A96A2AF3547}"/>
    <cellStyle name="Normal 4 2 4 2 3 5 2 3" xfId="21186" xr:uid="{00000000-0005-0000-0000-000064380000}"/>
    <cellStyle name="Normal 4 2 4 2 3 5 2 3 2" xfId="38055" xr:uid="{4C1551A6-93CB-4DA2-B084-2740F0A253A1}"/>
    <cellStyle name="Normal 4 2 4 2 3 5 2 4" xfId="12751" xr:uid="{00000000-0005-0000-0000-000065380000}"/>
    <cellStyle name="Normal 4 2 4 2 3 5 2 5" xfId="29621" xr:uid="{68A625F4-C338-4B10-8F2B-CB05A6839C39}"/>
    <cellStyle name="Normal 4 2 4 2 3 5 3" xfId="6389" xr:uid="{00000000-0005-0000-0000-000066380000}"/>
    <cellStyle name="Normal 4 2 4 2 3 5 3 2" xfId="23259" xr:uid="{00000000-0005-0000-0000-000067380000}"/>
    <cellStyle name="Normal 4 2 4 2 3 5 3 2 2" xfId="40127" xr:uid="{2B6D7FFF-6B14-4957-973D-B6F06FC41ECF}"/>
    <cellStyle name="Normal 4 2 4 2 3 5 3 3" xfId="14824" xr:uid="{00000000-0005-0000-0000-000068380000}"/>
    <cellStyle name="Normal 4 2 4 2 3 5 3 4" xfId="31693" xr:uid="{722B8D59-979A-4FF2-8F31-1DAA580DF034}"/>
    <cellStyle name="Normal 4 2 4 2 3 5 4" xfId="19041" xr:uid="{00000000-0005-0000-0000-000069380000}"/>
    <cellStyle name="Normal 4 2 4 2 3 5 4 2" xfId="35910" xr:uid="{536CD71A-1F83-4BF1-9719-13758843497D}"/>
    <cellStyle name="Normal 4 2 4 2 3 5 5" xfId="10606" xr:uid="{00000000-0005-0000-0000-00006A380000}"/>
    <cellStyle name="Normal 4 2 4 2 3 5 6" xfId="27476" xr:uid="{C78362B7-A72A-4551-B441-E4608AAC1D80}"/>
    <cellStyle name="Normal 4 2 4 2 3 6" xfId="2518" xr:uid="{00000000-0005-0000-0000-00006B380000}"/>
    <cellStyle name="Normal 4 2 4 2 3 6 2" xfId="6802" xr:uid="{00000000-0005-0000-0000-00006C380000}"/>
    <cellStyle name="Normal 4 2 4 2 3 6 2 2" xfId="23672" xr:uid="{00000000-0005-0000-0000-00006D380000}"/>
    <cellStyle name="Normal 4 2 4 2 3 6 2 2 2" xfId="40540" xr:uid="{78D1161A-79BA-49D8-ADF8-A94A7AA47B02}"/>
    <cellStyle name="Normal 4 2 4 2 3 6 2 3" xfId="15237" xr:uid="{00000000-0005-0000-0000-00006E380000}"/>
    <cellStyle name="Normal 4 2 4 2 3 6 2 4" xfId="32106" xr:uid="{52DA459F-5B1C-4D83-9E76-58A03F10E8A2}"/>
    <cellStyle name="Normal 4 2 4 2 3 6 3" xfId="19454" xr:uid="{00000000-0005-0000-0000-00006F380000}"/>
    <cellStyle name="Normal 4 2 4 2 3 6 3 2" xfId="36323" xr:uid="{BADA8EFB-CD13-4495-A9D8-DABABA86D298}"/>
    <cellStyle name="Normal 4 2 4 2 3 6 4" xfId="11019" xr:uid="{00000000-0005-0000-0000-000070380000}"/>
    <cellStyle name="Normal 4 2 4 2 3 6 5" xfId="27889" xr:uid="{82F02FF3-CD24-4ADF-921F-8313EF81DF81}"/>
    <cellStyle name="Normal 4 2 4 2 3 7" xfId="4737" xr:uid="{00000000-0005-0000-0000-000071380000}"/>
    <cellStyle name="Normal 4 2 4 2 3 7 2" xfId="21607" xr:uid="{00000000-0005-0000-0000-000072380000}"/>
    <cellStyle name="Normal 4 2 4 2 3 7 2 2" xfId="38475" xr:uid="{AB33BFE7-4E21-4CF3-B1FF-D8ED81CD4C3E}"/>
    <cellStyle name="Normal 4 2 4 2 3 7 3" xfId="13172" xr:uid="{00000000-0005-0000-0000-000073380000}"/>
    <cellStyle name="Normal 4 2 4 2 3 7 4" xfId="30041" xr:uid="{9BCD0E8D-1AA1-4B33-93E3-F15BAB1A368D}"/>
    <cellStyle name="Normal 4 2 4 2 3 8" xfId="17389" xr:uid="{00000000-0005-0000-0000-000074380000}"/>
    <cellStyle name="Normal 4 2 4 2 3 8 2" xfId="34258" xr:uid="{FBB44F25-C14E-44E3-843B-7462783242B8}"/>
    <cellStyle name="Normal 4 2 4 2 3 9" xfId="8954" xr:uid="{00000000-0005-0000-0000-000075380000}"/>
    <cellStyle name="Normal 4 2 4 2 4" xfId="832" xr:uid="{00000000-0005-0000-0000-000076380000}"/>
    <cellStyle name="Normal 4 2 4 2 4 2" xfId="3069" xr:uid="{00000000-0005-0000-0000-000077380000}"/>
    <cellStyle name="Normal 4 2 4 2 4 2 2" xfId="7292" xr:uid="{00000000-0005-0000-0000-000078380000}"/>
    <cellStyle name="Normal 4 2 4 2 4 2 2 2" xfId="24162" xr:uid="{00000000-0005-0000-0000-000079380000}"/>
    <cellStyle name="Normal 4 2 4 2 4 2 2 2 2" xfId="41030" xr:uid="{0A861CB8-5E9C-497D-B275-7F158BC63D3B}"/>
    <cellStyle name="Normal 4 2 4 2 4 2 2 3" xfId="15727" xr:uid="{00000000-0005-0000-0000-00007A380000}"/>
    <cellStyle name="Normal 4 2 4 2 4 2 2 4" xfId="32596" xr:uid="{2F1A0599-D220-4614-B4CC-835B970D1775}"/>
    <cellStyle name="Normal 4 2 4 2 4 2 3" xfId="19944" xr:uid="{00000000-0005-0000-0000-00007B380000}"/>
    <cellStyle name="Normal 4 2 4 2 4 2 3 2" xfId="36813" xr:uid="{CD9B1655-FBDA-4700-A262-06A0562379BF}"/>
    <cellStyle name="Normal 4 2 4 2 4 2 4" xfId="11509" xr:uid="{00000000-0005-0000-0000-00007C380000}"/>
    <cellStyle name="Normal 4 2 4 2 4 2 5" xfId="28379" xr:uid="{3F9E45B2-FF31-4AD7-BC21-DF158DF27716}"/>
    <cellStyle name="Normal 4 2 4 2 4 3" xfId="5147" xr:uid="{00000000-0005-0000-0000-00007D380000}"/>
    <cellStyle name="Normal 4 2 4 2 4 3 2" xfId="22017" xr:uid="{00000000-0005-0000-0000-00007E380000}"/>
    <cellStyle name="Normal 4 2 4 2 4 3 2 2" xfId="38885" xr:uid="{EE9EB952-645F-47FC-8593-AC505727A4AB}"/>
    <cellStyle name="Normal 4 2 4 2 4 3 3" xfId="13582" xr:uid="{00000000-0005-0000-0000-00007F380000}"/>
    <cellStyle name="Normal 4 2 4 2 4 3 4" xfId="30451" xr:uid="{D122F425-DDDD-4A74-88B3-27BF386A45A5}"/>
    <cellStyle name="Normal 4 2 4 2 4 4" xfId="17799" xr:uid="{00000000-0005-0000-0000-000080380000}"/>
    <cellStyle name="Normal 4 2 4 2 4 4 2" xfId="34668" xr:uid="{37625120-694C-473B-ACEE-938EED845238}"/>
    <cellStyle name="Normal 4 2 4 2 4 5" xfId="9364" xr:uid="{00000000-0005-0000-0000-000081380000}"/>
    <cellStyle name="Normal 4 2 4 2 4 6" xfId="26234" xr:uid="{70D016D3-3D48-447A-B789-AC1419A801BC}"/>
    <cellStyle name="Normal 4 2 4 2 5" xfId="1252" xr:uid="{00000000-0005-0000-0000-000082380000}"/>
    <cellStyle name="Normal 4 2 4 2 5 2" xfId="3482" xr:uid="{00000000-0005-0000-0000-000083380000}"/>
    <cellStyle name="Normal 4 2 4 2 5 2 2" xfId="7705" xr:uid="{00000000-0005-0000-0000-000084380000}"/>
    <cellStyle name="Normal 4 2 4 2 5 2 2 2" xfId="24575" xr:uid="{00000000-0005-0000-0000-000085380000}"/>
    <cellStyle name="Normal 4 2 4 2 5 2 2 2 2" xfId="41443" xr:uid="{7A91F4BA-A076-4AA1-997F-64E6F8D42679}"/>
    <cellStyle name="Normal 4 2 4 2 5 2 2 3" xfId="16140" xr:uid="{00000000-0005-0000-0000-000086380000}"/>
    <cellStyle name="Normal 4 2 4 2 5 2 2 4" xfId="33009" xr:uid="{8093ADD4-3EBA-4F91-BA9D-BD8E6B73E688}"/>
    <cellStyle name="Normal 4 2 4 2 5 2 3" xfId="20357" xr:uid="{00000000-0005-0000-0000-000087380000}"/>
    <cellStyle name="Normal 4 2 4 2 5 2 3 2" xfId="37226" xr:uid="{0497AB8F-5E5C-44D9-8AA6-4E4421300AC2}"/>
    <cellStyle name="Normal 4 2 4 2 5 2 4" xfId="11922" xr:uid="{00000000-0005-0000-0000-000088380000}"/>
    <cellStyle name="Normal 4 2 4 2 5 2 5" xfId="28792" xr:uid="{F046D823-AC4C-4FD8-8B5E-F4BF25611213}"/>
    <cellStyle name="Normal 4 2 4 2 5 3" xfId="5560" xr:uid="{00000000-0005-0000-0000-000089380000}"/>
    <cellStyle name="Normal 4 2 4 2 5 3 2" xfId="22430" xr:uid="{00000000-0005-0000-0000-00008A380000}"/>
    <cellStyle name="Normal 4 2 4 2 5 3 2 2" xfId="39298" xr:uid="{2FC480AF-306C-43D8-836B-D950F7514077}"/>
    <cellStyle name="Normal 4 2 4 2 5 3 3" xfId="13995" xr:uid="{00000000-0005-0000-0000-00008B380000}"/>
    <cellStyle name="Normal 4 2 4 2 5 3 4" xfId="30864" xr:uid="{5D2736FF-56BF-4005-965C-7FF4C9CA2675}"/>
    <cellStyle name="Normal 4 2 4 2 5 4" xfId="18212" xr:uid="{00000000-0005-0000-0000-00008C380000}"/>
    <cellStyle name="Normal 4 2 4 2 5 4 2" xfId="35081" xr:uid="{F7D99BAD-75E1-4834-B518-56DC2B4C8732}"/>
    <cellStyle name="Normal 4 2 4 2 5 5" xfId="9777" xr:uid="{00000000-0005-0000-0000-00008D380000}"/>
    <cellStyle name="Normal 4 2 4 2 5 6" xfId="26647" xr:uid="{42D56290-C012-43AC-911F-AA986EF0A7A1}"/>
    <cellStyle name="Normal 4 2 4 2 6" xfId="1665" xr:uid="{00000000-0005-0000-0000-00008E380000}"/>
    <cellStyle name="Normal 4 2 4 2 6 2" xfId="3895" xr:uid="{00000000-0005-0000-0000-00008F380000}"/>
    <cellStyle name="Normal 4 2 4 2 6 2 2" xfId="8118" xr:uid="{00000000-0005-0000-0000-000090380000}"/>
    <cellStyle name="Normal 4 2 4 2 6 2 2 2" xfId="24988" xr:uid="{00000000-0005-0000-0000-000091380000}"/>
    <cellStyle name="Normal 4 2 4 2 6 2 2 2 2" xfId="41856" xr:uid="{2B7345D5-4BC1-4E4F-8918-12B50D22FA12}"/>
    <cellStyle name="Normal 4 2 4 2 6 2 2 3" xfId="16553" xr:uid="{00000000-0005-0000-0000-000092380000}"/>
    <cellStyle name="Normal 4 2 4 2 6 2 2 4" xfId="33422" xr:uid="{0A40BB65-CE9A-46C9-B0BA-469C885C66A6}"/>
    <cellStyle name="Normal 4 2 4 2 6 2 3" xfId="20770" xr:uid="{00000000-0005-0000-0000-000093380000}"/>
    <cellStyle name="Normal 4 2 4 2 6 2 3 2" xfId="37639" xr:uid="{1D2892DD-506B-49C5-B6C0-83D73AD25DCE}"/>
    <cellStyle name="Normal 4 2 4 2 6 2 4" xfId="12335" xr:uid="{00000000-0005-0000-0000-000094380000}"/>
    <cellStyle name="Normal 4 2 4 2 6 2 5" xfId="29205" xr:uid="{2476285E-B658-47BD-B272-0BA9A8569C42}"/>
    <cellStyle name="Normal 4 2 4 2 6 3" xfId="5973" xr:uid="{00000000-0005-0000-0000-000095380000}"/>
    <cellStyle name="Normal 4 2 4 2 6 3 2" xfId="22843" xr:uid="{00000000-0005-0000-0000-000096380000}"/>
    <cellStyle name="Normal 4 2 4 2 6 3 2 2" xfId="39711" xr:uid="{A15AF017-88D8-4E76-ADF5-D04F1E86A6E5}"/>
    <cellStyle name="Normal 4 2 4 2 6 3 3" xfId="14408" xr:uid="{00000000-0005-0000-0000-000097380000}"/>
    <cellStyle name="Normal 4 2 4 2 6 3 4" xfId="31277" xr:uid="{86DFC7AE-11D0-4C02-A994-56E49998F4DF}"/>
    <cellStyle name="Normal 4 2 4 2 6 4" xfId="18625" xr:uid="{00000000-0005-0000-0000-000098380000}"/>
    <cellStyle name="Normal 4 2 4 2 6 4 2" xfId="35494" xr:uid="{01E9C0EE-3F8D-4499-A472-EDF97907C393}"/>
    <cellStyle name="Normal 4 2 4 2 6 5" xfId="10190" xr:uid="{00000000-0005-0000-0000-000099380000}"/>
    <cellStyle name="Normal 4 2 4 2 6 6" xfId="27060" xr:uid="{86F63E91-C565-49C7-A95D-612D7BF11DB8}"/>
    <cellStyle name="Normal 4 2 4 2 7" xfId="2079" xr:uid="{00000000-0005-0000-0000-00009A380000}"/>
    <cellStyle name="Normal 4 2 4 2 7 2" xfId="4308" xr:uid="{00000000-0005-0000-0000-00009B380000}"/>
    <cellStyle name="Normal 4 2 4 2 7 2 2" xfId="8531" xr:uid="{00000000-0005-0000-0000-00009C380000}"/>
    <cellStyle name="Normal 4 2 4 2 7 2 2 2" xfId="25401" xr:uid="{00000000-0005-0000-0000-00009D380000}"/>
    <cellStyle name="Normal 4 2 4 2 7 2 2 2 2" xfId="42269" xr:uid="{AE87F698-27A5-4C13-A23F-C7361B848224}"/>
    <cellStyle name="Normal 4 2 4 2 7 2 2 3" xfId="16966" xr:uid="{00000000-0005-0000-0000-00009E380000}"/>
    <cellStyle name="Normal 4 2 4 2 7 2 2 4" xfId="33835" xr:uid="{9C60534C-DF34-4034-8EC2-DC69B920CA37}"/>
    <cellStyle name="Normal 4 2 4 2 7 2 3" xfId="21183" xr:uid="{00000000-0005-0000-0000-00009F380000}"/>
    <cellStyle name="Normal 4 2 4 2 7 2 3 2" xfId="38052" xr:uid="{EE1C3747-BBCF-4231-AC1D-CA833382F891}"/>
    <cellStyle name="Normal 4 2 4 2 7 2 4" xfId="12748" xr:uid="{00000000-0005-0000-0000-0000A0380000}"/>
    <cellStyle name="Normal 4 2 4 2 7 2 5" xfId="29618" xr:uid="{2F0E6E52-E108-4B7E-8DB5-6BCFD53C3EA1}"/>
    <cellStyle name="Normal 4 2 4 2 7 3" xfId="6386" xr:uid="{00000000-0005-0000-0000-0000A1380000}"/>
    <cellStyle name="Normal 4 2 4 2 7 3 2" xfId="23256" xr:uid="{00000000-0005-0000-0000-0000A2380000}"/>
    <cellStyle name="Normal 4 2 4 2 7 3 2 2" xfId="40124" xr:uid="{39C6CAF2-60B8-4B71-936C-7F7AA6B8BA6F}"/>
    <cellStyle name="Normal 4 2 4 2 7 3 3" xfId="14821" xr:uid="{00000000-0005-0000-0000-0000A3380000}"/>
    <cellStyle name="Normal 4 2 4 2 7 3 4" xfId="31690" xr:uid="{2EEF629E-384E-4796-B5A9-88392FA245A8}"/>
    <cellStyle name="Normal 4 2 4 2 7 4" xfId="19038" xr:uid="{00000000-0005-0000-0000-0000A4380000}"/>
    <cellStyle name="Normal 4 2 4 2 7 4 2" xfId="35907" xr:uid="{B17B8574-AD2E-44D6-A1F0-86D2E7EBC24D}"/>
    <cellStyle name="Normal 4 2 4 2 7 5" xfId="10603" xr:uid="{00000000-0005-0000-0000-0000A5380000}"/>
    <cellStyle name="Normal 4 2 4 2 7 6" xfId="27473" xr:uid="{5ACE06FE-FF4D-400E-9A11-0D49428DCB62}"/>
    <cellStyle name="Normal 4 2 4 2 8" xfId="2515" xr:uid="{00000000-0005-0000-0000-0000A6380000}"/>
    <cellStyle name="Normal 4 2 4 2 8 2" xfId="6799" xr:uid="{00000000-0005-0000-0000-0000A7380000}"/>
    <cellStyle name="Normal 4 2 4 2 8 2 2" xfId="23669" xr:uid="{00000000-0005-0000-0000-0000A8380000}"/>
    <cellStyle name="Normal 4 2 4 2 8 2 2 2" xfId="40537" xr:uid="{D22285C0-B7DF-463C-BFA9-27D18E57DE01}"/>
    <cellStyle name="Normal 4 2 4 2 8 2 3" xfId="15234" xr:uid="{00000000-0005-0000-0000-0000A9380000}"/>
    <cellStyle name="Normal 4 2 4 2 8 2 4" xfId="32103" xr:uid="{74B772D7-8171-430A-8D62-C0F834571924}"/>
    <cellStyle name="Normal 4 2 4 2 8 3" xfId="19451" xr:uid="{00000000-0005-0000-0000-0000AA380000}"/>
    <cellStyle name="Normal 4 2 4 2 8 3 2" xfId="36320" xr:uid="{548F052E-7E78-4D40-BEEE-4850B9DD9AF7}"/>
    <cellStyle name="Normal 4 2 4 2 8 4" xfId="11016" xr:uid="{00000000-0005-0000-0000-0000AB380000}"/>
    <cellStyle name="Normal 4 2 4 2 8 5" xfId="27886" xr:uid="{8F7F8711-F15F-4A41-8A6B-A3BC5DD5D525}"/>
    <cellStyle name="Normal 4 2 4 2 9" xfId="4734" xr:uid="{00000000-0005-0000-0000-0000AC380000}"/>
    <cellStyle name="Normal 4 2 4 2 9 2" xfId="21604" xr:uid="{00000000-0005-0000-0000-0000AD380000}"/>
    <cellStyle name="Normal 4 2 4 2 9 2 2" xfId="38472" xr:uid="{320D74C5-EC3C-445A-A3B9-66437F373B15}"/>
    <cellStyle name="Normal 4 2 4 2 9 3" xfId="13169" xr:uid="{00000000-0005-0000-0000-0000AE380000}"/>
    <cellStyle name="Normal 4 2 4 2 9 4" xfId="30038" xr:uid="{34351FD8-1641-4E16-B5F4-7426180C6565}"/>
    <cellStyle name="Normal 4 2 4 3" xfId="360" xr:uid="{00000000-0005-0000-0000-0000AF380000}"/>
    <cellStyle name="Normal 4 2 4 3 10" xfId="8955" xr:uid="{00000000-0005-0000-0000-0000B0380000}"/>
    <cellStyle name="Normal 4 2 4 3 11" xfId="25825" xr:uid="{00BB9427-D028-415C-A7C6-11BE48608F11}"/>
    <cellStyle name="Normal 4 2 4 3 2" xfId="361" xr:uid="{00000000-0005-0000-0000-0000B1380000}"/>
    <cellStyle name="Normal 4 2 4 3 2 10" xfId="25826" xr:uid="{2E93CC50-C4ED-4EBA-8C12-FFDA196A516F}"/>
    <cellStyle name="Normal 4 2 4 3 2 2" xfId="837" xr:uid="{00000000-0005-0000-0000-0000B2380000}"/>
    <cellStyle name="Normal 4 2 4 3 2 2 2" xfId="3074" xr:uid="{00000000-0005-0000-0000-0000B3380000}"/>
    <cellStyle name="Normal 4 2 4 3 2 2 2 2" xfId="7297" xr:uid="{00000000-0005-0000-0000-0000B4380000}"/>
    <cellStyle name="Normal 4 2 4 3 2 2 2 2 2" xfId="24167" xr:uid="{00000000-0005-0000-0000-0000B5380000}"/>
    <cellStyle name="Normal 4 2 4 3 2 2 2 2 2 2" xfId="41035" xr:uid="{BA910AC1-82EC-4A6A-8CCA-F67CD9F58A11}"/>
    <cellStyle name="Normal 4 2 4 3 2 2 2 2 3" xfId="15732" xr:uid="{00000000-0005-0000-0000-0000B6380000}"/>
    <cellStyle name="Normal 4 2 4 3 2 2 2 2 4" xfId="32601" xr:uid="{C25BCC2B-1183-4544-81B9-30FA12103BD9}"/>
    <cellStyle name="Normal 4 2 4 3 2 2 2 3" xfId="19949" xr:uid="{00000000-0005-0000-0000-0000B7380000}"/>
    <cellStyle name="Normal 4 2 4 3 2 2 2 3 2" xfId="36818" xr:uid="{3F86C600-A356-4EFD-B33F-E4B014406769}"/>
    <cellStyle name="Normal 4 2 4 3 2 2 2 4" xfId="11514" xr:uid="{00000000-0005-0000-0000-0000B8380000}"/>
    <cellStyle name="Normal 4 2 4 3 2 2 2 5" xfId="28384" xr:uid="{9D7C8042-D6D1-482B-A1CA-8215C4947715}"/>
    <cellStyle name="Normal 4 2 4 3 2 2 3" xfId="5152" xr:uid="{00000000-0005-0000-0000-0000B9380000}"/>
    <cellStyle name="Normal 4 2 4 3 2 2 3 2" xfId="22022" xr:uid="{00000000-0005-0000-0000-0000BA380000}"/>
    <cellStyle name="Normal 4 2 4 3 2 2 3 2 2" xfId="38890" xr:uid="{15EC5378-5A82-4228-8225-5F72D025023A}"/>
    <cellStyle name="Normal 4 2 4 3 2 2 3 3" xfId="13587" xr:uid="{00000000-0005-0000-0000-0000BB380000}"/>
    <cellStyle name="Normal 4 2 4 3 2 2 3 4" xfId="30456" xr:uid="{F2E051F5-A430-48C7-9CD4-01376E941417}"/>
    <cellStyle name="Normal 4 2 4 3 2 2 4" xfId="17804" xr:uid="{00000000-0005-0000-0000-0000BC380000}"/>
    <cellStyle name="Normal 4 2 4 3 2 2 4 2" xfId="34673" xr:uid="{682B1C90-C496-4C98-8529-740F0E1E2128}"/>
    <cellStyle name="Normal 4 2 4 3 2 2 5" xfId="9369" xr:uid="{00000000-0005-0000-0000-0000BD380000}"/>
    <cellStyle name="Normal 4 2 4 3 2 2 6" xfId="26239" xr:uid="{CA5D59B1-DD6B-4775-900B-8D1B30A28545}"/>
    <cellStyle name="Normal 4 2 4 3 2 3" xfId="1257" xr:uid="{00000000-0005-0000-0000-0000BE380000}"/>
    <cellStyle name="Normal 4 2 4 3 2 3 2" xfId="3487" xr:uid="{00000000-0005-0000-0000-0000BF380000}"/>
    <cellStyle name="Normal 4 2 4 3 2 3 2 2" xfId="7710" xr:uid="{00000000-0005-0000-0000-0000C0380000}"/>
    <cellStyle name="Normal 4 2 4 3 2 3 2 2 2" xfId="24580" xr:uid="{00000000-0005-0000-0000-0000C1380000}"/>
    <cellStyle name="Normal 4 2 4 3 2 3 2 2 2 2" xfId="41448" xr:uid="{068CBA2D-2E9C-4499-B677-7E8542147CEC}"/>
    <cellStyle name="Normal 4 2 4 3 2 3 2 2 3" xfId="16145" xr:uid="{00000000-0005-0000-0000-0000C2380000}"/>
    <cellStyle name="Normal 4 2 4 3 2 3 2 2 4" xfId="33014" xr:uid="{E23E7485-3240-4CB3-9D53-D755150F8C58}"/>
    <cellStyle name="Normal 4 2 4 3 2 3 2 3" xfId="20362" xr:uid="{00000000-0005-0000-0000-0000C3380000}"/>
    <cellStyle name="Normal 4 2 4 3 2 3 2 3 2" xfId="37231" xr:uid="{FD6BAD2F-1ED0-4643-B0D8-F4DAA5B6412C}"/>
    <cellStyle name="Normal 4 2 4 3 2 3 2 4" xfId="11927" xr:uid="{00000000-0005-0000-0000-0000C4380000}"/>
    <cellStyle name="Normal 4 2 4 3 2 3 2 5" xfId="28797" xr:uid="{9BBF6DF0-EBF4-4437-8087-94298E4054C6}"/>
    <cellStyle name="Normal 4 2 4 3 2 3 3" xfId="5565" xr:uid="{00000000-0005-0000-0000-0000C5380000}"/>
    <cellStyle name="Normal 4 2 4 3 2 3 3 2" xfId="22435" xr:uid="{00000000-0005-0000-0000-0000C6380000}"/>
    <cellStyle name="Normal 4 2 4 3 2 3 3 2 2" xfId="39303" xr:uid="{78B0A391-C2B5-4D44-B066-BD5EACB86DE7}"/>
    <cellStyle name="Normal 4 2 4 3 2 3 3 3" xfId="14000" xr:uid="{00000000-0005-0000-0000-0000C7380000}"/>
    <cellStyle name="Normal 4 2 4 3 2 3 3 4" xfId="30869" xr:uid="{0B54B469-39BE-46A8-B5B6-8BE2BD26045D}"/>
    <cellStyle name="Normal 4 2 4 3 2 3 4" xfId="18217" xr:uid="{00000000-0005-0000-0000-0000C8380000}"/>
    <cellStyle name="Normal 4 2 4 3 2 3 4 2" xfId="35086" xr:uid="{468518B1-0EDC-4119-A42C-642FB4ADBEF4}"/>
    <cellStyle name="Normal 4 2 4 3 2 3 5" xfId="9782" xr:uid="{00000000-0005-0000-0000-0000C9380000}"/>
    <cellStyle name="Normal 4 2 4 3 2 3 6" xfId="26652" xr:uid="{6DB5C520-7A8D-4B66-A2E0-6CA32568C8C4}"/>
    <cellStyle name="Normal 4 2 4 3 2 4" xfId="1670" xr:uid="{00000000-0005-0000-0000-0000CA380000}"/>
    <cellStyle name="Normal 4 2 4 3 2 4 2" xfId="3900" xr:uid="{00000000-0005-0000-0000-0000CB380000}"/>
    <cellStyle name="Normal 4 2 4 3 2 4 2 2" xfId="8123" xr:uid="{00000000-0005-0000-0000-0000CC380000}"/>
    <cellStyle name="Normal 4 2 4 3 2 4 2 2 2" xfId="24993" xr:uid="{00000000-0005-0000-0000-0000CD380000}"/>
    <cellStyle name="Normal 4 2 4 3 2 4 2 2 2 2" xfId="41861" xr:uid="{1594032F-B693-4F33-883C-7BB1950633A9}"/>
    <cellStyle name="Normal 4 2 4 3 2 4 2 2 3" xfId="16558" xr:uid="{00000000-0005-0000-0000-0000CE380000}"/>
    <cellStyle name="Normal 4 2 4 3 2 4 2 2 4" xfId="33427" xr:uid="{0451C7BD-B17E-46C6-9DBD-D9CB76A04C88}"/>
    <cellStyle name="Normal 4 2 4 3 2 4 2 3" xfId="20775" xr:uid="{00000000-0005-0000-0000-0000CF380000}"/>
    <cellStyle name="Normal 4 2 4 3 2 4 2 3 2" xfId="37644" xr:uid="{775A2AE6-515F-4420-9FE1-014F1598B194}"/>
    <cellStyle name="Normal 4 2 4 3 2 4 2 4" xfId="12340" xr:uid="{00000000-0005-0000-0000-0000D0380000}"/>
    <cellStyle name="Normal 4 2 4 3 2 4 2 5" xfId="29210" xr:uid="{8FBF7282-27B9-44E6-B3AD-63AC2D082F86}"/>
    <cellStyle name="Normal 4 2 4 3 2 4 3" xfId="5978" xr:uid="{00000000-0005-0000-0000-0000D1380000}"/>
    <cellStyle name="Normal 4 2 4 3 2 4 3 2" xfId="22848" xr:uid="{00000000-0005-0000-0000-0000D2380000}"/>
    <cellStyle name="Normal 4 2 4 3 2 4 3 2 2" xfId="39716" xr:uid="{CB540800-4637-4695-835D-6F3D983A1890}"/>
    <cellStyle name="Normal 4 2 4 3 2 4 3 3" xfId="14413" xr:uid="{00000000-0005-0000-0000-0000D3380000}"/>
    <cellStyle name="Normal 4 2 4 3 2 4 3 4" xfId="31282" xr:uid="{0ECDD83F-6E15-4B9B-9586-C8ADA84DF42C}"/>
    <cellStyle name="Normal 4 2 4 3 2 4 4" xfId="18630" xr:uid="{00000000-0005-0000-0000-0000D4380000}"/>
    <cellStyle name="Normal 4 2 4 3 2 4 4 2" xfId="35499" xr:uid="{AF7ED3B3-97C5-4B5D-A631-271BE7366BC5}"/>
    <cellStyle name="Normal 4 2 4 3 2 4 5" xfId="10195" xr:uid="{00000000-0005-0000-0000-0000D5380000}"/>
    <cellStyle name="Normal 4 2 4 3 2 4 6" xfId="27065" xr:uid="{BEDF7958-4DC6-4C7F-AD21-169F95772434}"/>
    <cellStyle name="Normal 4 2 4 3 2 5" xfId="2084" xr:uid="{00000000-0005-0000-0000-0000D6380000}"/>
    <cellStyle name="Normal 4 2 4 3 2 5 2" xfId="4313" xr:uid="{00000000-0005-0000-0000-0000D7380000}"/>
    <cellStyle name="Normal 4 2 4 3 2 5 2 2" xfId="8536" xr:uid="{00000000-0005-0000-0000-0000D8380000}"/>
    <cellStyle name="Normal 4 2 4 3 2 5 2 2 2" xfId="25406" xr:uid="{00000000-0005-0000-0000-0000D9380000}"/>
    <cellStyle name="Normal 4 2 4 3 2 5 2 2 2 2" xfId="42274" xr:uid="{F0C78A4C-70DF-4C6A-8F04-EC209543AF88}"/>
    <cellStyle name="Normal 4 2 4 3 2 5 2 2 3" xfId="16971" xr:uid="{00000000-0005-0000-0000-0000DA380000}"/>
    <cellStyle name="Normal 4 2 4 3 2 5 2 2 4" xfId="33840" xr:uid="{BED40DBA-0C45-48FA-B72E-0C92980D0ABE}"/>
    <cellStyle name="Normal 4 2 4 3 2 5 2 3" xfId="21188" xr:uid="{00000000-0005-0000-0000-0000DB380000}"/>
    <cellStyle name="Normal 4 2 4 3 2 5 2 3 2" xfId="38057" xr:uid="{FABACD0C-CF1C-4B4B-A300-D3641DD18AB1}"/>
    <cellStyle name="Normal 4 2 4 3 2 5 2 4" xfId="12753" xr:uid="{00000000-0005-0000-0000-0000DC380000}"/>
    <cellStyle name="Normal 4 2 4 3 2 5 2 5" xfId="29623" xr:uid="{1C601BD7-8DED-4DA6-A8B0-6B668D723CD1}"/>
    <cellStyle name="Normal 4 2 4 3 2 5 3" xfId="6391" xr:uid="{00000000-0005-0000-0000-0000DD380000}"/>
    <cellStyle name="Normal 4 2 4 3 2 5 3 2" xfId="23261" xr:uid="{00000000-0005-0000-0000-0000DE380000}"/>
    <cellStyle name="Normal 4 2 4 3 2 5 3 2 2" xfId="40129" xr:uid="{783A2C14-D8F5-45AA-AAF4-FB935856A576}"/>
    <cellStyle name="Normal 4 2 4 3 2 5 3 3" xfId="14826" xr:uid="{00000000-0005-0000-0000-0000DF380000}"/>
    <cellStyle name="Normal 4 2 4 3 2 5 3 4" xfId="31695" xr:uid="{83D45C8E-508D-46CF-99F0-64480594E4A5}"/>
    <cellStyle name="Normal 4 2 4 3 2 5 4" xfId="19043" xr:uid="{00000000-0005-0000-0000-0000E0380000}"/>
    <cellStyle name="Normal 4 2 4 3 2 5 4 2" xfId="35912" xr:uid="{A72407B1-633B-4117-8F13-1D00BC029991}"/>
    <cellStyle name="Normal 4 2 4 3 2 5 5" xfId="10608" xr:uid="{00000000-0005-0000-0000-0000E1380000}"/>
    <cellStyle name="Normal 4 2 4 3 2 5 6" xfId="27478" xr:uid="{38156D85-2150-4C5A-ADDC-D0670042CB60}"/>
    <cellStyle name="Normal 4 2 4 3 2 6" xfId="2520" xr:uid="{00000000-0005-0000-0000-0000E2380000}"/>
    <cellStyle name="Normal 4 2 4 3 2 6 2" xfId="6804" xr:uid="{00000000-0005-0000-0000-0000E3380000}"/>
    <cellStyle name="Normal 4 2 4 3 2 6 2 2" xfId="23674" xr:uid="{00000000-0005-0000-0000-0000E4380000}"/>
    <cellStyle name="Normal 4 2 4 3 2 6 2 2 2" xfId="40542" xr:uid="{95D4C745-E38A-4112-B549-3DB3B2AE0914}"/>
    <cellStyle name="Normal 4 2 4 3 2 6 2 3" xfId="15239" xr:uid="{00000000-0005-0000-0000-0000E5380000}"/>
    <cellStyle name="Normal 4 2 4 3 2 6 2 4" xfId="32108" xr:uid="{26EAE59A-311E-42F3-ABD0-B5F71A773976}"/>
    <cellStyle name="Normal 4 2 4 3 2 6 3" xfId="19456" xr:uid="{00000000-0005-0000-0000-0000E6380000}"/>
    <cellStyle name="Normal 4 2 4 3 2 6 3 2" xfId="36325" xr:uid="{575CEAC6-4656-4A66-8134-14F6CC5271DB}"/>
    <cellStyle name="Normal 4 2 4 3 2 6 4" xfId="11021" xr:uid="{00000000-0005-0000-0000-0000E7380000}"/>
    <cellStyle name="Normal 4 2 4 3 2 6 5" xfId="27891" xr:uid="{1E3BB512-846D-4EFB-8375-E7CBCE48C9D8}"/>
    <cellStyle name="Normal 4 2 4 3 2 7" xfId="4739" xr:uid="{00000000-0005-0000-0000-0000E8380000}"/>
    <cellStyle name="Normal 4 2 4 3 2 7 2" xfId="21609" xr:uid="{00000000-0005-0000-0000-0000E9380000}"/>
    <cellStyle name="Normal 4 2 4 3 2 7 2 2" xfId="38477" xr:uid="{7115C99F-6431-4189-AE5C-77DA8A7E7F64}"/>
    <cellStyle name="Normal 4 2 4 3 2 7 3" xfId="13174" xr:uid="{00000000-0005-0000-0000-0000EA380000}"/>
    <cellStyle name="Normal 4 2 4 3 2 7 4" xfId="30043" xr:uid="{E4BA1432-DC24-4F88-B5D9-0D951DB6EEDB}"/>
    <cellStyle name="Normal 4 2 4 3 2 8" xfId="17391" xr:uid="{00000000-0005-0000-0000-0000EB380000}"/>
    <cellStyle name="Normal 4 2 4 3 2 8 2" xfId="34260" xr:uid="{F0BD7BB7-EB86-415E-9335-1CCFAE8A98D6}"/>
    <cellStyle name="Normal 4 2 4 3 2 9" xfId="8956" xr:uid="{00000000-0005-0000-0000-0000EC380000}"/>
    <cellStyle name="Normal 4 2 4 3 3" xfId="836" xr:uid="{00000000-0005-0000-0000-0000ED380000}"/>
    <cellStyle name="Normal 4 2 4 3 3 2" xfId="3073" xr:uid="{00000000-0005-0000-0000-0000EE380000}"/>
    <cellStyle name="Normal 4 2 4 3 3 2 2" xfId="7296" xr:uid="{00000000-0005-0000-0000-0000EF380000}"/>
    <cellStyle name="Normal 4 2 4 3 3 2 2 2" xfId="24166" xr:uid="{00000000-0005-0000-0000-0000F0380000}"/>
    <cellStyle name="Normal 4 2 4 3 3 2 2 2 2" xfId="41034" xr:uid="{2602BD70-CEC3-4FF7-8E71-908E5D3CBAA9}"/>
    <cellStyle name="Normal 4 2 4 3 3 2 2 3" xfId="15731" xr:uid="{00000000-0005-0000-0000-0000F1380000}"/>
    <cellStyle name="Normal 4 2 4 3 3 2 2 4" xfId="32600" xr:uid="{8C90415E-0A00-487B-A6C0-2FC9FD6C9EBF}"/>
    <cellStyle name="Normal 4 2 4 3 3 2 3" xfId="19948" xr:uid="{00000000-0005-0000-0000-0000F2380000}"/>
    <cellStyle name="Normal 4 2 4 3 3 2 3 2" xfId="36817" xr:uid="{165621EE-9008-40B9-B798-2174D5D2E814}"/>
    <cellStyle name="Normal 4 2 4 3 3 2 4" xfId="11513" xr:uid="{00000000-0005-0000-0000-0000F3380000}"/>
    <cellStyle name="Normal 4 2 4 3 3 2 5" xfId="28383" xr:uid="{1CB6B634-0B89-43F3-879C-7642FBF48A94}"/>
    <cellStyle name="Normal 4 2 4 3 3 3" xfId="5151" xr:uid="{00000000-0005-0000-0000-0000F4380000}"/>
    <cellStyle name="Normal 4 2 4 3 3 3 2" xfId="22021" xr:uid="{00000000-0005-0000-0000-0000F5380000}"/>
    <cellStyle name="Normal 4 2 4 3 3 3 2 2" xfId="38889" xr:uid="{FDB1EF42-9DF7-4A13-A5BD-B28B7884EC18}"/>
    <cellStyle name="Normal 4 2 4 3 3 3 3" xfId="13586" xr:uid="{00000000-0005-0000-0000-0000F6380000}"/>
    <cellStyle name="Normal 4 2 4 3 3 3 4" xfId="30455" xr:uid="{5D3EBD42-ABBC-44CA-8018-6078FB830FB7}"/>
    <cellStyle name="Normal 4 2 4 3 3 4" xfId="17803" xr:uid="{00000000-0005-0000-0000-0000F7380000}"/>
    <cellStyle name="Normal 4 2 4 3 3 4 2" xfId="34672" xr:uid="{665CDEBD-ECB7-46E5-B972-D1CA7A70168F}"/>
    <cellStyle name="Normal 4 2 4 3 3 5" xfId="9368" xr:uid="{00000000-0005-0000-0000-0000F8380000}"/>
    <cellStyle name="Normal 4 2 4 3 3 6" xfId="26238" xr:uid="{3A26DB53-BFCA-4D43-B995-AE466D585DC0}"/>
    <cellStyle name="Normal 4 2 4 3 4" xfId="1256" xr:uid="{00000000-0005-0000-0000-0000F9380000}"/>
    <cellStyle name="Normal 4 2 4 3 4 2" xfId="3486" xr:uid="{00000000-0005-0000-0000-0000FA380000}"/>
    <cellStyle name="Normal 4 2 4 3 4 2 2" xfId="7709" xr:uid="{00000000-0005-0000-0000-0000FB380000}"/>
    <cellStyle name="Normal 4 2 4 3 4 2 2 2" xfId="24579" xr:uid="{00000000-0005-0000-0000-0000FC380000}"/>
    <cellStyle name="Normal 4 2 4 3 4 2 2 2 2" xfId="41447" xr:uid="{8BEFCD91-C925-4ABD-9958-69CAF8C290BA}"/>
    <cellStyle name="Normal 4 2 4 3 4 2 2 3" xfId="16144" xr:uid="{00000000-0005-0000-0000-0000FD380000}"/>
    <cellStyle name="Normal 4 2 4 3 4 2 2 4" xfId="33013" xr:uid="{CA33866C-0725-4D45-B2B0-BA386FE2523B}"/>
    <cellStyle name="Normal 4 2 4 3 4 2 3" xfId="20361" xr:uid="{00000000-0005-0000-0000-0000FE380000}"/>
    <cellStyle name="Normal 4 2 4 3 4 2 3 2" xfId="37230" xr:uid="{7816C1D0-7452-40D6-AE48-0CE4ECA79533}"/>
    <cellStyle name="Normal 4 2 4 3 4 2 4" xfId="11926" xr:uid="{00000000-0005-0000-0000-0000FF380000}"/>
    <cellStyle name="Normal 4 2 4 3 4 2 5" xfId="28796" xr:uid="{346DEC1E-76F3-43C2-AFFC-8E29A2BEEF4B}"/>
    <cellStyle name="Normal 4 2 4 3 4 3" xfId="5564" xr:uid="{00000000-0005-0000-0000-000000390000}"/>
    <cellStyle name="Normal 4 2 4 3 4 3 2" xfId="22434" xr:uid="{00000000-0005-0000-0000-000001390000}"/>
    <cellStyle name="Normal 4 2 4 3 4 3 2 2" xfId="39302" xr:uid="{41CE4D1F-E14F-4EA3-B81F-1FED2805D1CA}"/>
    <cellStyle name="Normal 4 2 4 3 4 3 3" xfId="13999" xr:uid="{00000000-0005-0000-0000-000002390000}"/>
    <cellStyle name="Normal 4 2 4 3 4 3 4" xfId="30868" xr:uid="{21F8C40A-ECDF-4A85-BD98-894ECB4934EF}"/>
    <cellStyle name="Normal 4 2 4 3 4 4" xfId="18216" xr:uid="{00000000-0005-0000-0000-000003390000}"/>
    <cellStyle name="Normal 4 2 4 3 4 4 2" xfId="35085" xr:uid="{6F0AED8E-A628-432E-B871-A554C78D2872}"/>
    <cellStyle name="Normal 4 2 4 3 4 5" xfId="9781" xr:uid="{00000000-0005-0000-0000-000004390000}"/>
    <cellStyle name="Normal 4 2 4 3 4 6" xfId="26651" xr:uid="{975E8BA8-0A26-43DE-8CF6-46332FC0F46F}"/>
    <cellStyle name="Normal 4 2 4 3 5" xfId="1669" xr:uid="{00000000-0005-0000-0000-000005390000}"/>
    <cellStyle name="Normal 4 2 4 3 5 2" xfId="3899" xr:uid="{00000000-0005-0000-0000-000006390000}"/>
    <cellStyle name="Normal 4 2 4 3 5 2 2" xfId="8122" xr:uid="{00000000-0005-0000-0000-000007390000}"/>
    <cellStyle name="Normal 4 2 4 3 5 2 2 2" xfId="24992" xr:uid="{00000000-0005-0000-0000-000008390000}"/>
    <cellStyle name="Normal 4 2 4 3 5 2 2 2 2" xfId="41860" xr:uid="{2705FE3E-B304-45AF-A79F-F772D9983774}"/>
    <cellStyle name="Normal 4 2 4 3 5 2 2 3" xfId="16557" xr:uid="{00000000-0005-0000-0000-000009390000}"/>
    <cellStyle name="Normal 4 2 4 3 5 2 2 4" xfId="33426" xr:uid="{6CEA6E8E-F0D6-433C-8123-E28A22F16858}"/>
    <cellStyle name="Normal 4 2 4 3 5 2 3" xfId="20774" xr:uid="{00000000-0005-0000-0000-00000A390000}"/>
    <cellStyle name="Normal 4 2 4 3 5 2 3 2" xfId="37643" xr:uid="{10439049-AD45-44D3-AFA6-FF8F128E90C6}"/>
    <cellStyle name="Normal 4 2 4 3 5 2 4" xfId="12339" xr:uid="{00000000-0005-0000-0000-00000B390000}"/>
    <cellStyle name="Normal 4 2 4 3 5 2 5" xfId="29209" xr:uid="{EEA1B79D-F2EB-4629-8611-FDD66BDB2B84}"/>
    <cellStyle name="Normal 4 2 4 3 5 3" xfId="5977" xr:uid="{00000000-0005-0000-0000-00000C390000}"/>
    <cellStyle name="Normal 4 2 4 3 5 3 2" xfId="22847" xr:uid="{00000000-0005-0000-0000-00000D390000}"/>
    <cellStyle name="Normal 4 2 4 3 5 3 2 2" xfId="39715" xr:uid="{D6C1BB23-8DCB-469D-92AB-9A87BDD8D4D3}"/>
    <cellStyle name="Normal 4 2 4 3 5 3 3" xfId="14412" xr:uid="{00000000-0005-0000-0000-00000E390000}"/>
    <cellStyle name="Normal 4 2 4 3 5 3 4" xfId="31281" xr:uid="{7F16F41C-4B45-4B1C-9C10-72016750A173}"/>
    <cellStyle name="Normal 4 2 4 3 5 4" xfId="18629" xr:uid="{00000000-0005-0000-0000-00000F390000}"/>
    <cellStyle name="Normal 4 2 4 3 5 4 2" xfId="35498" xr:uid="{AC1E0576-811C-440A-8022-1D131CD63830}"/>
    <cellStyle name="Normal 4 2 4 3 5 5" xfId="10194" xr:uid="{00000000-0005-0000-0000-000010390000}"/>
    <cellStyle name="Normal 4 2 4 3 5 6" xfId="27064" xr:uid="{7C627D07-5B81-4617-8754-B9409EDFCB55}"/>
    <cellStyle name="Normal 4 2 4 3 6" xfId="2083" xr:uid="{00000000-0005-0000-0000-000011390000}"/>
    <cellStyle name="Normal 4 2 4 3 6 2" xfId="4312" xr:uid="{00000000-0005-0000-0000-000012390000}"/>
    <cellStyle name="Normal 4 2 4 3 6 2 2" xfId="8535" xr:uid="{00000000-0005-0000-0000-000013390000}"/>
    <cellStyle name="Normal 4 2 4 3 6 2 2 2" xfId="25405" xr:uid="{00000000-0005-0000-0000-000014390000}"/>
    <cellStyle name="Normal 4 2 4 3 6 2 2 2 2" xfId="42273" xr:uid="{60122B3E-A4B3-4382-88FE-A719B7CCB03B}"/>
    <cellStyle name="Normal 4 2 4 3 6 2 2 3" xfId="16970" xr:uid="{00000000-0005-0000-0000-000015390000}"/>
    <cellStyle name="Normal 4 2 4 3 6 2 2 4" xfId="33839" xr:uid="{239E86BC-209C-4F10-BAE6-6FFBDEADF6E0}"/>
    <cellStyle name="Normal 4 2 4 3 6 2 3" xfId="21187" xr:uid="{00000000-0005-0000-0000-000016390000}"/>
    <cellStyle name="Normal 4 2 4 3 6 2 3 2" xfId="38056" xr:uid="{524884A4-8192-4ACA-9782-2FC7593F6B51}"/>
    <cellStyle name="Normal 4 2 4 3 6 2 4" xfId="12752" xr:uid="{00000000-0005-0000-0000-000017390000}"/>
    <cellStyle name="Normal 4 2 4 3 6 2 5" xfId="29622" xr:uid="{5E98997B-043C-478F-AFA4-445B263E7F53}"/>
    <cellStyle name="Normal 4 2 4 3 6 3" xfId="6390" xr:uid="{00000000-0005-0000-0000-000018390000}"/>
    <cellStyle name="Normal 4 2 4 3 6 3 2" xfId="23260" xr:uid="{00000000-0005-0000-0000-000019390000}"/>
    <cellStyle name="Normal 4 2 4 3 6 3 2 2" xfId="40128" xr:uid="{18476830-533C-4551-905A-335E9BADC7C5}"/>
    <cellStyle name="Normal 4 2 4 3 6 3 3" xfId="14825" xr:uid="{00000000-0005-0000-0000-00001A390000}"/>
    <cellStyle name="Normal 4 2 4 3 6 3 4" xfId="31694" xr:uid="{4701E7FD-B334-4E35-9F2E-DFD2282FA30E}"/>
    <cellStyle name="Normal 4 2 4 3 6 4" xfId="19042" xr:uid="{00000000-0005-0000-0000-00001B390000}"/>
    <cellStyle name="Normal 4 2 4 3 6 4 2" xfId="35911" xr:uid="{EDDB3722-398B-414C-9696-F2E325139B0F}"/>
    <cellStyle name="Normal 4 2 4 3 6 5" xfId="10607" xr:uid="{00000000-0005-0000-0000-00001C390000}"/>
    <cellStyle name="Normal 4 2 4 3 6 6" xfId="27477" xr:uid="{F04FCE3B-F0F4-4FC2-978C-E0DB35723F1F}"/>
    <cellStyle name="Normal 4 2 4 3 7" xfId="2519" xr:uid="{00000000-0005-0000-0000-00001D390000}"/>
    <cellStyle name="Normal 4 2 4 3 7 2" xfId="6803" xr:uid="{00000000-0005-0000-0000-00001E390000}"/>
    <cellStyle name="Normal 4 2 4 3 7 2 2" xfId="23673" xr:uid="{00000000-0005-0000-0000-00001F390000}"/>
    <cellStyle name="Normal 4 2 4 3 7 2 2 2" xfId="40541" xr:uid="{44EFEFE6-5CF0-4754-AB85-3B4D57B425A4}"/>
    <cellStyle name="Normal 4 2 4 3 7 2 3" xfId="15238" xr:uid="{00000000-0005-0000-0000-000020390000}"/>
    <cellStyle name="Normal 4 2 4 3 7 2 4" xfId="32107" xr:uid="{A32CD2AE-6484-4FF3-A695-5BEBD679F538}"/>
    <cellStyle name="Normal 4 2 4 3 7 3" xfId="19455" xr:uid="{00000000-0005-0000-0000-000021390000}"/>
    <cellStyle name="Normal 4 2 4 3 7 3 2" xfId="36324" xr:uid="{45D03401-1C2E-4FAE-9AFC-FD19CEF58568}"/>
    <cellStyle name="Normal 4 2 4 3 7 4" xfId="11020" xr:uid="{00000000-0005-0000-0000-000022390000}"/>
    <cellStyle name="Normal 4 2 4 3 7 5" xfId="27890" xr:uid="{362194BD-9557-418B-B7C5-B2AB97E05E7B}"/>
    <cellStyle name="Normal 4 2 4 3 8" xfId="4738" xr:uid="{00000000-0005-0000-0000-000023390000}"/>
    <cellStyle name="Normal 4 2 4 3 8 2" xfId="21608" xr:uid="{00000000-0005-0000-0000-000024390000}"/>
    <cellStyle name="Normal 4 2 4 3 8 2 2" xfId="38476" xr:uid="{B7A0F55A-CFC5-4FFA-81AB-6F83909EC9BB}"/>
    <cellStyle name="Normal 4 2 4 3 8 3" xfId="13173" xr:uid="{00000000-0005-0000-0000-000025390000}"/>
    <cellStyle name="Normal 4 2 4 3 8 4" xfId="30042" xr:uid="{720FCB6B-4532-4A5E-A1DF-DA88AA7DE1A7}"/>
    <cellStyle name="Normal 4 2 4 3 9" xfId="17390" xr:uid="{00000000-0005-0000-0000-000026390000}"/>
    <cellStyle name="Normal 4 2 4 3 9 2" xfId="34259" xr:uid="{420E5FCA-FFCE-4B63-BB63-C394014C686B}"/>
    <cellStyle name="Normal 4 2 4 4" xfId="362" xr:uid="{00000000-0005-0000-0000-000027390000}"/>
    <cellStyle name="Normal 4 2 4 4 10" xfId="25827" xr:uid="{7D43AC03-56F0-4334-8D76-65239CAF9E59}"/>
    <cellStyle name="Normal 4 2 4 4 2" xfId="838" xr:uid="{00000000-0005-0000-0000-000028390000}"/>
    <cellStyle name="Normal 4 2 4 4 2 2" xfId="3075" xr:uid="{00000000-0005-0000-0000-000029390000}"/>
    <cellStyle name="Normal 4 2 4 4 2 2 2" xfId="7298" xr:uid="{00000000-0005-0000-0000-00002A390000}"/>
    <cellStyle name="Normal 4 2 4 4 2 2 2 2" xfId="24168" xr:uid="{00000000-0005-0000-0000-00002B390000}"/>
    <cellStyle name="Normal 4 2 4 4 2 2 2 2 2" xfId="41036" xr:uid="{242E4438-38D9-4955-932C-E5F5FDDD996B}"/>
    <cellStyle name="Normal 4 2 4 4 2 2 2 3" xfId="15733" xr:uid="{00000000-0005-0000-0000-00002C390000}"/>
    <cellStyle name="Normal 4 2 4 4 2 2 2 4" xfId="32602" xr:uid="{968D085A-A457-4DE3-8C33-C1401DC9D600}"/>
    <cellStyle name="Normal 4 2 4 4 2 2 3" xfId="19950" xr:uid="{00000000-0005-0000-0000-00002D390000}"/>
    <cellStyle name="Normal 4 2 4 4 2 2 3 2" xfId="36819" xr:uid="{EB88273A-C7F2-4861-BD52-9A0A7CEFA917}"/>
    <cellStyle name="Normal 4 2 4 4 2 2 4" xfId="11515" xr:uid="{00000000-0005-0000-0000-00002E390000}"/>
    <cellStyle name="Normal 4 2 4 4 2 2 5" xfId="28385" xr:uid="{971A139B-68CE-432A-A7E7-5ADD63F48699}"/>
    <cellStyle name="Normal 4 2 4 4 2 3" xfId="5153" xr:uid="{00000000-0005-0000-0000-00002F390000}"/>
    <cellStyle name="Normal 4 2 4 4 2 3 2" xfId="22023" xr:uid="{00000000-0005-0000-0000-000030390000}"/>
    <cellStyle name="Normal 4 2 4 4 2 3 2 2" xfId="38891" xr:uid="{27E10D9D-29B0-486A-B0EF-3C3CAE57E02B}"/>
    <cellStyle name="Normal 4 2 4 4 2 3 3" xfId="13588" xr:uid="{00000000-0005-0000-0000-000031390000}"/>
    <cellStyle name="Normal 4 2 4 4 2 3 4" xfId="30457" xr:uid="{85855160-293A-4FF1-9E7D-0664FD660EBA}"/>
    <cellStyle name="Normal 4 2 4 4 2 4" xfId="17805" xr:uid="{00000000-0005-0000-0000-000032390000}"/>
    <cellStyle name="Normal 4 2 4 4 2 4 2" xfId="34674" xr:uid="{94E7DFB4-E775-484A-A4FE-642B6019B2B9}"/>
    <cellStyle name="Normal 4 2 4 4 2 5" xfId="9370" xr:uid="{00000000-0005-0000-0000-000033390000}"/>
    <cellStyle name="Normal 4 2 4 4 2 6" xfId="26240" xr:uid="{B616A7F0-9A10-41A8-9985-999A8AA0B15E}"/>
    <cellStyle name="Normal 4 2 4 4 3" xfId="1258" xr:uid="{00000000-0005-0000-0000-000034390000}"/>
    <cellStyle name="Normal 4 2 4 4 3 2" xfId="3488" xr:uid="{00000000-0005-0000-0000-000035390000}"/>
    <cellStyle name="Normal 4 2 4 4 3 2 2" xfId="7711" xr:uid="{00000000-0005-0000-0000-000036390000}"/>
    <cellStyle name="Normal 4 2 4 4 3 2 2 2" xfId="24581" xr:uid="{00000000-0005-0000-0000-000037390000}"/>
    <cellStyle name="Normal 4 2 4 4 3 2 2 2 2" xfId="41449" xr:uid="{05E01485-E7FC-4996-A2CC-242329901F04}"/>
    <cellStyle name="Normal 4 2 4 4 3 2 2 3" xfId="16146" xr:uid="{00000000-0005-0000-0000-000038390000}"/>
    <cellStyle name="Normal 4 2 4 4 3 2 2 4" xfId="33015" xr:uid="{53A005BF-A30A-4774-92D6-E56965428575}"/>
    <cellStyle name="Normal 4 2 4 4 3 2 3" xfId="20363" xr:uid="{00000000-0005-0000-0000-000039390000}"/>
    <cellStyle name="Normal 4 2 4 4 3 2 3 2" xfId="37232" xr:uid="{5F032CDA-29B8-403B-A7BC-1C54D820C396}"/>
    <cellStyle name="Normal 4 2 4 4 3 2 4" xfId="11928" xr:uid="{00000000-0005-0000-0000-00003A390000}"/>
    <cellStyle name="Normal 4 2 4 4 3 2 5" xfId="28798" xr:uid="{3D8B1F4B-82AC-4CF7-9E56-36965CB95A99}"/>
    <cellStyle name="Normal 4 2 4 4 3 3" xfId="5566" xr:uid="{00000000-0005-0000-0000-00003B390000}"/>
    <cellStyle name="Normal 4 2 4 4 3 3 2" xfId="22436" xr:uid="{00000000-0005-0000-0000-00003C390000}"/>
    <cellStyle name="Normal 4 2 4 4 3 3 2 2" xfId="39304" xr:uid="{80572513-FF7A-45F2-A405-AE96E36FF549}"/>
    <cellStyle name="Normal 4 2 4 4 3 3 3" xfId="14001" xr:uid="{00000000-0005-0000-0000-00003D390000}"/>
    <cellStyle name="Normal 4 2 4 4 3 3 4" xfId="30870" xr:uid="{E5B51DCD-E174-4D5C-B272-82FC9B255DE5}"/>
    <cellStyle name="Normal 4 2 4 4 3 4" xfId="18218" xr:uid="{00000000-0005-0000-0000-00003E390000}"/>
    <cellStyle name="Normal 4 2 4 4 3 4 2" xfId="35087" xr:uid="{C4202002-2D9C-4EEC-91E8-93D13215EF06}"/>
    <cellStyle name="Normal 4 2 4 4 3 5" xfId="9783" xr:uid="{00000000-0005-0000-0000-00003F390000}"/>
    <cellStyle name="Normal 4 2 4 4 3 6" xfId="26653" xr:uid="{D9580286-0428-4C3A-95C9-E31AC06916EA}"/>
    <cellStyle name="Normal 4 2 4 4 4" xfId="1671" xr:uid="{00000000-0005-0000-0000-000040390000}"/>
    <cellStyle name="Normal 4 2 4 4 4 2" xfId="3901" xr:uid="{00000000-0005-0000-0000-000041390000}"/>
    <cellStyle name="Normal 4 2 4 4 4 2 2" xfId="8124" xr:uid="{00000000-0005-0000-0000-000042390000}"/>
    <cellStyle name="Normal 4 2 4 4 4 2 2 2" xfId="24994" xr:uid="{00000000-0005-0000-0000-000043390000}"/>
    <cellStyle name="Normal 4 2 4 4 4 2 2 2 2" xfId="41862" xr:uid="{56F27A95-5EB7-4BF6-886B-920208F34CCC}"/>
    <cellStyle name="Normal 4 2 4 4 4 2 2 3" xfId="16559" xr:uid="{00000000-0005-0000-0000-000044390000}"/>
    <cellStyle name="Normal 4 2 4 4 4 2 2 4" xfId="33428" xr:uid="{82A5F25A-EAE3-4DB7-A731-4D75C9735A7C}"/>
    <cellStyle name="Normal 4 2 4 4 4 2 3" xfId="20776" xr:uid="{00000000-0005-0000-0000-000045390000}"/>
    <cellStyle name="Normal 4 2 4 4 4 2 3 2" xfId="37645" xr:uid="{13CCAA69-490B-4118-9102-11FAE20BE770}"/>
    <cellStyle name="Normal 4 2 4 4 4 2 4" xfId="12341" xr:uid="{00000000-0005-0000-0000-000046390000}"/>
    <cellStyle name="Normal 4 2 4 4 4 2 5" xfId="29211" xr:uid="{9619C214-68EE-49A9-806D-C2633FC11084}"/>
    <cellStyle name="Normal 4 2 4 4 4 3" xfId="5979" xr:uid="{00000000-0005-0000-0000-000047390000}"/>
    <cellStyle name="Normal 4 2 4 4 4 3 2" xfId="22849" xr:uid="{00000000-0005-0000-0000-000048390000}"/>
    <cellStyle name="Normal 4 2 4 4 4 3 2 2" xfId="39717" xr:uid="{ECCFA0A2-59EA-4562-9EAB-F1D0BBAB4556}"/>
    <cellStyle name="Normal 4 2 4 4 4 3 3" xfId="14414" xr:uid="{00000000-0005-0000-0000-000049390000}"/>
    <cellStyle name="Normal 4 2 4 4 4 3 4" xfId="31283" xr:uid="{322AB6A9-21B3-4C10-88F3-0238B24CFA58}"/>
    <cellStyle name="Normal 4 2 4 4 4 4" xfId="18631" xr:uid="{00000000-0005-0000-0000-00004A390000}"/>
    <cellStyle name="Normal 4 2 4 4 4 4 2" xfId="35500" xr:uid="{C3707A50-C640-4856-A246-8D4520828529}"/>
    <cellStyle name="Normal 4 2 4 4 4 5" xfId="10196" xr:uid="{00000000-0005-0000-0000-00004B390000}"/>
    <cellStyle name="Normal 4 2 4 4 4 6" xfId="27066" xr:uid="{1B3405BB-CA46-499F-8C96-C1D094903123}"/>
    <cellStyle name="Normal 4 2 4 4 5" xfId="2085" xr:uid="{00000000-0005-0000-0000-00004C390000}"/>
    <cellStyle name="Normal 4 2 4 4 5 2" xfId="4314" xr:uid="{00000000-0005-0000-0000-00004D390000}"/>
    <cellStyle name="Normal 4 2 4 4 5 2 2" xfId="8537" xr:uid="{00000000-0005-0000-0000-00004E390000}"/>
    <cellStyle name="Normal 4 2 4 4 5 2 2 2" xfId="25407" xr:uid="{00000000-0005-0000-0000-00004F390000}"/>
    <cellStyle name="Normal 4 2 4 4 5 2 2 2 2" xfId="42275" xr:uid="{1ADF3FDA-0058-4A0D-9DCD-F3DFF3500A3F}"/>
    <cellStyle name="Normal 4 2 4 4 5 2 2 3" xfId="16972" xr:uid="{00000000-0005-0000-0000-000050390000}"/>
    <cellStyle name="Normal 4 2 4 4 5 2 2 4" xfId="33841" xr:uid="{35763801-8B24-4D45-9241-B47A19E9E453}"/>
    <cellStyle name="Normal 4 2 4 4 5 2 3" xfId="21189" xr:uid="{00000000-0005-0000-0000-000051390000}"/>
    <cellStyle name="Normal 4 2 4 4 5 2 3 2" xfId="38058" xr:uid="{57A836D6-F203-4E16-95F8-FC2608174AD2}"/>
    <cellStyle name="Normal 4 2 4 4 5 2 4" xfId="12754" xr:uid="{00000000-0005-0000-0000-000052390000}"/>
    <cellStyle name="Normal 4 2 4 4 5 2 5" xfId="29624" xr:uid="{4FF4C45E-2DE2-4D88-923C-7F08BE901CB4}"/>
    <cellStyle name="Normal 4 2 4 4 5 3" xfId="6392" xr:uid="{00000000-0005-0000-0000-000053390000}"/>
    <cellStyle name="Normal 4 2 4 4 5 3 2" xfId="23262" xr:uid="{00000000-0005-0000-0000-000054390000}"/>
    <cellStyle name="Normal 4 2 4 4 5 3 2 2" xfId="40130" xr:uid="{123F55EA-23C0-49E4-A003-320B4CC9EB25}"/>
    <cellStyle name="Normal 4 2 4 4 5 3 3" xfId="14827" xr:uid="{00000000-0005-0000-0000-000055390000}"/>
    <cellStyle name="Normal 4 2 4 4 5 3 4" xfId="31696" xr:uid="{B11C2C3B-0583-4443-AF70-615621B446BC}"/>
    <cellStyle name="Normal 4 2 4 4 5 4" xfId="19044" xr:uid="{00000000-0005-0000-0000-000056390000}"/>
    <cellStyle name="Normal 4 2 4 4 5 4 2" xfId="35913" xr:uid="{CD564299-4DD5-4A1F-8EB5-B594C3875098}"/>
    <cellStyle name="Normal 4 2 4 4 5 5" xfId="10609" xr:uid="{00000000-0005-0000-0000-000057390000}"/>
    <cellStyle name="Normal 4 2 4 4 5 6" xfId="27479" xr:uid="{3A30AAF3-7D73-4273-AE0D-493E577C9271}"/>
    <cellStyle name="Normal 4 2 4 4 6" xfId="2521" xr:uid="{00000000-0005-0000-0000-000058390000}"/>
    <cellStyle name="Normal 4 2 4 4 6 2" xfId="6805" xr:uid="{00000000-0005-0000-0000-000059390000}"/>
    <cellStyle name="Normal 4 2 4 4 6 2 2" xfId="23675" xr:uid="{00000000-0005-0000-0000-00005A390000}"/>
    <cellStyle name="Normal 4 2 4 4 6 2 2 2" xfId="40543" xr:uid="{7FFE5D06-EF99-41B0-A1F8-5D02A4B333A6}"/>
    <cellStyle name="Normal 4 2 4 4 6 2 3" xfId="15240" xr:uid="{00000000-0005-0000-0000-00005B390000}"/>
    <cellStyle name="Normal 4 2 4 4 6 2 4" xfId="32109" xr:uid="{D2629EC5-6FB1-4714-B8DD-629C63575918}"/>
    <cellStyle name="Normal 4 2 4 4 6 3" xfId="19457" xr:uid="{00000000-0005-0000-0000-00005C390000}"/>
    <cellStyle name="Normal 4 2 4 4 6 3 2" xfId="36326" xr:uid="{C7FE4E8F-4439-467E-9DF9-4254399BEB9B}"/>
    <cellStyle name="Normal 4 2 4 4 6 4" xfId="11022" xr:uid="{00000000-0005-0000-0000-00005D390000}"/>
    <cellStyle name="Normal 4 2 4 4 6 5" xfId="27892" xr:uid="{27D5C4D2-E122-4E22-AB46-E9020AD739CB}"/>
    <cellStyle name="Normal 4 2 4 4 7" xfId="4740" xr:uid="{00000000-0005-0000-0000-00005E390000}"/>
    <cellStyle name="Normal 4 2 4 4 7 2" xfId="21610" xr:uid="{00000000-0005-0000-0000-00005F390000}"/>
    <cellStyle name="Normal 4 2 4 4 7 2 2" xfId="38478" xr:uid="{E0C16D72-3ED8-44EA-8BA8-FC1A6921F7DB}"/>
    <cellStyle name="Normal 4 2 4 4 7 3" xfId="13175" xr:uid="{00000000-0005-0000-0000-000060390000}"/>
    <cellStyle name="Normal 4 2 4 4 7 4" xfId="30044" xr:uid="{83A23F7D-36CB-43DC-81DD-DA3622053B4E}"/>
    <cellStyle name="Normal 4 2 4 4 8" xfId="17392" xr:uid="{00000000-0005-0000-0000-000061390000}"/>
    <cellStyle name="Normal 4 2 4 4 8 2" xfId="34261" xr:uid="{8B445D3A-4B4D-435B-9E86-F1974EB7865C}"/>
    <cellStyle name="Normal 4 2 4 4 9" xfId="8957" xr:uid="{00000000-0005-0000-0000-000062390000}"/>
    <cellStyle name="Normal 4 2 4 5" xfId="831" xr:uid="{00000000-0005-0000-0000-000063390000}"/>
    <cellStyle name="Normal 4 2 4 5 2" xfId="3068" xr:uid="{00000000-0005-0000-0000-000064390000}"/>
    <cellStyle name="Normal 4 2 4 5 2 2" xfId="7291" xr:uid="{00000000-0005-0000-0000-000065390000}"/>
    <cellStyle name="Normal 4 2 4 5 2 2 2" xfId="24161" xr:uid="{00000000-0005-0000-0000-000066390000}"/>
    <cellStyle name="Normal 4 2 4 5 2 2 2 2" xfId="41029" xr:uid="{EA38AF72-0667-48B6-A6A8-52390E65EC3C}"/>
    <cellStyle name="Normal 4 2 4 5 2 2 3" xfId="15726" xr:uid="{00000000-0005-0000-0000-000067390000}"/>
    <cellStyle name="Normal 4 2 4 5 2 2 4" xfId="32595" xr:uid="{24AABEC1-CEA8-4B60-B473-7BB6DE426BB2}"/>
    <cellStyle name="Normal 4 2 4 5 2 3" xfId="19943" xr:uid="{00000000-0005-0000-0000-000068390000}"/>
    <cellStyle name="Normal 4 2 4 5 2 3 2" xfId="36812" xr:uid="{AF88F855-F659-4D50-B37A-B229E6627E67}"/>
    <cellStyle name="Normal 4 2 4 5 2 4" xfId="11508" xr:uid="{00000000-0005-0000-0000-000069390000}"/>
    <cellStyle name="Normal 4 2 4 5 2 5" xfId="28378" xr:uid="{65EDAFF9-17EC-44F7-898E-5CF23FC93A06}"/>
    <cellStyle name="Normal 4 2 4 5 3" xfId="5146" xr:uid="{00000000-0005-0000-0000-00006A390000}"/>
    <cellStyle name="Normal 4 2 4 5 3 2" xfId="22016" xr:uid="{00000000-0005-0000-0000-00006B390000}"/>
    <cellStyle name="Normal 4 2 4 5 3 2 2" xfId="38884" xr:uid="{2CEB180D-B100-4650-9F21-E02BCD01297C}"/>
    <cellStyle name="Normal 4 2 4 5 3 3" xfId="13581" xr:uid="{00000000-0005-0000-0000-00006C390000}"/>
    <cellStyle name="Normal 4 2 4 5 3 4" xfId="30450" xr:uid="{26B6FE40-2F81-4DEC-88C8-619818DE3C6F}"/>
    <cellStyle name="Normal 4 2 4 5 4" xfId="17798" xr:uid="{00000000-0005-0000-0000-00006D390000}"/>
    <cellStyle name="Normal 4 2 4 5 4 2" xfId="34667" xr:uid="{6EEA5D3E-3808-4B2C-8339-D6EF871AB836}"/>
    <cellStyle name="Normal 4 2 4 5 5" xfId="9363" xr:uid="{00000000-0005-0000-0000-00006E390000}"/>
    <cellStyle name="Normal 4 2 4 5 6" xfId="26233" xr:uid="{107CB67B-815A-40C0-BFC3-51129A8A7058}"/>
    <cellStyle name="Normal 4 2 4 6" xfId="1251" xr:uid="{00000000-0005-0000-0000-00006F390000}"/>
    <cellStyle name="Normal 4 2 4 6 2" xfId="3481" xr:uid="{00000000-0005-0000-0000-000070390000}"/>
    <cellStyle name="Normal 4 2 4 6 2 2" xfId="7704" xr:uid="{00000000-0005-0000-0000-000071390000}"/>
    <cellStyle name="Normal 4 2 4 6 2 2 2" xfId="24574" xr:uid="{00000000-0005-0000-0000-000072390000}"/>
    <cellStyle name="Normal 4 2 4 6 2 2 2 2" xfId="41442" xr:uid="{CFD4BB86-1CB9-427A-BECB-A2C9E04AE67F}"/>
    <cellStyle name="Normal 4 2 4 6 2 2 3" xfId="16139" xr:uid="{00000000-0005-0000-0000-000073390000}"/>
    <cellStyle name="Normal 4 2 4 6 2 2 4" xfId="33008" xr:uid="{DCF9D044-8AFE-428F-85DF-D4BE247F3B9C}"/>
    <cellStyle name="Normal 4 2 4 6 2 3" xfId="20356" xr:uid="{00000000-0005-0000-0000-000074390000}"/>
    <cellStyle name="Normal 4 2 4 6 2 3 2" xfId="37225" xr:uid="{8DF94C80-A4F3-4DCA-B5EC-7E859E880E20}"/>
    <cellStyle name="Normal 4 2 4 6 2 4" xfId="11921" xr:uid="{00000000-0005-0000-0000-000075390000}"/>
    <cellStyle name="Normal 4 2 4 6 2 5" xfId="28791" xr:uid="{84CA55ED-859F-4CCD-9099-71CD75AB25C2}"/>
    <cellStyle name="Normal 4 2 4 6 3" xfId="5559" xr:uid="{00000000-0005-0000-0000-000076390000}"/>
    <cellStyle name="Normal 4 2 4 6 3 2" xfId="22429" xr:uid="{00000000-0005-0000-0000-000077390000}"/>
    <cellStyle name="Normal 4 2 4 6 3 2 2" xfId="39297" xr:uid="{A82EA2C8-AA24-409A-9D0E-1EEB720E3CAD}"/>
    <cellStyle name="Normal 4 2 4 6 3 3" xfId="13994" xr:uid="{00000000-0005-0000-0000-000078390000}"/>
    <cellStyle name="Normal 4 2 4 6 3 4" xfId="30863" xr:uid="{3B242F75-4E17-4D8C-B168-11321FF3BC8F}"/>
    <cellStyle name="Normal 4 2 4 6 4" xfId="18211" xr:uid="{00000000-0005-0000-0000-000079390000}"/>
    <cellStyle name="Normal 4 2 4 6 4 2" xfId="35080" xr:uid="{E87A2D7D-A53F-415D-95F7-2631B4B0B262}"/>
    <cellStyle name="Normal 4 2 4 6 5" xfId="9776" xr:uid="{00000000-0005-0000-0000-00007A390000}"/>
    <cellStyle name="Normal 4 2 4 6 6" xfId="26646" xr:uid="{F60A825F-2B6E-4F7C-9B72-F5E942418D45}"/>
    <cellStyle name="Normal 4 2 4 7" xfId="1664" xr:uid="{00000000-0005-0000-0000-00007B390000}"/>
    <cellStyle name="Normal 4 2 4 7 2" xfId="3894" xr:uid="{00000000-0005-0000-0000-00007C390000}"/>
    <cellStyle name="Normal 4 2 4 7 2 2" xfId="8117" xr:uid="{00000000-0005-0000-0000-00007D390000}"/>
    <cellStyle name="Normal 4 2 4 7 2 2 2" xfId="24987" xr:uid="{00000000-0005-0000-0000-00007E390000}"/>
    <cellStyle name="Normal 4 2 4 7 2 2 2 2" xfId="41855" xr:uid="{D990E21F-0F37-430A-83CB-E24E65A8B661}"/>
    <cellStyle name="Normal 4 2 4 7 2 2 3" xfId="16552" xr:uid="{00000000-0005-0000-0000-00007F390000}"/>
    <cellStyle name="Normal 4 2 4 7 2 2 4" xfId="33421" xr:uid="{956795D5-9F32-448B-B016-331387BD4132}"/>
    <cellStyle name="Normal 4 2 4 7 2 3" xfId="20769" xr:uid="{00000000-0005-0000-0000-000080390000}"/>
    <cellStyle name="Normal 4 2 4 7 2 3 2" xfId="37638" xr:uid="{4C694161-83AD-41F8-A470-772E260C08BA}"/>
    <cellStyle name="Normal 4 2 4 7 2 4" xfId="12334" xr:uid="{00000000-0005-0000-0000-000081390000}"/>
    <cellStyle name="Normal 4 2 4 7 2 5" xfId="29204" xr:uid="{27AC1A18-079C-45AE-9AC3-C3850D27D7F7}"/>
    <cellStyle name="Normal 4 2 4 7 3" xfId="5972" xr:uid="{00000000-0005-0000-0000-000082390000}"/>
    <cellStyle name="Normal 4 2 4 7 3 2" xfId="22842" xr:uid="{00000000-0005-0000-0000-000083390000}"/>
    <cellStyle name="Normal 4 2 4 7 3 2 2" xfId="39710" xr:uid="{5C31AFC8-19A0-48E0-9D67-B397AFF41743}"/>
    <cellStyle name="Normal 4 2 4 7 3 3" xfId="14407" xr:uid="{00000000-0005-0000-0000-000084390000}"/>
    <cellStyle name="Normal 4 2 4 7 3 4" xfId="31276" xr:uid="{0357F538-032B-49D5-8166-781814CCCDD6}"/>
    <cellStyle name="Normal 4 2 4 7 4" xfId="18624" xr:uid="{00000000-0005-0000-0000-000085390000}"/>
    <cellStyle name="Normal 4 2 4 7 4 2" xfId="35493" xr:uid="{A0C5EEA5-7393-40CE-9E7B-1233BCE574D5}"/>
    <cellStyle name="Normal 4 2 4 7 5" xfId="10189" xr:uid="{00000000-0005-0000-0000-000086390000}"/>
    <cellStyle name="Normal 4 2 4 7 6" xfId="27059" xr:uid="{5C43CD87-C1D3-41A9-A2B8-760C0DCD1CA0}"/>
    <cellStyle name="Normal 4 2 4 8" xfId="2078" xr:uid="{00000000-0005-0000-0000-000087390000}"/>
    <cellStyle name="Normal 4 2 4 8 2" xfId="4307" xr:uid="{00000000-0005-0000-0000-000088390000}"/>
    <cellStyle name="Normal 4 2 4 8 2 2" xfId="8530" xr:uid="{00000000-0005-0000-0000-000089390000}"/>
    <cellStyle name="Normal 4 2 4 8 2 2 2" xfId="25400" xr:uid="{00000000-0005-0000-0000-00008A390000}"/>
    <cellStyle name="Normal 4 2 4 8 2 2 2 2" xfId="42268" xr:uid="{DD22B802-C406-4A55-A289-E456DB25C815}"/>
    <cellStyle name="Normal 4 2 4 8 2 2 3" xfId="16965" xr:uid="{00000000-0005-0000-0000-00008B390000}"/>
    <cellStyle name="Normal 4 2 4 8 2 2 4" xfId="33834" xr:uid="{62A27A28-F9D8-4D89-A1CB-056F15D2D0FA}"/>
    <cellStyle name="Normal 4 2 4 8 2 3" xfId="21182" xr:uid="{00000000-0005-0000-0000-00008C390000}"/>
    <cellStyle name="Normal 4 2 4 8 2 3 2" xfId="38051" xr:uid="{FED2AA81-1189-493F-99CA-D784DD78AFA6}"/>
    <cellStyle name="Normal 4 2 4 8 2 4" xfId="12747" xr:uid="{00000000-0005-0000-0000-00008D390000}"/>
    <cellStyle name="Normal 4 2 4 8 2 5" xfId="29617" xr:uid="{9448CDA8-3393-43E4-B618-FD2B102F4E80}"/>
    <cellStyle name="Normal 4 2 4 8 3" xfId="6385" xr:uid="{00000000-0005-0000-0000-00008E390000}"/>
    <cellStyle name="Normal 4 2 4 8 3 2" xfId="23255" xr:uid="{00000000-0005-0000-0000-00008F390000}"/>
    <cellStyle name="Normal 4 2 4 8 3 2 2" xfId="40123" xr:uid="{0F051B3C-50E5-4A5E-A247-7AC257C8C032}"/>
    <cellStyle name="Normal 4 2 4 8 3 3" xfId="14820" xr:uid="{00000000-0005-0000-0000-000090390000}"/>
    <cellStyle name="Normal 4 2 4 8 3 4" xfId="31689" xr:uid="{66DB598F-6BD7-40A7-94A7-87056DB1BC4B}"/>
    <cellStyle name="Normal 4 2 4 8 4" xfId="19037" xr:uid="{00000000-0005-0000-0000-000091390000}"/>
    <cellStyle name="Normal 4 2 4 8 4 2" xfId="35906" xr:uid="{64134FDD-DBA2-4ED3-A705-CAA31E9CA5F7}"/>
    <cellStyle name="Normal 4 2 4 8 5" xfId="10602" xr:uid="{00000000-0005-0000-0000-000092390000}"/>
    <cellStyle name="Normal 4 2 4 8 6" xfId="27472" xr:uid="{B64F3B7F-189C-48CE-8550-8898C8BC0B98}"/>
    <cellStyle name="Normal 4 2 4 9" xfId="2514" xr:uid="{00000000-0005-0000-0000-000093390000}"/>
    <cellStyle name="Normal 4 2 4 9 2" xfId="6798" xr:uid="{00000000-0005-0000-0000-000094390000}"/>
    <cellStyle name="Normal 4 2 4 9 2 2" xfId="23668" xr:uid="{00000000-0005-0000-0000-000095390000}"/>
    <cellStyle name="Normal 4 2 4 9 2 2 2" xfId="40536" xr:uid="{45D58871-579B-4FE9-AE59-7EB916EBD49A}"/>
    <cellStyle name="Normal 4 2 4 9 2 3" xfId="15233" xr:uid="{00000000-0005-0000-0000-000096390000}"/>
    <cellStyle name="Normal 4 2 4 9 2 4" xfId="32102" xr:uid="{A9271BAA-5B96-4B7C-9964-41F9D52F019A}"/>
    <cellStyle name="Normal 4 2 4 9 3" xfId="19450" xr:uid="{00000000-0005-0000-0000-000097390000}"/>
    <cellStyle name="Normal 4 2 4 9 3 2" xfId="36319" xr:uid="{2E09D054-F580-42C0-ABD9-DD4A00B1FE50}"/>
    <cellStyle name="Normal 4 2 4 9 4" xfId="11015" xr:uid="{00000000-0005-0000-0000-000098390000}"/>
    <cellStyle name="Normal 4 2 4 9 5" xfId="27885" xr:uid="{62C302F2-1270-43C0-A935-323E895413B9}"/>
    <cellStyle name="Normal 4 2 5" xfId="363" xr:uid="{00000000-0005-0000-0000-000099390000}"/>
    <cellStyle name="Normal 4 2 5 10" xfId="8958" xr:uid="{00000000-0005-0000-0000-00009A390000}"/>
    <cellStyle name="Normal 4 2 5 11" xfId="25828" xr:uid="{899D3F64-3AA7-47DE-B2EA-5A0B6EB3E7E9}"/>
    <cellStyle name="Normal 4 2 5 2" xfId="364" xr:uid="{00000000-0005-0000-0000-00009B390000}"/>
    <cellStyle name="Normal 4 2 5 2 10" xfId="25829" xr:uid="{6B8B5635-DDD5-44A7-B3FD-D8CD65261DBF}"/>
    <cellStyle name="Normal 4 2 5 2 2" xfId="840" xr:uid="{00000000-0005-0000-0000-00009C390000}"/>
    <cellStyle name="Normal 4 2 5 2 2 2" xfId="3077" xr:uid="{00000000-0005-0000-0000-00009D390000}"/>
    <cellStyle name="Normal 4 2 5 2 2 2 2" xfId="7300" xr:uid="{00000000-0005-0000-0000-00009E390000}"/>
    <cellStyle name="Normal 4 2 5 2 2 2 2 2" xfId="24170" xr:uid="{00000000-0005-0000-0000-00009F390000}"/>
    <cellStyle name="Normal 4 2 5 2 2 2 2 2 2" xfId="41038" xr:uid="{B7F7BA24-C6E7-4B2C-8F54-899E429EA65F}"/>
    <cellStyle name="Normal 4 2 5 2 2 2 2 3" xfId="15735" xr:uid="{00000000-0005-0000-0000-0000A0390000}"/>
    <cellStyle name="Normal 4 2 5 2 2 2 2 4" xfId="32604" xr:uid="{BD0CC67D-1918-4EEA-8747-DC890886B0C4}"/>
    <cellStyle name="Normal 4 2 5 2 2 2 3" xfId="19952" xr:uid="{00000000-0005-0000-0000-0000A1390000}"/>
    <cellStyle name="Normal 4 2 5 2 2 2 3 2" xfId="36821" xr:uid="{5CF8699E-2445-4DAA-A7A8-C34AB0309BC7}"/>
    <cellStyle name="Normal 4 2 5 2 2 2 4" xfId="11517" xr:uid="{00000000-0005-0000-0000-0000A2390000}"/>
    <cellStyle name="Normal 4 2 5 2 2 2 5" xfId="28387" xr:uid="{64E4C0E7-BB78-480D-9972-51E3E25960CF}"/>
    <cellStyle name="Normal 4 2 5 2 2 3" xfId="5155" xr:uid="{00000000-0005-0000-0000-0000A3390000}"/>
    <cellStyle name="Normal 4 2 5 2 2 3 2" xfId="22025" xr:uid="{00000000-0005-0000-0000-0000A4390000}"/>
    <cellStyle name="Normal 4 2 5 2 2 3 2 2" xfId="38893" xr:uid="{E1205850-2091-4FDB-B9B1-CA15C0B1B404}"/>
    <cellStyle name="Normal 4 2 5 2 2 3 3" xfId="13590" xr:uid="{00000000-0005-0000-0000-0000A5390000}"/>
    <cellStyle name="Normal 4 2 5 2 2 3 4" xfId="30459" xr:uid="{83320731-DB95-4668-999B-466481F02E5B}"/>
    <cellStyle name="Normal 4 2 5 2 2 4" xfId="17807" xr:uid="{00000000-0005-0000-0000-0000A6390000}"/>
    <cellStyle name="Normal 4 2 5 2 2 4 2" xfId="34676" xr:uid="{DF639D20-0A21-415E-9324-FCB3C66DCE7C}"/>
    <cellStyle name="Normal 4 2 5 2 2 5" xfId="9372" xr:uid="{00000000-0005-0000-0000-0000A7390000}"/>
    <cellStyle name="Normal 4 2 5 2 2 6" xfId="26242" xr:uid="{996CC60E-BF16-44C5-B8CB-2DD0F1A69B71}"/>
    <cellStyle name="Normal 4 2 5 2 3" xfId="1260" xr:uid="{00000000-0005-0000-0000-0000A8390000}"/>
    <cellStyle name="Normal 4 2 5 2 3 2" xfId="3490" xr:uid="{00000000-0005-0000-0000-0000A9390000}"/>
    <cellStyle name="Normal 4 2 5 2 3 2 2" xfId="7713" xr:uid="{00000000-0005-0000-0000-0000AA390000}"/>
    <cellStyle name="Normal 4 2 5 2 3 2 2 2" xfId="24583" xr:uid="{00000000-0005-0000-0000-0000AB390000}"/>
    <cellStyle name="Normal 4 2 5 2 3 2 2 2 2" xfId="41451" xr:uid="{FB3F4F88-4CA7-4BE7-9035-A2D1BB0A2E24}"/>
    <cellStyle name="Normal 4 2 5 2 3 2 2 3" xfId="16148" xr:uid="{00000000-0005-0000-0000-0000AC390000}"/>
    <cellStyle name="Normal 4 2 5 2 3 2 2 4" xfId="33017" xr:uid="{7483C07C-484B-410F-902D-9C3AD8399274}"/>
    <cellStyle name="Normal 4 2 5 2 3 2 3" xfId="20365" xr:uid="{00000000-0005-0000-0000-0000AD390000}"/>
    <cellStyle name="Normal 4 2 5 2 3 2 3 2" xfId="37234" xr:uid="{F2B6C131-455C-4FC6-ADCE-5E1B6BCA4FA8}"/>
    <cellStyle name="Normal 4 2 5 2 3 2 4" xfId="11930" xr:uid="{00000000-0005-0000-0000-0000AE390000}"/>
    <cellStyle name="Normal 4 2 5 2 3 2 5" xfId="28800" xr:uid="{77A82A27-F963-421C-A9A7-EE8C578E2B38}"/>
    <cellStyle name="Normal 4 2 5 2 3 3" xfId="5568" xr:uid="{00000000-0005-0000-0000-0000AF390000}"/>
    <cellStyle name="Normal 4 2 5 2 3 3 2" xfId="22438" xr:uid="{00000000-0005-0000-0000-0000B0390000}"/>
    <cellStyle name="Normal 4 2 5 2 3 3 2 2" xfId="39306" xr:uid="{55A62A35-17A6-46E8-BCD4-B9B1B1A6ACD4}"/>
    <cellStyle name="Normal 4 2 5 2 3 3 3" xfId="14003" xr:uid="{00000000-0005-0000-0000-0000B1390000}"/>
    <cellStyle name="Normal 4 2 5 2 3 3 4" xfId="30872" xr:uid="{6E9EAA6E-A1C1-4818-88DC-CD58DA7DBFAB}"/>
    <cellStyle name="Normal 4 2 5 2 3 4" xfId="18220" xr:uid="{00000000-0005-0000-0000-0000B2390000}"/>
    <cellStyle name="Normal 4 2 5 2 3 4 2" xfId="35089" xr:uid="{282A9B07-02D1-4E3A-941D-FB12A45A1030}"/>
    <cellStyle name="Normal 4 2 5 2 3 5" xfId="9785" xr:uid="{00000000-0005-0000-0000-0000B3390000}"/>
    <cellStyle name="Normal 4 2 5 2 3 6" xfId="26655" xr:uid="{92BC0C99-8F7B-4B1F-A4E3-749D47C8929F}"/>
    <cellStyle name="Normal 4 2 5 2 4" xfId="1673" xr:uid="{00000000-0005-0000-0000-0000B4390000}"/>
    <cellStyle name="Normal 4 2 5 2 4 2" xfId="3903" xr:uid="{00000000-0005-0000-0000-0000B5390000}"/>
    <cellStyle name="Normal 4 2 5 2 4 2 2" xfId="8126" xr:uid="{00000000-0005-0000-0000-0000B6390000}"/>
    <cellStyle name="Normal 4 2 5 2 4 2 2 2" xfId="24996" xr:uid="{00000000-0005-0000-0000-0000B7390000}"/>
    <cellStyle name="Normal 4 2 5 2 4 2 2 2 2" xfId="41864" xr:uid="{05746A4E-E74C-446A-8262-2A74AC603990}"/>
    <cellStyle name="Normal 4 2 5 2 4 2 2 3" xfId="16561" xr:uid="{00000000-0005-0000-0000-0000B8390000}"/>
    <cellStyle name="Normal 4 2 5 2 4 2 2 4" xfId="33430" xr:uid="{568254A9-69C5-476E-808C-5A1F4BEA6031}"/>
    <cellStyle name="Normal 4 2 5 2 4 2 3" xfId="20778" xr:uid="{00000000-0005-0000-0000-0000B9390000}"/>
    <cellStyle name="Normal 4 2 5 2 4 2 3 2" xfId="37647" xr:uid="{1897CA0F-286E-401C-B3D5-D500A02197AD}"/>
    <cellStyle name="Normal 4 2 5 2 4 2 4" xfId="12343" xr:uid="{00000000-0005-0000-0000-0000BA390000}"/>
    <cellStyle name="Normal 4 2 5 2 4 2 5" xfId="29213" xr:uid="{1D64C5F7-69C3-4CD1-A1CB-5034649491B1}"/>
    <cellStyle name="Normal 4 2 5 2 4 3" xfId="5981" xr:uid="{00000000-0005-0000-0000-0000BB390000}"/>
    <cellStyle name="Normal 4 2 5 2 4 3 2" xfId="22851" xr:uid="{00000000-0005-0000-0000-0000BC390000}"/>
    <cellStyle name="Normal 4 2 5 2 4 3 2 2" xfId="39719" xr:uid="{9AB5103F-9876-4DA1-B294-BA15CEABF7BA}"/>
    <cellStyle name="Normal 4 2 5 2 4 3 3" xfId="14416" xr:uid="{00000000-0005-0000-0000-0000BD390000}"/>
    <cellStyle name="Normal 4 2 5 2 4 3 4" xfId="31285" xr:uid="{6E1A3A8A-716A-4C23-A653-27D41AE2B2A5}"/>
    <cellStyle name="Normal 4 2 5 2 4 4" xfId="18633" xr:uid="{00000000-0005-0000-0000-0000BE390000}"/>
    <cellStyle name="Normal 4 2 5 2 4 4 2" xfId="35502" xr:uid="{BC52961F-0F5D-4406-B593-34E5E7E9D487}"/>
    <cellStyle name="Normal 4 2 5 2 4 5" xfId="10198" xr:uid="{00000000-0005-0000-0000-0000BF390000}"/>
    <cellStyle name="Normal 4 2 5 2 4 6" xfId="27068" xr:uid="{417558A7-3AC7-4671-B03B-97BB04EC55ED}"/>
    <cellStyle name="Normal 4 2 5 2 5" xfId="2087" xr:uid="{00000000-0005-0000-0000-0000C0390000}"/>
    <cellStyle name="Normal 4 2 5 2 5 2" xfId="4316" xr:uid="{00000000-0005-0000-0000-0000C1390000}"/>
    <cellStyle name="Normal 4 2 5 2 5 2 2" xfId="8539" xr:uid="{00000000-0005-0000-0000-0000C2390000}"/>
    <cellStyle name="Normal 4 2 5 2 5 2 2 2" xfId="25409" xr:uid="{00000000-0005-0000-0000-0000C3390000}"/>
    <cellStyle name="Normal 4 2 5 2 5 2 2 2 2" xfId="42277" xr:uid="{47D40152-3D73-44FE-A62A-12C4A43A4B7F}"/>
    <cellStyle name="Normal 4 2 5 2 5 2 2 3" xfId="16974" xr:uid="{00000000-0005-0000-0000-0000C4390000}"/>
    <cellStyle name="Normal 4 2 5 2 5 2 2 4" xfId="33843" xr:uid="{F16984A9-D756-41FA-960E-5E048FBC3A50}"/>
    <cellStyle name="Normal 4 2 5 2 5 2 3" xfId="21191" xr:uid="{00000000-0005-0000-0000-0000C5390000}"/>
    <cellStyle name="Normal 4 2 5 2 5 2 3 2" xfId="38060" xr:uid="{77C6EFE8-FABE-48AB-B895-487B481130AE}"/>
    <cellStyle name="Normal 4 2 5 2 5 2 4" xfId="12756" xr:uid="{00000000-0005-0000-0000-0000C6390000}"/>
    <cellStyle name="Normal 4 2 5 2 5 2 5" xfId="29626" xr:uid="{87A83283-D529-44F9-830F-3B84DA53A8CF}"/>
    <cellStyle name="Normal 4 2 5 2 5 3" xfId="6394" xr:uid="{00000000-0005-0000-0000-0000C7390000}"/>
    <cellStyle name="Normal 4 2 5 2 5 3 2" xfId="23264" xr:uid="{00000000-0005-0000-0000-0000C8390000}"/>
    <cellStyle name="Normal 4 2 5 2 5 3 2 2" xfId="40132" xr:uid="{93D79233-E447-4549-8EBE-92E97FCA4208}"/>
    <cellStyle name="Normal 4 2 5 2 5 3 3" xfId="14829" xr:uid="{00000000-0005-0000-0000-0000C9390000}"/>
    <cellStyle name="Normal 4 2 5 2 5 3 4" xfId="31698" xr:uid="{D69DE103-B6EB-4D86-8638-178AA0078CB4}"/>
    <cellStyle name="Normal 4 2 5 2 5 4" xfId="19046" xr:uid="{00000000-0005-0000-0000-0000CA390000}"/>
    <cellStyle name="Normal 4 2 5 2 5 4 2" xfId="35915" xr:uid="{9492EE38-4639-4A7E-BE51-771225B72D62}"/>
    <cellStyle name="Normal 4 2 5 2 5 5" xfId="10611" xr:uid="{00000000-0005-0000-0000-0000CB390000}"/>
    <cellStyle name="Normal 4 2 5 2 5 6" xfId="27481" xr:uid="{D91BD32E-CAAB-4EC5-BD42-D198C1D6748B}"/>
    <cellStyle name="Normal 4 2 5 2 6" xfId="2523" xr:uid="{00000000-0005-0000-0000-0000CC390000}"/>
    <cellStyle name="Normal 4 2 5 2 6 2" xfId="6807" xr:uid="{00000000-0005-0000-0000-0000CD390000}"/>
    <cellStyle name="Normal 4 2 5 2 6 2 2" xfId="23677" xr:uid="{00000000-0005-0000-0000-0000CE390000}"/>
    <cellStyle name="Normal 4 2 5 2 6 2 2 2" xfId="40545" xr:uid="{6FC81F6D-65A6-4635-BB50-F7C7F3AE6995}"/>
    <cellStyle name="Normal 4 2 5 2 6 2 3" xfId="15242" xr:uid="{00000000-0005-0000-0000-0000CF390000}"/>
    <cellStyle name="Normal 4 2 5 2 6 2 4" xfId="32111" xr:uid="{5BE299DC-A562-4053-8005-8BEAE337C83A}"/>
    <cellStyle name="Normal 4 2 5 2 6 3" xfId="19459" xr:uid="{00000000-0005-0000-0000-0000D0390000}"/>
    <cellStyle name="Normal 4 2 5 2 6 3 2" xfId="36328" xr:uid="{FC98C1B7-0174-45F2-ADB4-80BAF07567C3}"/>
    <cellStyle name="Normal 4 2 5 2 6 4" xfId="11024" xr:uid="{00000000-0005-0000-0000-0000D1390000}"/>
    <cellStyle name="Normal 4 2 5 2 6 5" xfId="27894" xr:uid="{E5ED8C41-FBB7-43A8-A2D0-5730359A857D}"/>
    <cellStyle name="Normal 4 2 5 2 7" xfId="4742" xr:uid="{00000000-0005-0000-0000-0000D2390000}"/>
    <cellStyle name="Normal 4 2 5 2 7 2" xfId="21612" xr:uid="{00000000-0005-0000-0000-0000D3390000}"/>
    <cellStyle name="Normal 4 2 5 2 7 2 2" xfId="38480" xr:uid="{034151F1-767D-4A45-A03C-CA8054D202E2}"/>
    <cellStyle name="Normal 4 2 5 2 7 3" xfId="13177" xr:uid="{00000000-0005-0000-0000-0000D4390000}"/>
    <cellStyle name="Normal 4 2 5 2 7 4" xfId="30046" xr:uid="{DCDB2DD9-B4F5-46D2-BDE1-569E4A996B5C}"/>
    <cellStyle name="Normal 4 2 5 2 8" xfId="17394" xr:uid="{00000000-0005-0000-0000-0000D5390000}"/>
    <cellStyle name="Normal 4 2 5 2 8 2" xfId="34263" xr:uid="{EFBCBD25-E12D-4642-BC50-B11B3BB81D4F}"/>
    <cellStyle name="Normal 4 2 5 2 9" xfId="8959" xr:uid="{00000000-0005-0000-0000-0000D6390000}"/>
    <cellStyle name="Normal 4 2 5 3" xfId="839" xr:uid="{00000000-0005-0000-0000-0000D7390000}"/>
    <cellStyle name="Normal 4 2 5 3 2" xfId="3076" xr:uid="{00000000-0005-0000-0000-0000D8390000}"/>
    <cellStyle name="Normal 4 2 5 3 2 2" xfId="7299" xr:uid="{00000000-0005-0000-0000-0000D9390000}"/>
    <cellStyle name="Normal 4 2 5 3 2 2 2" xfId="24169" xr:uid="{00000000-0005-0000-0000-0000DA390000}"/>
    <cellStyle name="Normal 4 2 5 3 2 2 2 2" xfId="41037" xr:uid="{E060E6DD-7EB3-4A41-8BDE-D3975D357780}"/>
    <cellStyle name="Normal 4 2 5 3 2 2 3" xfId="15734" xr:uid="{00000000-0005-0000-0000-0000DB390000}"/>
    <cellStyle name="Normal 4 2 5 3 2 2 4" xfId="32603" xr:uid="{C8E9984E-D667-4997-B5B7-28EA1BCF485C}"/>
    <cellStyle name="Normal 4 2 5 3 2 3" xfId="19951" xr:uid="{00000000-0005-0000-0000-0000DC390000}"/>
    <cellStyle name="Normal 4 2 5 3 2 3 2" xfId="36820" xr:uid="{AAD64171-F972-4C88-BD5D-D37032B5143A}"/>
    <cellStyle name="Normal 4 2 5 3 2 4" xfId="11516" xr:uid="{00000000-0005-0000-0000-0000DD390000}"/>
    <cellStyle name="Normal 4 2 5 3 2 5" xfId="28386" xr:uid="{C6E0D4E4-E03B-4596-A734-9578202D017B}"/>
    <cellStyle name="Normal 4 2 5 3 3" xfId="5154" xr:uid="{00000000-0005-0000-0000-0000DE390000}"/>
    <cellStyle name="Normal 4 2 5 3 3 2" xfId="22024" xr:uid="{00000000-0005-0000-0000-0000DF390000}"/>
    <cellStyle name="Normal 4 2 5 3 3 2 2" xfId="38892" xr:uid="{599AC4FE-E6C3-42DD-A691-77B89108FFAB}"/>
    <cellStyle name="Normal 4 2 5 3 3 3" xfId="13589" xr:uid="{00000000-0005-0000-0000-0000E0390000}"/>
    <cellStyle name="Normal 4 2 5 3 3 4" xfId="30458" xr:uid="{FEDFC11D-5E63-4977-A058-E5436E577493}"/>
    <cellStyle name="Normal 4 2 5 3 4" xfId="17806" xr:uid="{00000000-0005-0000-0000-0000E1390000}"/>
    <cellStyle name="Normal 4 2 5 3 4 2" xfId="34675" xr:uid="{7B1010FD-F386-4D92-9B32-FDE33071D8A1}"/>
    <cellStyle name="Normal 4 2 5 3 5" xfId="9371" xr:uid="{00000000-0005-0000-0000-0000E2390000}"/>
    <cellStyle name="Normal 4 2 5 3 6" xfId="26241" xr:uid="{3A1A14FA-E80C-4A74-9293-86C5B361C277}"/>
    <cellStyle name="Normal 4 2 5 4" xfId="1259" xr:uid="{00000000-0005-0000-0000-0000E3390000}"/>
    <cellStyle name="Normal 4 2 5 4 2" xfId="3489" xr:uid="{00000000-0005-0000-0000-0000E4390000}"/>
    <cellStyle name="Normal 4 2 5 4 2 2" xfId="7712" xr:uid="{00000000-0005-0000-0000-0000E5390000}"/>
    <cellStyle name="Normal 4 2 5 4 2 2 2" xfId="24582" xr:uid="{00000000-0005-0000-0000-0000E6390000}"/>
    <cellStyle name="Normal 4 2 5 4 2 2 2 2" xfId="41450" xr:uid="{8C17D62C-444A-4D39-80BE-EBC6DC5434C2}"/>
    <cellStyle name="Normal 4 2 5 4 2 2 3" xfId="16147" xr:uid="{00000000-0005-0000-0000-0000E7390000}"/>
    <cellStyle name="Normal 4 2 5 4 2 2 4" xfId="33016" xr:uid="{1E552B4E-3455-4903-9A91-EDEA8A5A3755}"/>
    <cellStyle name="Normal 4 2 5 4 2 3" xfId="20364" xr:uid="{00000000-0005-0000-0000-0000E8390000}"/>
    <cellStyle name="Normal 4 2 5 4 2 3 2" xfId="37233" xr:uid="{09F5DC8A-B383-4EBC-82EF-EEEE5CE37D82}"/>
    <cellStyle name="Normal 4 2 5 4 2 4" xfId="11929" xr:uid="{00000000-0005-0000-0000-0000E9390000}"/>
    <cellStyle name="Normal 4 2 5 4 2 5" xfId="28799" xr:uid="{8D590FE1-ADBD-4DDA-838E-5DFD7611123B}"/>
    <cellStyle name="Normal 4 2 5 4 3" xfId="5567" xr:uid="{00000000-0005-0000-0000-0000EA390000}"/>
    <cellStyle name="Normal 4 2 5 4 3 2" xfId="22437" xr:uid="{00000000-0005-0000-0000-0000EB390000}"/>
    <cellStyle name="Normal 4 2 5 4 3 2 2" xfId="39305" xr:uid="{127E4006-563B-4492-BCB8-76A80B335C85}"/>
    <cellStyle name="Normal 4 2 5 4 3 3" xfId="14002" xr:uid="{00000000-0005-0000-0000-0000EC390000}"/>
    <cellStyle name="Normal 4 2 5 4 3 4" xfId="30871" xr:uid="{AC5C064B-929C-4189-ABBD-15F9295BC353}"/>
    <cellStyle name="Normal 4 2 5 4 4" xfId="18219" xr:uid="{00000000-0005-0000-0000-0000ED390000}"/>
    <cellStyle name="Normal 4 2 5 4 4 2" xfId="35088" xr:uid="{0B514C3C-E50E-43DA-9019-CA61E8B85B64}"/>
    <cellStyle name="Normal 4 2 5 4 5" xfId="9784" xr:uid="{00000000-0005-0000-0000-0000EE390000}"/>
    <cellStyle name="Normal 4 2 5 4 6" xfId="26654" xr:uid="{F78ACB54-CEB6-4621-8E2E-72D342FB72B8}"/>
    <cellStyle name="Normal 4 2 5 5" xfId="1672" xr:uid="{00000000-0005-0000-0000-0000EF390000}"/>
    <cellStyle name="Normal 4 2 5 5 2" xfId="3902" xr:uid="{00000000-0005-0000-0000-0000F0390000}"/>
    <cellStyle name="Normal 4 2 5 5 2 2" xfId="8125" xr:uid="{00000000-0005-0000-0000-0000F1390000}"/>
    <cellStyle name="Normal 4 2 5 5 2 2 2" xfId="24995" xr:uid="{00000000-0005-0000-0000-0000F2390000}"/>
    <cellStyle name="Normal 4 2 5 5 2 2 2 2" xfId="41863" xr:uid="{005E437A-5A92-434A-95E2-3F9CFEF9C61A}"/>
    <cellStyle name="Normal 4 2 5 5 2 2 3" xfId="16560" xr:uid="{00000000-0005-0000-0000-0000F3390000}"/>
    <cellStyle name="Normal 4 2 5 5 2 2 4" xfId="33429" xr:uid="{475B67D8-211B-4F29-9CD6-1E0E9779B43A}"/>
    <cellStyle name="Normal 4 2 5 5 2 3" xfId="20777" xr:uid="{00000000-0005-0000-0000-0000F4390000}"/>
    <cellStyle name="Normal 4 2 5 5 2 3 2" xfId="37646" xr:uid="{790CF0F0-5471-47EA-9DCD-72C6A9F0696D}"/>
    <cellStyle name="Normal 4 2 5 5 2 4" xfId="12342" xr:uid="{00000000-0005-0000-0000-0000F5390000}"/>
    <cellStyle name="Normal 4 2 5 5 2 5" xfId="29212" xr:uid="{C95668BF-BB8B-4EF8-BD9F-51ED06C78E96}"/>
    <cellStyle name="Normal 4 2 5 5 3" xfId="5980" xr:uid="{00000000-0005-0000-0000-0000F6390000}"/>
    <cellStyle name="Normal 4 2 5 5 3 2" xfId="22850" xr:uid="{00000000-0005-0000-0000-0000F7390000}"/>
    <cellStyle name="Normal 4 2 5 5 3 2 2" xfId="39718" xr:uid="{D723FC39-4DD5-466B-9BEE-59E5932FBB4B}"/>
    <cellStyle name="Normal 4 2 5 5 3 3" xfId="14415" xr:uid="{00000000-0005-0000-0000-0000F8390000}"/>
    <cellStyle name="Normal 4 2 5 5 3 4" xfId="31284" xr:uid="{D57F115A-81C0-41A8-AE09-54B78D33241C}"/>
    <cellStyle name="Normal 4 2 5 5 4" xfId="18632" xr:uid="{00000000-0005-0000-0000-0000F9390000}"/>
    <cellStyle name="Normal 4 2 5 5 4 2" xfId="35501" xr:uid="{EDCFCC1F-5EE3-4FFB-AA92-7FF09A05F886}"/>
    <cellStyle name="Normal 4 2 5 5 5" xfId="10197" xr:uid="{00000000-0005-0000-0000-0000FA390000}"/>
    <cellStyle name="Normal 4 2 5 5 6" xfId="27067" xr:uid="{CAB24EBF-50AF-4605-813F-3B3E1BD1BB7B}"/>
    <cellStyle name="Normal 4 2 5 6" xfId="2086" xr:uid="{00000000-0005-0000-0000-0000FB390000}"/>
    <cellStyle name="Normal 4 2 5 6 2" xfId="4315" xr:uid="{00000000-0005-0000-0000-0000FC390000}"/>
    <cellStyle name="Normal 4 2 5 6 2 2" xfId="8538" xr:uid="{00000000-0005-0000-0000-0000FD390000}"/>
    <cellStyle name="Normal 4 2 5 6 2 2 2" xfId="25408" xr:uid="{00000000-0005-0000-0000-0000FE390000}"/>
    <cellStyle name="Normal 4 2 5 6 2 2 2 2" xfId="42276" xr:uid="{A98AF867-7479-4F38-B56F-2D8C33F89B1A}"/>
    <cellStyle name="Normal 4 2 5 6 2 2 3" xfId="16973" xr:uid="{00000000-0005-0000-0000-0000FF390000}"/>
    <cellStyle name="Normal 4 2 5 6 2 2 4" xfId="33842" xr:uid="{D30BA13F-5DAB-4874-B11A-B768AF59CB6A}"/>
    <cellStyle name="Normal 4 2 5 6 2 3" xfId="21190" xr:uid="{00000000-0005-0000-0000-0000003A0000}"/>
    <cellStyle name="Normal 4 2 5 6 2 3 2" xfId="38059" xr:uid="{67ACBBF3-0C19-4165-A5C7-1D0E4CBC9C8B}"/>
    <cellStyle name="Normal 4 2 5 6 2 4" xfId="12755" xr:uid="{00000000-0005-0000-0000-0000013A0000}"/>
    <cellStyle name="Normal 4 2 5 6 2 5" xfId="29625" xr:uid="{0F3B029C-AFC5-4DD7-8306-ED58A61A383E}"/>
    <cellStyle name="Normal 4 2 5 6 3" xfId="6393" xr:uid="{00000000-0005-0000-0000-0000023A0000}"/>
    <cellStyle name="Normal 4 2 5 6 3 2" xfId="23263" xr:uid="{00000000-0005-0000-0000-0000033A0000}"/>
    <cellStyle name="Normal 4 2 5 6 3 2 2" xfId="40131" xr:uid="{4E73C04A-6E8C-4BD2-9A9C-28A920FE5189}"/>
    <cellStyle name="Normal 4 2 5 6 3 3" xfId="14828" xr:uid="{00000000-0005-0000-0000-0000043A0000}"/>
    <cellStyle name="Normal 4 2 5 6 3 4" xfId="31697" xr:uid="{00E6FE0C-8F60-4B30-BF89-CBBB1F168662}"/>
    <cellStyle name="Normal 4 2 5 6 4" xfId="19045" xr:uid="{00000000-0005-0000-0000-0000053A0000}"/>
    <cellStyle name="Normal 4 2 5 6 4 2" xfId="35914" xr:uid="{DF7E2DA0-A295-4C50-9382-AD58E6FB2ED8}"/>
    <cellStyle name="Normal 4 2 5 6 5" xfId="10610" xr:uid="{00000000-0005-0000-0000-0000063A0000}"/>
    <cellStyle name="Normal 4 2 5 6 6" xfId="27480" xr:uid="{5A0A5192-067B-4FC8-8B08-D49CBC26CA2E}"/>
    <cellStyle name="Normal 4 2 5 7" xfId="2522" xr:uid="{00000000-0005-0000-0000-0000073A0000}"/>
    <cellStyle name="Normal 4 2 5 7 2" xfId="6806" xr:uid="{00000000-0005-0000-0000-0000083A0000}"/>
    <cellStyle name="Normal 4 2 5 7 2 2" xfId="23676" xr:uid="{00000000-0005-0000-0000-0000093A0000}"/>
    <cellStyle name="Normal 4 2 5 7 2 2 2" xfId="40544" xr:uid="{E418D1EA-E538-4CA0-ABE2-81DD9B9963CC}"/>
    <cellStyle name="Normal 4 2 5 7 2 3" xfId="15241" xr:uid="{00000000-0005-0000-0000-00000A3A0000}"/>
    <cellStyle name="Normal 4 2 5 7 2 4" xfId="32110" xr:uid="{44AA595B-2E8C-4EB5-9A60-87E0A26B6E9A}"/>
    <cellStyle name="Normal 4 2 5 7 3" xfId="19458" xr:uid="{00000000-0005-0000-0000-00000B3A0000}"/>
    <cellStyle name="Normal 4 2 5 7 3 2" xfId="36327" xr:uid="{B25997B8-DE39-4361-97EC-DDBE2F2983B0}"/>
    <cellStyle name="Normal 4 2 5 7 4" xfId="11023" xr:uid="{00000000-0005-0000-0000-00000C3A0000}"/>
    <cellStyle name="Normal 4 2 5 7 5" xfId="27893" xr:uid="{6D4F5B3D-68E4-4F78-9392-6DDAF51D8E75}"/>
    <cellStyle name="Normal 4 2 5 8" xfId="4741" xr:uid="{00000000-0005-0000-0000-00000D3A0000}"/>
    <cellStyle name="Normal 4 2 5 8 2" xfId="21611" xr:uid="{00000000-0005-0000-0000-00000E3A0000}"/>
    <cellStyle name="Normal 4 2 5 8 2 2" xfId="38479" xr:uid="{B89CA99C-E6FC-473F-AAFD-3E3BF1D74020}"/>
    <cellStyle name="Normal 4 2 5 8 3" xfId="13176" xr:uid="{00000000-0005-0000-0000-00000F3A0000}"/>
    <cellStyle name="Normal 4 2 5 8 4" xfId="30045" xr:uid="{F43D7800-18F9-4E2D-B9F2-471F16F3D11F}"/>
    <cellStyle name="Normal 4 2 5 9" xfId="17393" xr:uid="{00000000-0005-0000-0000-0000103A0000}"/>
    <cellStyle name="Normal 4 2 5 9 2" xfId="34262" xr:uid="{AC5A9403-E003-4C5B-8A9C-08F29686E873}"/>
    <cellStyle name="Normal 4 2 6" xfId="365" xr:uid="{00000000-0005-0000-0000-0000113A0000}"/>
    <cellStyle name="Normal 4 2 6 10" xfId="25830" xr:uid="{86F4FF15-5555-4974-A97A-5926BD5EB996}"/>
    <cellStyle name="Normal 4 2 6 2" xfId="841" xr:uid="{00000000-0005-0000-0000-0000123A0000}"/>
    <cellStyle name="Normal 4 2 6 2 2" xfId="3078" xr:uid="{00000000-0005-0000-0000-0000133A0000}"/>
    <cellStyle name="Normal 4 2 6 2 2 2" xfId="7301" xr:uid="{00000000-0005-0000-0000-0000143A0000}"/>
    <cellStyle name="Normal 4 2 6 2 2 2 2" xfId="24171" xr:uid="{00000000-0005-0000-0000-0000153A0000}"/>
    <cellStyle name="Normal 4 2 6 2 2 2 2 2" xfId="41039" xr:uid="{8E7A067E-9D17-4577-BAD5-D9DAA362B78A}"/>
    <cellStyle name="Normal 4 2 6 2 2 2 3" xfId="15736" xr:uid="{00000000-0005-0000-0000-0000163A0000}"/>
    <cellStyle name="Normal 4 2 6 2 2 2 4" xfId="32605" xr:uid="{17B8D498-BF90-4C28-8E0B-2442E3709B9A}"/>
    <cellStyle name="Normal 4 2 6 2 2 3" xfId="19953" xr:uid="{00000000-0005-0000-0000-0000173A0000}"/>
    <cellStyle name="Normal 4 2 6 2 2 3 2" xfId="36822" xr:uid="{F7ADE3E1-B5AA-434A-AA79-C04C754F5C96}"/>
    <cellStyle name="Normal 4 2 6 2 2 4" xfId="11518" xr:uid="{00000000-0005-0000-0000-0000183A0000}"/>
    <cellStyle name="Normal 4 2 6 2 2 5" xfId="28388" xr:uid="{775AF76C-6055-4FFB-B414-DB26B03FAEEA}"/>
    <cellStyle name="Normal 4 2 6 2 3" xfId="5156" xr:uid="{00000000-0005-0000-0000-0000193A0000}"/>
    <cellStyle name="Normal 4 2 6 2 3 2" xfId="22026" xr:uid="{00000000-0005-0000-0000-00001A3A0000}"/>
    <cellStyle name="Normal 4 2 6 2 3 2 2" xfId="38894" xr:uid="{489389DA-2122-4D6A-876B-8DFF9574FE96}"/>
    <cellStyle name="Normal 4 2 6 2 3 3" xfId="13591" xr:uid="{00000000-0005-0000-0000-00001B3A0000}"/>
    <cellStyle name="Normal 4 2 6 2 3 4" xfId="30460" xr:uid="{3B86BF52-A05D-4E1B-8E1D-FBD1DE436B3E}"/>
    <cellStyle name="Normal 4 2 6 2 4" xfId="17808" xr:uid="{00000000-0005-0000-0000-00001C3A0000}"/>
    <cellStyle name="Normal 4 2 6 2 4 2" xfId="34677" xr:uid="{0CEFB81A-BFE0-4B3D-B56D-BB33A585FA6A}"/>
    <cellStyle name="Normal 4 2 6 2 5" xfId="9373" xr:uid="{00000000-0005-0000-0000-00001D3A0000}"/>
    <cellStyle name="Normal 4 2 6 2 6" xfId="26243" xr:uid="{8CE7B33D-E8CB-41D9-A93E-4428BE2F3CF3}"/>
    <cellStyle name="Normal 4 2 6 3" xfId="1261" xr:uid="{00000000-0005-0000-0000-00001E3A0000}"/>
    <cellStyle name="Normal 4 2 6 3 2" xfId="3491" xr:uid="{00000000-0005-0000-0000-00001F3A0000}"/>
    <cellStyle name="Normal 4 2 6 3 2 2" xfId="7714" xr:uid="{00000000-0005-0000-0000-0000203A0000}"/>
    <cellStyle name="Normal 4 2 6 3 2 2 2" xfId="24584" xr:uid="{00000000-0005-0000-0000-0000213A0000}"/>
    <cellStyle name="Normal 4 2 6 3 2 2 2 2" xfId="41452" xr:uid="{6D5FDDAE-0FC3-43A9-9569-8A00586A0651}"/>
    <cellStyle name="Normal 4 2 6 3 2 2 3" xfId="16149" xr:uid="{00000000-0005-0000-0000-0000223A0000}"/>
    <cellStyle name="Normal 4 2 6 3 2 2 4" xfId="33018" xr:uid="{0B962334-722A-4582-927D-B117960F70A5}"/>
    <cellStyle name="Normal 4 2 6 3 2 3" xfId="20366" xr:uid="{00000000-0005-0000-0000-0000233A0000}"/>
    <cellStyle name="Normal 4 2 6 3 2 3 2" xfId="37235" xr:uid="{41B36B85-4789-463C-A5B7-E6BF31D00D56}"/>
    <cellStyle name="Normal 4 2 6 3 2 4" xfId="11931" xr:uid="{00000000-0005-0000-0000-0000243A0000}"/>
    <cellStyle name="Normal 4 2 6 3 2 5" xfId="28801" xr:uid="{89AAA1E6-ACD9-4A24-9B7D-85C1EAFFB9E7}"/>
    <cellStyle name="Normal 4 2 6 3 3" xfId="5569" xr:uid="{00000000-0005-0000-0000-0000253A0000}"/>
    <cellStyle name="Normal 4 2 6 3 3 2" xfId="22439" xr:uid="{00000000-0005-0000-0000-0000263A0000}"/>
    <cellStyle name="Normal 4 2 6 3 3 2 2" xfId="39307" xr:uid="{917441DC-526B-4273-BECB-B363F145285D}"/>
    <cellStyle name="Normal 4 2 6 3 3 3" xfId="14004" xr:uid="{00000000-0005-0000-0000-0000273A0000}"/>
    <cellStyle name="Normal 4 2 6 3 3 4" xfId="30873" xr:uid="{8A258AA0-5358-4C89-BA8D-198D36EC5BCD}"/>
    <cellStyle name="Normal 4 2 6 3 4" xfId="18221" xr:uid="{00000000-0005-0000-0000-0000283A0000}"/>
    <cellStyle name="Normal 4 2 6 3 4 2" xfId="35090" xr:uid="{8E8A7976-7D65-41D3-A7C2-7300719CA616}"/>
    <cellStyle name="Normal 4 2 6 3 5" xfId="9786" xr:uid="{00000000-0005-0000-0000-0000293A0000}"/>
    <cellStyle name="Normal 4 2 6 3 6" xfId="26656" xr:uid="{2BE5DB51-2819-4D40-A979-A6375802A497}"/>
    <cellStyle name="Normal 4 2 6 4" xfId="1674" xr:uid="{00000000-0005-0000-0000-00002A3A0000}"/>
    <cellStyle name="Normal 4 2 6 4 2" xfId="3904" xr:uid="{00000000-0005-0000-0000-00002B3A0000}"/>
    <cellStyle name="Normal 4 2 6 4 2 2" xfId="8127" xr:uid="{00000000-0005-0000-0000-00002C3A0000}"/>
    <cellStyle name="Normal 4 2 6 4 2 2 2" xfId="24997" xr:uid="{00000000-0005-0000-0000-00002D3A0000}"/>
    <cellStyle name="Normal 4 2 6 4 2 2 2 2" xfId="41865" xr:uid="{CC251EF1-32C3-49AB-B3A6-1F644022561D}"/>
    <cellStyle name="Normal 4 2 6 4 2 2 3" xfId="16562" xr:uid="{00000000-0005-0000-0000-00002E3A0000}"/>
    <cellStyle name="Normal 4 2 6 4 2 2 4" xfId="33431" xr:uid="{34C6B999-87A0-4CEF-936E-EAC3ABBFDCDD}"/>
    <cellStyle name="Normal 4 2 6 4 2 3" xfId="20779" xr:uid="{00000000-0005-0000-0000-00002F3A0000}"/>
    <cellStyle name="Normal 4 2 6 4 2 3 2" xfId="37648" xr:uid="{6F4EA889-17F7-4A02-B665-969919FDD348}"/>
    <cellStyle name="Normal 4 2 6 4 2 4" xfId="12344" xr:uid="{00000000-0005-0000-0000-0000303A0000}"/>
    <cellStyle name="Normal 4 2 6 4 2 5" xfId="29214" xr:uid="{A54D148C-6865-47A5-9D3F-DF30852D55B1}"/>
    <cellStyle name="Normal 4 2 6 4 3" xfId="5982" xr:uid="{00000000-0005-0000-0000-0000313A0000}"/>
    <cellStyle name="Normal 4 2 6 4 3 2" xfId="22852" xr:uid="{00000000-0005-0000-0000-0000323A0000}"/>
    <cellStyle name="Normal 4 2 6 4 3 2 2" xfId="39720" xr:uid="{FDD8DFAD-20EB-425B-ADF4-091F0DA4A227}"/>
    <cellStyle name="Normal 4 2 6 4 3 3" xfId="14417" xr:uid="{00000000-0005-0000-0000-0000333A0000}"/>
    <cellStyle name="Normal 4 2 6 4 3 4" xfId="31286" xr:uid="{608EB05E-EDCB-47E1-A950-D2279AB96502}"/>
    <cellStyle name="Normal 4 2 6 4 4" xfId="18634" xr:uid="{00000000-0005-0000-0000-0000343A0000}"/>
    <cellStyle name="Normal 4 2 6 4 4 2" xfId="35503" xr:uid="{F332B275-B679-4EC5-8DCF-922A48FDD653}"/>
    <cellStyle name="Normal 4 2 6 4 5" xfId="10199" xr:uid="{00000000-0005-0000-0000-0000353A0000}"/>
    <cellStyle name="Normal 4 2 6 4 6" xfId="27069" xr:uid="{7F996475-9973-4143-8D5E-63DC0E2207FF}"/>
    <cellStyle name="Normal 4 2 6 5" xfId="2088" xr:uid="{00000000-0005-0000-0000-0000363A0000}"/>
    <cellStyle name="Normal 4 2 6 5 2" xfId="4317" xr:uid="{00000000-0005-0000-0000-0000373A0000}"/>
    <cellStyle name="Normal 4 2 6 5 2 2" xfId="8540" xr:uid="{00000000-0005-0000-0000-0000383A0000}"/>
    <cellStyle name="Normal 4 2 6 5 2 2 2" xfId="25410" xr:uid="{00000000-0005-0000-0000-0000393A0000}"/>
    <cellStyle name="Normal 4 2 6 5 2 2 2 2" xfId="42278" xr:uid="{6DDC5997-0350-4275-B094-4A774FFDD0C7}"/>
    <cellStyle name="Normal 4 2 6 5 2 2 3" xfId="16975" xr:uid="{00000000-0005-0000-0000-00003A3A0000}"/>
    <cellStyle name="Normal 4 2 6 5 2 2 4" xfId="33844" xr:uid="{DE5138D3-983F-45F9-A4DB-046F18B28DB9}"/>
    <cellStyle name="Normal 4 2 6 5 2 3" xfId="21192" xr:uid="{00000000-0005-0000-0000-00003B3A0000}"/>
    <cellStyle name="Normal 4 2 6 5 2 3 2" xfId="38061" xr:uid="{EC13F391-F08F-4EDA-842B-D5E87C779325}"/>
    <cellStyle name="Normal 4 2 6 5 2 4" xfId="12757" xr:uid="{00000000-0005-0000-0000-00003C3A0000}"/>
    <cellStyle name="Normal 4 2 6 5 2 5" xfId="29627" xr:uid="{5E4BA1C0-986E-4361-BCE9-935C8F05D43C}"/>
    <cellStyle name="Normal 4 2 6 5 3" xfId="6395" xr:uid="{00000000-0005-0000-0000-00003D3A0000}"/>
    <cellStyle name="Normal 4 2 6 5 3 2" xfId="23265" xr:uid="{00000000-0005-0000-0000-00003E3A0000}"/>
    <cellStyle name="Normal 4 2 6 5 3 2 2" xfId="40133" xr:uid="{3BFA8ED5-4A1F-4719-AB93-DE341885E1EA}"/>
    <cellStyle name="Normal 4 2 6 5 3 3" xfId="14830" xr:uid="{00000000-0005-0000-0000-00003F3A0000}"/>
    <cellStyle name="Normal 4 2 6 5 3 4" xfId="31699" xr:uid="{CDE131F0-0734-442E-88CA-4D45192527EF}"/>
    <cellStyle name="Normal 4 2 6 5 4" xfId="19047" xr:uid="{00000000-0005-0000-0000-0000403A0000}"/>
    <cellStyle name="Normal 4 2 6 5 4 2" xfId="35916" xr:uid="{6341D387-5E72-4CBB-BD41-2075819CFAAD}"/>
    <cellStyle name="Normal 4 2 6 5 5" xfId="10612" xr:uid="{00000000-0005-0000-0000-0000413A0000}"/>
    <cellStyle name="Normal 4 2 6 5 6" xfId="27482" xr:uid="{2A966AF0-8B11-499E-A4C3-4825449069F5}"/>
    <cellStyle name="Normal 4 2 6 6" xfId="2524" xr:uid="{00000000-0005-0000-0000-0000423A0000}"/>
    <cellStyle name="Normal 4 2 6 6 2" xfId="6808" xr:uid="{00000000-0005-0000-0000-0000433A0000}"/>
    <cellStyle name="Normal 4 2 6 6 2 2" xfId="23678" xr:uid="{00000000-0005-0000-0000-0000443A0000}"/>
    <cellStyle name="Normal 4 2 6 6 2 2 2" xfId="40546" xr:uid="{5F4A4171-7333-471F-B07C-FE22120322F2}"/>
    <cellStyle name="Normal 4 2 6 6 2 3" xfId="15243" xr:uid="{00000000-0005-0000-0000-0000453A0000}"/>
    <cellStyle name="Normal 4 2 6 6 2 4" xfId="32112" xr:uid="{3C9E205C-A11C-4D66-9351-96DD5EE949E1}"/>
    <cellStyle name="Normal 4 2 6 6 3" xfId="19460" xr:uid="{00000000-0005-0000-0000-0000463A0000}"/>
    <cellStyle name="Normal 4 2 6 6 3 2" xfId="36329" xr:uid="{4E00EE2F-FDEB-4F4F-8CED-FEF444AD0CC5}"/>
    <cellStyle name="Normal 4 2 6 6 4" xfId="11025" xr:uid="{00000000-0005-0000-0000-0000473A0000}"/>
    <cellStyle name="Normal 4 2 6 6 5" xfId="27895" xr:uid="{F8A013D5-514D-4FDE-8DE6-D86276471DAE}"/>
    <cellStyle name="Normal 4 2 6 7" xfId="4743" xr:uid="{00000000-0005-0000-0000-0000483A0000}"/>
    <cellStyle name="Normal 4 2 6 7 2" xfId="21613" xr:uid="{00000000-0005-0000-0000-0000493A0000}"/>
    <cellStyle name="Normal 4 2 6 7 2 2" xfId="38481" xr:uid="{769BD242-C132-45C6-B641-7C0940761F60}"/>
    <cellStyle name="Normal 4 2 6 7 3" xfId="13178" xr:uid="{00000000-0005-0000-0000-00004A3A0000}"/>
    <cellStyle name="Normal 4 2 6 7 4" xfId="30047" xr:uid="{FD0D1D74-7CAE-4605-BB25-73BFD88D6A68}"/>
    <cellStyle name="Normal 4 2 6 8" xfId="17395" xr:uid="{00000000-0005-0000-0000-00004B3A0000}"/>
    <cellStyle name="Normal 4 2 6 8 2" xfId="34264" xr:uid="{004F1513-1D58-4C41-9140-39F0940EDA24}"/>
    <cellStyle name="Normal 4 2 6 9" xfId="8960" xr:uid="{00000000-0005-0000-0000-00004C3A0000}"/>
    <cellStyle name="Normal 4 3" xfId="366" xr:uid="{00000000-0005-0000-0000-00004D3A0000}"/>
    <cellStyle name="Normal 4 3 10" xfId="17396" xr:uid="{00000000-0005-0000-0000-00004E3A0000}"/>
    <cellStyle name="Normal 4 3 10 2" xfId="34265" xr:uid="{FF9A9B2B-4EF9-4F56-8F5D-C76C6960AD76}"/>
    <cellStyle name="Normal 4 3 11" xfId="8961" xr:uid="{00000000-0005-0000-0000-00004F3A0000}"/>
    <cellStyle name="Normal 4 3 12" xfId="25831" xr:uid="{D0EAA7D8-5346-4720-A698-AAC5B47E4F1E}"/>
    <cellStyle name="Normal 4 3 2" xfId="367" xr:uid="{00000000-0005-0000-0000-0000503A0000}"/>
    <cellStyle name="Normal 4 3 2 2" xfId="368" xr:uid="{00000000-0005-0000-0000-0000513A0000}"/>
    <cellStyle name="Normal 4 3 2 2 2" xfId="369" xr:uid="{00000000-0005-0000-0000-0000523A0000}"/>
    <cellStyle name="Normal 4 3 2 2 2 10" xfId="17397" xr:uid="{00000000-0005-0000-0000-0000533A0000}"/>
    <cellStyle name="Normal 4 3 2 2 2 10 2" xfId="34266" xr:uid="{A3371163-6E0F-4ADF-9C16-CEEEB37E5114}"/>
    <cellStyle name="Normal 4 3 2 2 2 11" xfId="8962" xr:uid="{00000000-0005-0000-0000-0000543A0000}"/>
    <cellStyle name="Normal 4 3 2 2 2 12" xfId="25832" xr:uid="{4B669EDF-F532-40A2-85CE-812C4A817E6E}"/>
    <cellStyle name="Normal 4 3 2 2 2 2" xfId="370" xr:uid="{00000000-0005-0000-0000-0000553A0000}"/>
    <cellStyle name="Normal 4 3 2 2 2 2 10" xfId="8963" xr:uid="{00000000-0005-0000-0000-0000563A0000}"/>
    <cellStyle name="Normal 4 3 2 2 2 2 11" xfId="25833" xr:uid="{FE66FA5F-3520-402E-83FB-8A6024C3DA9C}"/>
    <cellStyle name="Normal 4 3 2 2 2 2 2" xfId="371" xr:uid="{00000000-0005-0000-0000-0000573A0000}"/>
    <cellStyle name="Normal 4 3 2 2 2 2 2 10" xfId="25834" xr:uid="{B8D4DC15-C722-4CE2-8BD2-FEC8A8216878}"/>
    <cellStyle name="Normal 4 3 2 2 2 2 2 2" xfId="846" xr:uid="{00000000-0005-0000-0000-0000583A0000}"/>
    <cellStyle name="Normal 4 3 2 2 2 2 2 2 2" xfId="3082" xr:uid="{00000000-0005-0000-0000-0000593A0000}"/>
    <cellStyle name="Normal 4 3 2 2 2 2 2 2 2 2" xfId="7305" xr:uid="{00000000-0005-0000-0000-00005A3A0000}"/>
    <cellStyle name="Normal 4 3 2 2 2 2 2 2 2 2 2" xfId="24175" xr:uid="{00000000-0005-0000-0000-00005B3A0000}"/>
    <cellStyle name="Normal 4 3 2 2 2 2 2 2 2 2 2 2" xfId="41043" xr:uid="{013E43A0-4D19-447E-9C22-1BB361F4C041}"/>
    <cellStyle name="Normal 4 3 2 2 2 2 2 2 2 2 3" xfId="15740" xr:uid="{00000000-0005-0000-0000-00005C3A0000}"/>
    <cellStyle name="Normal 4 3 2 2 2 2 2 2 2 2 4" xfId="32609" xr:uid="{9F31691D-79AD-4AA5-927E-284B56CA1F38}"/>
    <cellStyle name="Normal 4 3 2 2 2 2 2 2 2 3" xfId="19957" xr:uid="{00000000-0005-0000-0000-00005D3A0000}"/>
    <cellStyle name="Normal 4 3 2 2 2 2 2 2 2 3 2" xfId="36826" xr:uid="{ED6E71E2-DCAB-4C7C-B1D9-D0BEAA6AE594}"/>
    <cellStyle name="Normal 4 3 2 2 2 2 2 2 2 4" xfId="11522" xr:uid="{00000000-0005-0000-0000-00005E3A0000}"/>
    <cellStyle name="Normal 4 3 2 2 2 2 2 2 2 5" xfId="28392" xr:uid="{85F5CF85-C2DE-4B7B-AF09-D3621DDFB66F}"/>
    <cellStyle name="Normal 4 3 2 2 2 2 2 2 3" xfId="5160" xr:uid="{00000000-0005-0000-0000-00005F3A0000}"/>
    <cellStyle name="Normal 4 3 2 2 2 2 2 2 3 2" xfId="22030" xr:uid="{00000000-0005-0000-0000-0000603A0000}"/>
    <cellStyle name="Normal 4 3 2 2 2 2 2 2 3 2 2" xfId="38898" xr:uid="{363B9082-06BC-458B-8537-153C520D0ED7}"/>
    <cellStyle name="Normal 4 3 2 2 2 2 2 2 3 3" xfId="13595" xr:uid="{00000000-0005-0000-0000-0000613A0000}"/>
    <cellStyle name="Normal 4 3 2 2 2 2 2 2 3 4" xfId="30464" xr:uid="{CB753EF3-AEC5-4CB1-B402-B9ABC7F9F9A1}"/>
    <cellStyle name="Normal 4 3 2 2 2 2 2 2 4" xfId="17812" xr:uid="{00000000-0005-0000-0000-0000623A0000}"/>
    <cellStyle name="Normal 4 3 2 2 2 2 2 2 4 2" xfId="34681" xr:uid="{BA4B7B92-258D-4A13-B242-8CF0603C4694}"/>
    <cellStyle name="Normal 4 3 2 2 2 2 2 2 5" xfId="9377" xr:uid="{00000000-0005-0000-0000-0000633A0000}"/>
    <cellStyle name="Normal 4 3 2 2 2 2 2 2 6" xfId="26247" xr:uid="{0E4C5585-965C-4B88-A8AB-D7CD35716633}"/>
    <cellStyle name="Normal 4 3 2 2 2 2 2 3" xfId="1265" xr:uid="{00000000-0005-0000-0000-0000643A0000}"/>
    <cellStyle name="Normal 4 3 2 2 2 2 2 3 2" xfId="3495" xr:uid="{00000000-0005-0000-0000-0000653A0000}"/>
    <cellStyle name="Normal 4 3 2 2 2 2 2 3 2 2" xfId="7718" xr:uid="{00000000-0005-0000-0000-0000663A0000}"/>
    <cellStyle name="Normal 4 3 2 2 2 2 2 3 2 2 2" xfId="24588" xr:uid="{00000000-0005-0000-0000-0000673A0000}"/>
    <cellStyle name="Normal 4 3 2 2 2 2 2 3 2 2 2 2" xfId="41456" xr:uid="{0A168010-A296-4955-AFF3-F9675801E351}"/>
    <cellStyle name="Normal 4 3 2 2 2 2 2 3 2 2 3" xfId="16153" xr:uid="{00000000-0005-0000-0000-0000683A0000}"/>
    <cellStyle name="Normal 4 3 2 2 2 2 2 3 2 2 4" xfId="33022" xr:uid="{4987319C-1A3C-477D-ACD4-5001264F422C}"/>
    <cellStyle name="Normal 4 3 2 2 2 2 2 3 2 3" xfId="20370" xr:uid="{00000000-0005-0000-0000-0000693A0000}"/>
    <cellStyle name="Normal 4 3 2 2 2 2 2 3 2 3 2" xfId="37239" xr:uid="{DF44B863-0E55-4A20-AAFD-F64F4A98E29E}"/>
    <cellStyle name="Normal 4 3 2 2 2 2 2 3 2 4" xfId="11935" xr:uid="{00000000-0005-0000-0000-00006A3A0000}"/>
    <cellStyle name="Normal 4 3 2 2 2 2 2 3 2 5" xfId="28805" xr:uid="{31E3673A-FF26-468E-A609-3F3F314086B9}"/>
    <cellStyle name="Normal 4 3 2 2 2 2 2 3 3" xfId="5573" xr:uid="{00000000-0005-0000-0000-00006B3A0000}"/>
    <cellStyle name="Normal 4 3 2 2 2 2 2 3 3 2" xfId="22443" xr:uid="{00000000-0005-0000-0000-00006C3A0000}"/>
    <cellStyle name="Normal 4 3 2 2 2 2 2 3 3 2 2" xfId="39311" xr:uid="{73AFE0AE-A71F-4AE6-96FF-F0FB2F81EB1E}"/>
    <cellStyle name="Normal 4 3 2 2 2 2 2 3 3 3" xfId="14008" xr:uid="{00000000-0005-0000-0000-00006D3A0000}"/>
    <cellStyle name="Normal 4 3 2 2 2 2 2 3 3 4" xfId="30877" xr:uid="{054C4DCF-6434-44B7-B529-308484107749}"/>
    <cellStyle name="Normal 4 3 2 2 2 2 2 3 4" xfId="18225" xr:uid="{00000000-0005-0000-0000-00006E3A0000}"/>
    <cellStyle name="Normal 4 3 2 2 2 2 2 3 4 2" xfId="35094" xr:uid="{A6F02D8E-A89F-4087-99B1-B307B93483AF}"/>
    <cellStyle name="Normal 4 3 2 2 2 2 2 3 5" xfId="9790" xr:uid="{00000000-0005-0000-0000-00006F3A0000}"/>
    <cellStyle name="Normal 4 3 2 2 2 2 2 3 6" xfId="26660" xr:uid="{32EEE828-30B0-47A9-82FB-9186279725C6}"/>
    <cellStyle name="Normal 4 3 2 2 2 2 2 4" xfId="1678" xr:uid="{00000000-0005-0000-0000-0000703A0000}"/>
    <cellStyle name="Normal 4 3 2 2 2 2 2 4 2" xfId="3908" xr:uid="{00000000-0005-0000-0000-0000713A0000}"/>
    <cellStyle name="Normal 4 3 2 2 2 2 2 4 2 2" xfId="8131" xr:uid="{00000000-0005-0000-0000-0000723A0000}"/>
    <cellStyle name="Normal 4 3 2 2 2 2 2 4 2 2 2" xfId="25001" xr:uid="{00000000-0005-0000-0000-0000733A0000}"/>
    <cellStyle name="Normal 4 3 2 2 2 2 2 4 2 2 2 2" xfId="41869" xr:uid="{E8BDA237-B4F0-4190-8D36-A24D44C4E74E}"/>
    <cellStyle name="Normal 4 3 2 2 2 2 2 4 2 2 3" xfId="16566" xr:uid="{00000000-0005-0000-0000-0000743A0000}"/>
    <cellStyle name="Normal 4 3 2 2 2 2 2 4 2 2 4" xfId="33435" xr:uid="{C70621F7-3D72-4D0C-AA01-7B5DACC7D4FC}"/>
    <cellStyle name="Normal 4 3 2 2 2 2 2 4 2 3" xfId="20783" xr:uid="{00000000-0005-0000-0000-0000753A0000}"/>
    <cellStyle name="Normal 4 3 2 2 2 2 2 4 2 3 2" xfId="37652" xr:uid="{9E0EC5E8-ACB3-406C-B04D-7E8776B6D6C2}"/>
    <cellStyle name="Normal 4 3 2 2 2 2 2 4 2 4" xfId="12348" xr:uid="{00000000-0005-0000-0000-0000763A0000}"/>
    <cellStyle name="Normal 4 3 2 2 2 2 2 4 2 5" xfId="29218" xr:uid="{8C7236A3-B8B1-4738-8778-B7E67618AE33}"/>
    <cellStyle name="Normal 4 3 2 2 2 2 2 4 3" xfId="5986" xr:uid="{00000000-0005-0000-0000-0000773A0000}"/>
    <cellStyle name="Normal 4 3 2 2 2 2 2 4 3 2" xfId="22856" xr:uid="{00000000-0005-0000-0000-0000783A0000}"/>
    <cellStyle name="Normal 4 3 2 2 2 2 2 4 3 2 2" xfId="39724" xr:uid="{2401F2F2-5A6C-4B94-B023-195D9C239E04}"/>
    <cellStyle name="Normal 4 3 2 2 2 2 2 4 3 3" xfId="14421" xr:uid="{00000000-0005-0000-0000-0000793A0000}"/>
    <cellStyle name="Normal 4 3 2 2 2 2 2 4 3 4" xfId="31290" xr:uid="{75067C94-FC7C-48B6-A88C-D3D3C6F2B233}"/>
    <cellStyle name="Normal 4 3 2 2 2 2 2 4 4" xfId="18638" xr:uid="{00000000-0005-0000-0000-00007A3A0000}"/>
    <cellStyle name="Normal 4 3 2 2 2 2 2 4 4 2" xfId="35507" xr:uid="{0E9DE14D-4EE3-48B5-94CB-532CC8C086BD}"/>
    <cellStyle name="Normal 4 3 2 2 2 2 2 4 5" xfId="10203" xr:uid="{00000000-0005-0000-0000-00007B3A0000}"/>
    <cellStyle name="Normal 4 3 2 2 2 2 2 4 6" xfId="27073" xr:uid="{C059E9AE-C885-49D0-B4C0-ED67AA931810}"/>
    <cellStyle name="Normal 4 3 2 2 2 2 2 5" xfId="2092" xr:uid="{00000000-0005-0000-0000-00007C3A0000}"/>
    <cellStyle name="Normal 4 3 2 2 2 2 2 5 2" xfId="4321" xr:uid="{00000000-0005-0000-0000-00007D3A0000}"/>
    <cellStyle name="Normal 4 3 2 2 2 2 2 5 2 2" xfId="8544" xr:uid="{00000000-0005-0000-0000-00007E3A0000}"/>
    <cellStyle name="Normal 4 3 2 2 2 2 2 5 2 2 2" xfId="25414" xr:uid="{00000000-0005-0000-0000-00007F3A0000}"/>
    <cellStyle name="Normal 4 3 2 2 2 2 2 5 2 2 2 2" xfId="42282" xr:uid="{4DB3B195-76D0-46D4-B4EA-1FF6E6ADB19B}"/>
    <cellStyle name="Normal 4 3 2 2 2 2 2 5 2 2 3" xfId="16979" xr:uid="{00000000-0005-0000-0000-0000803A0000}"/>
    <cellStyle name="Normal 4 3 2 2 2 2 2 5 2 2 4" xfId="33848" xr:uid="{63FE5DEC-93D5-4723-8F07-8578484EDBF4}"/>
    <cellStyle name="Normal 4 3 2 2 2 2 2 5 2 3" xfId="21196" xr:uid="{00000000-0005-0000-0000-0000813A0000}"/>
    <cellStyle name="Normal 4 3 2 2 2 2 2 5 2 3 2" xfId="38065" xr:uid="{A2DE7C78-A099-4FBC-8601-BB453407EAE8}"/>
    <cellStyle name="Normal 4 3 2 2 2 2 2 5 2 4" xfId="12761" xr:uid="{00000000-0005-0000-0000-0000823A0000}"/>
    <cellStyle name="Normal 4 3 2 2 2 2 2 5 2 5" xfId="29631" xr:uid="{1DDC3E80-373C-42AB-9F53-D3339306B80B}"/>
    <cellStyle name="Normal 4 3 2 2 2 2 2 5 3" xfId="6399" xr:uid="{00000000-0005-0000-0000-0000833A0000}"/>
    <cellStyle name="Normal 4 3 2 2 2 2 2 5 3 2" xfId="23269" xr:uid="{00000000-0005-0000-0000-0000843A0000}"/>
    <cellStyle name="Normal 4 3 2 2 2 2 2 5 3 2 2" xfId="40137" xr:uid="{AB68FCC1-D889-42EC-838A-4B547D1F2086}"/>
    <cellStyle name="Normal 4 3 2 2 2 2 2 5 3 3" xfId="14834" xr:uid="{00000000-0005-0000-0000-0000853A0000}"/>
    <cellStyle name="Normal 4 3 2 2 2 2 2 5 3 4" xfId="31703" xr:uid="{D25C857C-5A05-449A-82D6-A7CA4C3F2382}"/>
    <cellStyle name="Normal 4 3 2 2 2 2 2 5 4" xfId="19051" xr:uid="{00000000-0005-0000-0000-0000863A0000}"/>
    <cellStyle name="Normal 4 3 2 2 2 2 2 5 4 2" xfId="35920" xr:uid="{818C80A6-0555-4765-85F9-4DCC6C32BD01}"/>
    <cellStyle name="Normal 4 3 2 2 2 2 2 5 5" xfId="10616" xr:uid="{00000000-0005-0000-0000-0000873A0000}"/>
    <cellStyle name="Normal 4 3 2 2 2 2 2 5 6" xfId="27486" xr:uid="{5E320EE9-1321-40B1-B493-3EB0B0DEF788}"/>
    <cellStyle name="Normal 4 3 2 2 2 2 2 6" xfId="2528" xr:uid="{00000000-0005-0000-0000-0000883A0000}"/>
    <cellStyle name="Normal 4 3 2 2 2 2 2 6 2" xfId="6812" xr:uid="{00000000-0005-0000-0000-0000893A0000}"/>
    <cellStyle name="Normal 4 3 2 2 2 2 2 6 2 2" xfId="23682" xr:uid="{00000000-0005-0000-0000-00008A3A0000}"/>
    <cellStyle name="Normal 4 3 2 2 2 2 2 6 2 2 2" xfId="40550" xr:uid="{180FB6CB-496F-4589-8CE1-E6D48A930B62}"/>
    <cellStyle name="Normal 4 3 2 2 2 2 2 6 2 3" xfId="15247" xr:uid="{00000000-0005-0000-0000-00008B3A0000}"/>
    <cellStyle name="Normal 4 3 2 2 2 2 2 6 2 4" xfId="32116" xr:uid="{C9C4FC98-CEC5-4590-A227-5D010169D4EF}"/>
    <cellStyle name="Normal 4 3 2 2 2 2 2 6 3" xfId="19464" xr:uid="{00000000-0005-0000-0000-00008C3A0000}"/>
    <cellStyle name="Normal 4 3 2 2 2 2 2 6 3 2" xfId="36333" xr:uid="{D14C3C53-C0E9-4A39-8031-BF9D3635F3CE}"/>
    <cellStyle name="Normal 4 3 2 2 2 2 2 6 4" xfId="11029" xr:uid="{00000000-0005-0000-0000-00008D3A0000}"/>
    <cellStyle name="Normal 4 3 2 2 2 2 2 6 5" xfId="27899" xr:uid="{2C207E64-28E5-413B-917B-C1D216B273FC}"/>
    <cellStyle name="Normal 4 3 2 2 2 2 2 7" xfId="4747" xr:uid="{00000000-0005-0000-0000-00008E3A0000}"/>
    <cellStyle name="Normal 4 3 2 2 2 2 2 7 2" xfId="21617" xr:uid="{00000000-0005-0000-0000-00008F3A0000}"/>
    <cellStyle name="Normal 4 3 2 2 2 2 2 7 2 2" xfId="38485" xr:uid="{E65DD9AB-25E3-425E-B923-64146A940F7A}"/>
    <cellStyle name="Normal 4 3 2 2 2 2 2 7 3" xfId="13182" xr:uid="{00000000-0005-0000-0000-0000903A0000}"/>
    <cellStyle name="Normal 4 3 2 2 2 2 2 7 4" xfId="30051" xr:uid="{C8FECA69-D741-49EE-91E6-47915F3FBFA0}"/>
    <cellStyle name="Normal 4 3 2 2 2 2 2 8" xfId="17399" xr:uid="{00000000-0005-0000-0000-0000913A0000}"/>
    <cellStyle name="Normal 4 3 2 2 2 2 2 8 2" xfId="34268" xr:uid="{AD596B8C-27A3-485C-B703-F1D80C31010E}"/>
    <cellStyle name="Normal 4 3 2 2 2 2 2 9" xfId="8964" xr:uid="{00000000-0005-0000-0000-0000923A0000}"/>
    <cellStyle name="Normal 4 3 2 2 2 2 3" xfId="845" xr:uid="{00000000-0005-0000-0000-0000933A0000}"/>
    <cellStyle name="Normal 4 3 2 2 2 2 3 2" xfId="3081" xr:uid="{00000000-0005-0000-0000-0000943A0000}"/>
    <cellStyle name="Normal 4 3 2 2 2 2 3 2 2" xfId="7304" xr:uid="{00000000-0005-0000-0000-0000953A0000}"/>
    <cellStyle name="Normal 4 3 2 2 2 2 3 2 2 2" xfId="24174" xr:uid="{00000000-0005-0000-0000-0000963A0000}"/>
    <cellStyle name="Normal 4 3 2 2 2 2 3 2 2 2 2" xfId="41042" xr:uid="{919F92CD-BB14-4626-87B3-AF183485D93E}"/>
    <cellStyle name="Normal 4 3 2 2 2 2 3 2 2 3" xfId="15739" xr:uid="{00000000-0005-0000-0000-0000973A0000}"/>
    <cellStyle name="Normal 4 3 2 2 2 2 3 2 2 4" xfId="32608" xr:uid="{7A00D6FC-F5BC-4317-BABF-ED2F3816A1A0}"/>
    <cellStyle name="Normal 4 3 2 2 2 2 3 2 3" xfId="19956" xr:uid="{00000000-0005-0000-0000-0000983A0000}"/>
    <cellStyle name="Normal 4 3 2 2 2 2 3 2 3 2" xfId="36825" xr:uid="{2B16E402-997F-47C7-AA3D-4AB28F73E41A}"/>
    <cellStyle name="Normal 4 3 2 2 2 2 3 2 4" xfId="11521" xr:uid="{00000000-0005-0000-0000-0000993A0000}"/>
    <cellStyle name="Normal 4 3 2 2 2 2 3 2 5" xfId="28391" xr:uid="{F8781E1F-56A8-4CAB-8EB5-8C3BAE2330C4}"/>
    <cellStyle name="Normal 4 3 2 2 2 2 3 3" xfId="5159" xr:uid="{00000000-0005-0000-0000-00009A3A0000}"/>
    <cellStyle name="Normal 4 3 2 2 2 2 3 3 2" xfId="22029" xr:uid="{00000000-0005-0000-0000-00009B3A0000}"/>
    <cellStyle name="Normal 4 3 2 2 2 2 3 3 2 2" xfId="38897" xr:uid="{63105C0C-F93B-4103-9878-CB7239A01B10}"/>
    <cellStyle name="Normal 4 3 2 2 2 2 3 3 3" xfId="13594" xr:uid="{00000000-0005-0000-0000-00009C3A0000}"/>
    <cellStyle name="Normal 4 3 2 2 2 2 3 3 4" xfId="30463" xr:uid="{9F8FF7D1-70A8-4B05-80F2-EF2C9179E47C}"/>
    <cellStyle name="Normal 4 3 2 2 2 2 3 4" xfId="17811" xr:uid="{00000000-0005-0000-0000-00009D3A0000}"/>
    <cellStyle name="Normal 4 3 2 2 2 2 3 4 2" xfId="34680" xr:uid="{9C2895E4-A2D8-485B-85D8-9E12CDE50323}"/>
    <cellStyle name="Normal 4 3 2 2 2 2 3 5" xfId="9376" xr:uid="{00000000-0005-0000-0000-00009E3A0000}"/>
    <cellStyle name="Normal 4 3 2 2 2 2 3 6" xfId="26246" xr:uid="{1A5356FD-266D-4558-914E-9E9F20E2D593}"/>
    <cellStyle name="Normal 4 3 2 2 2 2 4" xfId="1264" xr:uid="{00000000-0005-0000-0000-00009F3A0000}"/>
    <cellStyle name="Normal 4 3 2 2 2 2 4 2" xfId="3494" xr:uid="{00000000-0005-0000-0000-0000A03A0000}"/>
    <cellStyle name="Normal 4 3 2 2 2 2 4 2 2" xfId="7717" xr:uid="{00000000-0005-0000-0000-0000A13A0000}"/>
    <cellStyle name="Normal 4 3 2 2 2 2 4 2 2 2" xfId="24587" xr:uid="{00000000-0005-0000-0000-0000A23A0000}"/>
    <cellStyle name="Normal 4 3 2 2 2 2 4 2 2 2 2" xfId="41455" xr:uid="{EE722EA0-D9B4-4728-9948-4C27846CB90F}"/>
    <cellStyle name="Normal 4 3 2 2 2 2 4 2 2 3" xfId="16152" xr:uid="{00000000-0005-0000-0000-0000A33A0000}"/>
    <cellStyle name="Normal 4 3 2 2 2 2 4 2 2 4" xfId="33021" xr:uid="{92E4A939-9B99-42BF-9991-21B2349C1F0F}"/>
    <cellStyle name="Normal 4 3 2 2 2 2 4 2 3" xfId="20369" xr:uid="{00000000-0005-0000-0000-0000A43A0000}"/>
    <cellStyle name="Normal 4 3 2 2 2 2 4 2 3 2" xfId="37238" xr:uid="{0084C3AB-9609-4D7F-BD88-E68F3D40AA0A}"/>
    <cellStyle name="Normal 4 3 2 2 2 2 4 2 4" xfId="11934" xr:uid="{00000000-0005-0000-0000-0000A53A0000}"/>
    <cellStyle name="Normal 4 3 2 2 2 2 4 2 5" xfId="28804" xr:uid="{17CC7065-B91E-4EBE-9F66-671E7F8A45AA}"/>
    <cellStyle name="Normal 4 3 2 2 2 2 4 3" xfId="5572" xr:uid="{00000000-0005-0000-0000-0000A63A0000}"/>
    <cellStyle name="Normal 4 3 2 2 2 2 4 3 2" xfId="22442" xr:uid="{00000000-0005-0000-0000-0000A73A0000}"/>
    <cellStyle name="Normal 4 3 2 2 2 2 4 3 2 2" xfId="39310" xr:uid="{43E502D0-3A00-4AFE-B770-A6571FE86931}"/>
    <cellStyle name="Normal 4 3 2 2 2 2 4 3 3" xfId="14007" xr:uid="{00000000-0005-0000-0000-0000A83A0000}"/>
    <cellStyle name="Normal 4 3 2 2 2 2 4 3 4" xfId="30876" xr:uid="{B4AE1466-9142-46C0-9B9C-200FEC8BD0B5}"/>
    <cellStyle name="Normal 4 3 2 2 2 2 4 4" xfId="18224" xr:uid="{00000000-0005-0000-0000-0000A93A0000}"/>
    <cellStyle name="Normal 4 3 2 2 2 2 4 4 2" xfId="35093" xr:uid="{12C9659F-8F82-45FF-A8D0-974C356A9CEF}"/>
    <cellStyle name="Normal 4 3 2 2 2 2 4 5" xfId="9789" xr:uid="{00000000-0005-0000-0000-0000AA3A0000}"/>
    <cellStyle name="Normal 4 3 2 2 2 2 4 6" xfId="26659" xr:uid="{A7E3AA48-2558-45D4-BCCA-C29FE0E4C326}"/>
    <cellStyle name="Normal 4 3 2 2 2 2 5" xfId="1677" xr:uid="{00000000-0005-0000-0000-0000AB3A0000}"/>
    <cellStyle name="Normal 4 3 2 2 2 2 5 2" xfId="3907" xr:uid="{00000000-0005-0000-0000-0000AC3A0000}"/>
    <cellStyle name="Normal 4 3 2 2 2 2 5 2 2" xfId="8130" xr:uid="{00000000-0005-0000-0000-0000AD3A0000}"/>
    <cellStyle name="Normal 4 3 2 2 2 2 5 2 2 2" xfId="25000" xr:uid="{00000000-0005-0000-0000-0000AE3A0000}"/>
    <cellStyle name="Normal 4 3 2 2 2 2 5 2 2 2 2" xfId="41868" xr:uid="{B08DE826-52DD-4177-98B9-BDF52D83730A}"/>
    <cellStyle name="Normal 4 3 2 2 2 2 5 2 2 3" xfId="16565" xr:uid="{00000000-0005-0000-0000-0000AF3A0000}"/>
    <cellStyle name="Normal 4 3 2 2 2 2 5 2 2 4" xfId="33434" xr:uid="{BA6EDDE5-D930-475D-8BEA-B87041567E01}"/>
    <cellStyle name="Normal 4 3 2 2 2 2 5 2 3" xfId="20782" xr:uid="{00000000-0005-0000-0000-0000B03A0000}"/>
    <cellStyle name="Normal 4 3 2 2 2 2 5 2 3 2" xfId="37651" xr:uid="{E6FA88F3-95C5-433B-AFC4-3DC7CC4302E7}"/>
    <cellStyle name="Normal 4 3 2 2 2 2 5 2 4" xfId="12347" xr:uid="{00000000-0005-0000-0000-0000B13A0000}"/>
    <cellStyle name="Normal 4 3 2 2 2 2 5 2 5" xfId="29217" xr:uid="{0A98E36D-9D2F-4755-A70D-1AA4D50739F9}"/>
    <cellStyle name="Normal 4 3 2 2 2 2 5 3" xfId="5985" xr:uid="{00000000-0005-0000-0000-0000B23A0000}"/>
    <cellStyle name="Normal 4 3 2 2 2 2 5 3 2" xfId="22855" xr:uid="{00000000-0005-0000-0000-0000B33A0000}"/>
    <cellStyle name="Normal 4 3 2 2 2 2 5 3 2 2" xfId="39723" xr:uid="{3FB0DE84-768C-43DB-B8B1-629642C9B694}"/>
    <cellStyle name="Normal 4 3 2 2 2 2 5 3 3" xfId="14420" xr:uid="{00000000-0005-0000-0000-0000B43A0000}"/>
    <cellStyle name="Normal 4 3 2 2 2 2 5 3 4" xfId="31289" xr:uid="{C77498B7-6B99-4C53-8219-56AC870579F6}"/>
    <cellStyle name="Normal 4 3 2 2 2 2 5 4" xfId="18637" xr:uid="{00000000-0005-0000-0000-0000B53A0000}"/>
    <cellStyle name="Normal 4 3 2 2 2 2 5 4 2" xfId="35506" xr:uid="{3D945207-16C1-4D90-9C2E-FE1233EA7A01}"/>
    <cellStyle name="Normal 4 3 2 2 2 2 5 5" xfId="10202" xr:uid="{00000000-0005-0000-0000-0000B63A0000}"/>
    <cellStyle name="Normal 4 3 2 2 2 2 5 6" xfId="27072" xr:uid="{852079FC-4370-48F3-BA66-39E1B7715E26}"/>
    <cellStyle name="Normal 4 3 2 2 2 2 6" xfId="2091" xr:uid="{00000000-0005-0000-0000-0000B73A0000}"/>
    <cellStyle name="Normal 4 3 2 2 2 2 6 2" xfId="4320" xr:uid="{00000000-0005-0000-0000-0000B83A0000}"/>
    <cellStyle name="Normal 4 3 2 2 2 2 6 2 2" xfId="8543" xr:uid="{00000000-0005-0000-0000-0000B93A0000}"/>
    <cellStyle name="Normal 4 3 2 2 2 2 6 2 2 2" xfId="25413" xr:uid="{00000000-0005-0000-0000-0000BA3A0000}"/>
    <cellStyle name="Normal 4 3 2 2 2 2 6 2 2 2 2" xfId="42281" xr:uid="{804201AF-3896-4683-B785-56F5B1C330EB}"/>
    <cellStyle name="Normal 4 3 2 2 2 2 6 2 2 3" xfId="16978" xr:uid="{00000000-0005-0000-0000-0000BB3A0000}"/>
    <cellStyle name="Normal 4 3 2 2 2 2 6 2 2 4" xfId="33847" xr:uid="{3A3AC41B-82D6-4395-A37C-834D8F451B9E}"/>
    <cellStyle name="Normal 4 3 2 2 2 2 6 2 3" xfId="21195" xr:uid="{00000000-0005-0000-0000-0000BC3A0000}"/>
    <cellStyle name="Normal 4 3 2 2 2 2 6 2 3 2" xfId="38064" xr:uid="{6A087D06-0A57-4AA2-8166-70199EF388EC}"/>
    <cellStyle name="Normal 4 3 2 2 2 2 6 2 4" xfId="12760" xr:uid="{00000000-0005-0000-0000-0000BD3A0000}"/>
    <cellStyle name="Normal 4 3 2 2 2 2 6 2 5" xfId="29630" xr:uid="{30AFF0DD-59EF-4C9F-91E6-C56C6FEAE182}"/>
    <cellStyle name="Normal 4 3 2 2 2 2 6 3" xfId="6398" xr:uid="{00000000-0005-0000-0000-0000BE3A0000}"/>
    <cellStyle name="Normal 4 3 2 2 2 2 6 3 2" xfId="23268" xr:uid="{00000000-0005-0000-0000-0000BF3A0000}"/>
    <cellStyle name="Normal 4 3 2 2 2 2 6 3 2 2" xfId="40136" xr:uid="{43AC43F4-832E-473A-8D74-6142008C54AD}"/>
    <cellStyle name="Normal 4 3 2 2 2 2 6 3 3" xfId="14833" xr:uid="{00000000-0005-0000-0000-0000C03A0000}"/>
    <cellStyle name="Normal 4 3 2 2 2 2 6 3 4" xfId="31702" xr:uid="{12922A96-E158-41EF-9345-2887735EA5F0}"/>
    <cellStyle name="Normal 4 3 2 2 2 2 6 4" xfId="19050" xr:uid="{00000000-0005-0000-0000-0000C13A0000}"/>
    <cellStyle name="Normal 4 3 2 2 2 2 6 4 2" xfId="35919" xr:uid="{F8B78EC2-0B3C-4FA5-A396-75F8FFFDCD60}"/>
    <cellStyle name="Normal 4 3 2 2 2 2 6 5" xfId="10615" xr:uid="{00000000-0005-0000-0000-0000C23A0000}"/>
    <cellStyle name="Normal 4 3 2 2 2 2 6 6" xfId="27485" xr:uid="{FC554CA3-CF15-4632-BE7F-4F44040E2901}"/>
    <cellStyle name="Normal 4 3 2 2 2 2 7" xfId="2527" xr:uid="{00000000-0005-0000-0000-0000C33A0000}"/>
    <cellStyle name="Normal 4 3 2 2 2 2 7 2" xfId="6811" xr:uid="{00000000-0005-0000-0000-0000C43A0000}"/>
    <cellStyle name="Normal 4 3 2 2 2 2 7 2 2" xfId="23681" xr:uid="{00000000-0005-0000-0000-0000C53A0000}"/>
    <cellStyle name="Normal 4 3 2 2 2 2 7 2 2 2" xfId="40549" xr:uid="{1548A45D-178B-425B-8579-D1401AE3AAB8}"/>
    <cellStyle name="Normal 4 3 2 2 2 2 7 2 3" xfId="15246" xr:uid="{00000000-0005-0000-0000-0000C63A0000}"/>
    <cellStyle name="Normal 4 3 2 2 2 2 7 2 4" xfId="32115" xr:uid="{5D53E4E8-4BE2-437D-BAD3-EDFCF004826E}"/>
    <cellStyle name="Normal 4 3 2 2 2 2 7 3" xfId="19463" xr:uid="{00000000-0005-0000-0000-0000C73A0000}"/>
    <cellStyle name="Normal 4 3 2 2 2 2 7 3 2" xfId="36332" xr:uid="{69D4CAB4-1507-4149-8191-B4647D0E6588}"/>
    <cellStyle name="Normal 4 3 2 2 2 2 7 4" xfId="11028" xr:uid="{00000000-0005-0000-0000-0000C83A0000}"/>
    <cellStyle name="Normal 4 3 2 2 2 2 7 5" xfId="27898" xr:uid="{F0191E15-FEC7-4945-B05B-C13AF3BCEFD9}"/>
    <cellStyle name="Normal 4 3 2 2 2 2 8" xfId="4746" xr:uid="{00000000-0005-0000-0000-0000C93A0000}"/>
    <cellStyle name="Normal 4 3 2 2 2 2 8 2" xfId="21616" xr:uid="{00000000-0005-0000-0000-0000CA3A0000}"/>
    <cellStyle name="Normal 4 3 2 2 2 2 8 2 2" xfId="38484" xr:uid="{B40C1624-0C71-48D0-BB75-E5C397AF7971}"/>
    <cellStyle name="Normal 4 3 2 2 2 2 8 3" xfId="13181" xr:uid="{00000000-0005-0000-0000-0000CB3A0000}"/>
    <cellStyle name="Normal 4 3 2 2 2 2 8 4" xfId="30050" xr:uid="{6752BE50-8C16-48A7-810D-F69EE294D32E}"/>
    <cellStyle name="Normal 4 3 2 2 2 2 9" xfId="17398" xr:uid="{00000000-0005-0000-0000-0000CC3A0000}"/>
    <cellStyle name="Normal 4 3 2 2 2 2 9 2" xfId="34267" xr:uid="{F10F6D75-93E2-4114-889B-60BED7683273}"/>
    <cellStyle name="Normal 4 3 2 2 2 3" xfId="372" xr:uid="{00000000-0005-0000-0000-0000CD3A0000}"/>
    <cellStyle name="Normal 4 3 2 2 2 3 10" xfId="25835" xr:uid="{05E571BB-10AC-440B-982E-39650E75EAE2}"/>
    <cellStyle name="Normal 4 3 2 2 2 3 2" xfId="847" xr:uid="{00000000-0005-0000-0000-0000CE3A0000}"/>
    <cellStyle name="Normal 4 3 2 2 2 3 2 2" xfId="3083" xr:uid="{00000000-0005-0000-0000-0000CF3A0000}"/>
    <cellStyle name="Normal 4 3 2 2 2 3 2 2 2" xfId="7306" xr:uid="{00000000-0005-0000-0000-0000D03A0000}"/>
    <cellStyle name="Normal 4 3 2 2 2 3 2 2 2 2" xfId="24176" xr:uid="{00000000-0005-0000-0000-0000D13A0000}"/>
    <cellStyle name="Normal 4 3 2 2 2 3 2 2 2 2 2" xfId="41044" xr:uid="{D7D410F5-5FF6-4AD7-A58B-DD93F09519B0}"/>
    <cellStyle name="Normal 4 3 2 2 2 3 2 2 2 3" xfId="15741" xr:uid="{00000000-0005-0000-0000-0000D23A0000}"/>
    <cellStyle name="Normal 4 3 2 2 2 3 2 2 2 4" xfId="32610" xr:uid="{1E3F1E21-53E9-4AA6-8555-FA76EE2CEC48}"/>
    <cellStyle name="Normal 4 3 2 2 2 3 2 2 3" xfId="19958" xr:uid="{00000000-0005-0000-0000-0000D33A0000}"/>
    <cellStyle name="Normal 4 3 2 2 2 3 2 2 3 2" xfId="36827" xr:uid="{9D551259-6144-4949-AE74-ECABB906FAE5}"/>
    <cellStyle name="Normal 4 3 2 2 2 3 2 2 4" xfId="11523" xr:uid="{00000000-0005-0000-0000-0000D43A0000}"/>
    <cellStyle name="Normal 4 3 2 2 2 3 2 2 5" xfId="28393" xr:uid="{677C050C-974A-4E96-8EAD-1A1D2AC43E36}"/>
    <cellStyle name="Normal 4 3 2 2 2 3 2 3" xfId="5161" xr:uid="{00000000-0005-0000-0000-0000D53A0000}"/>
    <cellStyle name="Normal 4 3 2 2 2 3 2 3 2" xfId="22031" xr:uid="{00000000-0005-0000-0000-0000D63A0000}"/>
    <cellStyle name="Normal 4 3 2 2 2 3 2 3 2 2" xfId="38899" xr:uid="{C939588A-45AE-456D-B2B9-6AECBC27CE07}"/>
    <cellStyle name="Normal 4 3 2 2 2 3 2 3 3" xfId="13596" xr:uid="{00000000-0005-0000-0000-0000D73A0000}"/>
    <cellStyle name="Normal 4 3 2 2 2 3 2 3 4" xfId="30465" xr:uid="{B65264BB-E31C-48F2-BA60-74C23279359A}"/>
    <cellStyle name="Normal 4 3 2 2 2 3 2 4" xfId="17813" xr:uid="{00000000-0005-0000-0000-0000D83A0000}"/>
    <cellStyle name="Normal 4 3 2 2 2 3 2 4 2" xfId="34682" xr:uid="{3F59BC70-83E4-4AA7-85A1-6F0B129B9B0C}"/>
    <cellStyle name="Normal 4 3 2 2 2 3 2 5" xfId="9378" xr:uid="{00000000-0005-0000-0000-0000D93A0000}"/>
    <cellStyle name="Normal 4 3 2 2 2 3 2 6" xfId="26248" xr:uid="{B75B92D6-CB06-4463-87C0-E5AE4034DD31}"/>
    <cellStyle name="Normal 4 3 2 2 2 3 3" xfId="1266" xr:uid="{00000000-0005-0000-0000-0000DA3A0000}"/>
    <cellStyle name="Normal 4 3 2 2 2 3 3 2" xfId="3496" xr:uid="{00000000-0005-0000-0000-0000DB3A0000}"/>
    <cellStyle name="Normal 4 3 2 2 2 3 3 2 2" xfId="7719" xr:uid="{00000000-0005-0000-0000-0000DC3A0000}"/>
    <cellStyle name="Normal 4 3 2 2 2 3 3 2 2 2" xfId="24589" xr:uid="{00000000-0005-0000-0000-0000DD3A0000}"/>
    <cellStyle name="Normal 4 3 2 2 2 3 3 2 2 2 2" xfId="41457" xr:uid="{0723B2F8-74B3-45CA-8FE2-962AE8685CEB}"/>
    <cellStyle name="Normal 4 3 2 2 2 3 3 2 2 3" xfId="16154" xr:uid="{00000000-0005-0000-0000-0000DE3A0000}"/>
    <cellStyle name="Normal 4 3 2 2 2 3 3 2 2 4" xfId="33023" xr:uid="{B200E745-90CF-4DA2-99E0-544A0F8623EB}"/>
    <cellStyle name="Normal 4 3 2 2 2 3 3 2 3" xfId="20371" xr:uid="{00000000-0005-0000-0000-0000DF3A0000}"/>
    <cellStyle name="Normal 4 3 2 2 2 3 3 2 3 2" xfId="37240" xr:uid="{FFE381F0-021D-41AC-8E72-986D8D573BE8}"/>
    <cellStyle name="Normal 4 3 2 2 2 3 3 2 4" xfId="11936" xr:uid="{00000000-0005-0000-0000-0000E03A0000}"/>
    <cellStyle name="Normal 4 3 2 2 2 3 3 2 5" xfId="28806" xr:uid="{2A5103E8-3E9F-4F62-8554-88AF07DB3223}"/>
    <cellStyle name="Normal 4 3 2 2 2 3 3 3" xfId="5574" xr:uid="{00000000-0005-0000-0000-0000E13A0000}"/>
    <cellStyle name="Normal 4 3 2 2 2 3 3 3 2" xfId="22444" xr:uid="{00000000-0005-0000-0000-0000E23A0000}"/>
    <cellStyle name="Normal 4 3 2 2 2 3 3 3 2 2" xfId="39312" xr:uid="{4FC59101-38D9-474B-81B4-B75BB45D1E46}"/>
    <cellStyle name="Normal 4 3 2 2 2 3 3 3 3" xfId="14009" xr:uid="{00000000-0005-0000-0000-0000E33A0000}"/>
    <cellStyle name="Normal 4 3 2 2 2 3 3 3 4" xfId="30878" xr:uid="{161EBD7C-6EB3-4933-9671-FC028A618BF4}"/>
    <cellStyle name="Normal 4 3 2 2 2 3 3 4" xfId="18226" xr:uid="{00000000-0005-0000-0000-0000E43A0000}"/>
    <cellStyle name="Normal 4 3 2 2 2 3 3 4 2" xfId="35095" xr:uid="{69FFB783-E11D-4F01-88C6-5EA16B23F766}"/>
    <cellStyle name="Normal 4 3 2 2 2 3 3 5" xfId="9791" xr:uid="{00000000-0005-0000-0000-0000E53A0000}"/>
    <cellStyle name="Normal 4 3 2 2 2 3 3 6" xfId="26661" xr:uid="{EE859BF4-D97E-49FF-9DAB-BADA80AC8AA2}"/>
    <cellStyle name="Normal 4 3 2 2 2 3 4" xfId="1679" xr:uid="{00000000-0005-0000-0000-0000E63A0000}"/>
    <cellStyle name="Normal 4 3 2 2 2 3 4 2" xfId="3909" xr:uid="{00000000-0005-0000-0000-0000E73A0000}"/>
    <cellStyle name="Normal 4 3 2 2 2 3 4 2 2" xfId="8132" xr:uid="{00000000-0005-0000-0000-0000E83A0000}"/>
    <cellStyle name="Normal 4 3 2 2 2 3 4 2 2 2" xfId="25002" xr:uid="{00000000-0005-0000-0000-0000E93A0000}"/>
    <cellStyle name="Normal 4 3 2 2 2 3 4 2 2 2 2" xfId="41870" xr:uid="{261C0D02-FDB4-44C7-B917-71F23F6E36C8}"/>
    <cellStyle name="Normal 4 3 2 2 2 3 4 2 2 3" xfId="16567" xr:uid="{00000000-0005-0000-0000-0000EA3A0000}"/>
    <cellStyle name="Normal 4 3 2 2 2 3 4 2 2 4" xfId="33436" xr:uid="{1E680C02-651C-45D9-8AEB-10A1C774246A}"/>
    <cellStyle name="Normal 4 3 2 2 2 3 4 2 3" xfId="20784" xr:uid="{00000000-0005-0000-0000-0000EB3A0000}"/>
    <cellStyle name="Normal 4 3 2 2 2 3 4 2 3 2" xfId="37653" xr:uid="{56AA0CA2-C668-4189-9BF8-945A674275D5}"/>
    <cellStyle name="Normal 4 3 2 2 2 3 4 2 4" xfId="12349" xr:uid="{00000000-0005-0000-0000-0000EC3A0000}"/>
    <cellStyle name="Normal 4 3 2 2 2 3 4 2 5" xfId="29219" xr:uid="{B84FA7DD-0AF0-4621-B5F0-FC72DB591DE1}"/>
    <cellStyle name="Normal 4 3 2 2 2 3 4 3" xfId="5987" xr:uid="{00000000-0005-0000-0000-0000ED3A0000}"/>
    <cellStyle name="Normal 4 3 2 2 2 3 4 3 2" xfId="22857" xr:uid="{00000000-0005-0000-0000-0000EE3A0000}"/>
    <cellStyle name="Normal 4 3 2 2 2 3 4 3 2 2" xfId="39725" xr:uid="{AC490D91-632A-45A4-95B5-8253D295801B}"/>
    <cellStyle name="Normal 4 3 2 2 2 3 4 3 3" xfId="14422" xr:uid="{00000000-0005-0000-0000-0000EF3A0000}"/>
    <cellStyle name="Normal 4 3 2 2 2 3 4 3 4" xfId="31291" xr:uid="{A06DFB6D-E8AE-4FDF-A831-D410C56C98CF}"/>
    <cellStyle name="Normal 4 3 2 2 2 3 4 4" xfId="18639" xr:uid="{00000000-0005-0000-0000-0000F03A0000}"/>
    <cellStyle name="Normal 4 3 2 2 2 3 4 4 2" xfId="35508" xr:uid="{90F5F967-A7D6-4836-9990-84D6E44D5515}"/>
    <cellStyle name="Normal 4 3 2 2 2 3 4 5" xfId="10204" xr:uid="{00000000-0005-0000-0000-0000F13A0000}"/>
    <cellStyle name="Normal 4 3 2 2 2 3 4 6" xfId="27074" xr:uid="{4E99BF59-84FB-4736-BC20-1EA991479DA6}"/>
    <cellStyle name="Normal 4 3 2 2 2 3 5" xfId="2093" xr:uid="{00000000-0005-0000-0000-0000F23A0000}"/>
    <cellStyle name="Normal 4 3 2 2 2 3 5 2" xfId="4322" xr:uid="{00000000-0005-0000-0000-0000F33A0000}"/>
    <cellStyle name="Normal 4 3 2 2 2 3 5 2 2" xfId="8545" xr:uid="{00000000-0005-0000-0000-0000F43A0000}"/>
    <cellStyle name="Normal 4 3 2 2 2 3 5 2 2 2" xfId="25415" xr:uid="{00000000-0005-0000-0000-0000F53A0000}"/>
    <cellStyle name="Normal 4 3 2 2 2 3 5 2 2 2 2" xfId="42283" xr:uid="{5394E615-E4BF-4456-BB32-9558F0EC263D}"/>
    <cellStyle name="Normal 4 3 2 2 2 3 5 2 2 3" xfId="16980" xr:uid="{00000000-0005-0000-0000-0000F63A0000}"/>
    <cellStyle name="Normal 4 3 2 2 2 3 5 2 2 4" xfId="33849" xr:uid="{8B5BC2FC-0040-43E2-912F-C77F9A414DF8}"/>
    <cellStyle name="Normal 4 3 2 2 2 3 5 2 3" xfId="21197" xr:uid="{00000000-0005-0000-0000-0000F73A0000}"/>
    <cellStyle name="Normal 4 3 2 2 2 3 5 2 3 2" xfId="38066" xr:uid="{70EB3D21-7464-4503-837B-76CA9B060333}"/>
    <cellStyle name="Normal 4 3 2 2 2 3 5 2 4" xfId="12762" xr:uid="{00000000-0005-0000-0000-0000F83A0000}"/>
    <cellStyle name="Normal 4 3 2 2 2 3 5 2 5" xfId="29632" xr:uid="{DEE4C259-CE68-4C0E-8BAD-7035A0F7B1D4}"/>
    <cellStyle name="Normal 4 3 2 2 2 3 5 3" xfId="6400" xr:uid="{00000000-0005-0000-0000-0000F93A0000}"/>
    <cellStyle name="Normal 4 3 2 2 2 3 5 3 2" xfId="23270" xr:uid="{00000000-0005-0000-0000-0000FA3A0000}"/>
    <cellStyle name="Normal 4 3 2 2 2 3 5 3 2 2" xfId="40138" xr:uid="{ECD45C53-C5C8-438D-9BDC-D3380C2A2668}"/>
    <cellStyle name="Normal 4 3 2 2 2 3 5 3 3" xfId="14835" xr:uid="{00000000-0005-0000-0000-0000FB3A0000}"/>
    <cellStyle name="Normal 4 3 2 2 2 3 5 3 4" xfId="31704" xr:uid="{ED818DE3-F88F-47ED-B6B2-18E33117506E}"/>
    <cellStyle name="Normal 4 3 2 2 2 3 5 4" xfId="19052" xr:uid="{00000000-0005-0000-0000-0000FC3A0000}"/>
    <cellStyle name="Normal 4 3 2 2 2 3 5 4 2" xfId="35921" xr:uid="{4257033B-9C0E-4CD2-82B2-D1073E25AF47}"/>
    <cellStyle name="Normal 4 3 2 2 2 3 5 5" xfId="10617" xr:uid="{00000000-0005-0000-0000-0000FD3A0000}"/>
    <cellStyle name="Normal 4 3 2 2 2 3 5 6" xfId="27487" xr:uid="{28C84D65-87F5-467B-B7DD-E1902689BBB1}"/>
    <cellStyle name="Normal 4 3 2 2 2 3 6" xfId="2529" xr:uid="{00000000-0005-0000-0000-0000FE3A0000}"/>
    <cellStyle name="Normal 4 3 2 2 2 3 6 2" xfId="6813" xr:uid="{00000000-0005-0000-0000-0000FF3A0000}"/>
    <cellStyle name="Normal 4 3 2 2 2 3 6 2 2" xfId="23683" xr:uid="{00000000-0005-0000-0000-0000003B0000}"/>
    <cellStyle name="Normal 4 3 2 2 2 3 6 2 2 2" xfId="40551" xr:uid="{B1F6CFE2-127A-4F07-B0D4-B1C74AB412ED}"/>
    <cellStyle name="Normal 4 3 2 2 2 3 6 2 3" xfId="15248" xr:uid="{00000000-0005-0000-0000-0000013B0000}"/>
    <cellStyle name="Normal 4 3 2 2 2 3 6 2 4" xfId="32117" xr:uid="{EE4689DF-064A-4E18-A5C8-BE9EA2BD820E}"/>
    <cellStyle name="Normal 4 3 2 2 2 3 6 3" xfId="19465" xr:uid="{00000000-0005-0000-0000-0000023B0000}"/>
    <cellStyle name="Normal 4 3 2 2 2 3 6 3 2" xfId="36334" xr:uid="{AECE87BD-D4F9-4E4A-8FB4-C264BFA84907}"/>
    <cellStyle name="Normal 4 3 2 2 2 3 6 4" xfId="11030" xr:uid="{00000000-0005-0000-0000-0000033B0000}"/>
    <cellStyle name="Normal 4 3 2 2 2 3 6 5" xfId="27900" xr:uid="{78042260-0C87-4F65-A8C1-E755C0CAAB03}"/>
    <cellStyle name="Normal 4 3 2 2 2 3 7" xfId="4748" xr:uid="{00000000-0005-0000-0000-0000043B0000}"/>
    <cellStyle name="Normal 4 3 2 2 2 3 7 2" xfId="21618" xr:uid="{00000000-0005-0000-0000-0000053B0000}"/>
    <cellStyle name="Normal 4 3 2 2 2 3 7 2 2" xfId="38486" xr:uid="{E47305E2-4C34-4BE4-AF36-C440F7C119E2}"/>
    <cellStyle name="Normal 4 3 2 2 2 3 7 3" xfId="13183" xr:uid="{00000000-0005-0000-0000-0000063B0000}"/>
    <cellStyle name="Normal 4 3 2 2 2 3 7 4" xfId="30052" xr:uid="{BB32678F-4B24-4843-967C-AF71DF7A695B}"/>
    <cellStyle name="Normal 4 3 2 2 2 3 8" xfId="17400" xr:uid="{00000000-0005-0000-0000-0000073B0000}"/>
    <cellStyle name="Normal 4 3 2 2 2 3 8 2" xfId="34269" xr:uid="{8B625750-7DAB-4804-BF1C-B165861C86F0}"/>
    <cellStyle name="Normal 4 3 2 2 2 3 9" xfId="8965" xr:uid="{00000000-0005-0000-0000-0000083B0000}"/>
    <cellStyle name="Normal 4 3 2 2 2 4" xfId="844" xr:uid="{00000000-0005-0000-0000-0000093B0000}"/>
    <cellStyle name="Normal 4 3 2 2 2 4 2" xfId="3080" xr:uid="{00000000-0005-0000-0000-00000A3B0000}"/>
    <cellStyle name="Normal 4 3 2 2 2 4 2 2" xfId="7303" xr:uid="{00000000-0005-0000-0000-00000B3B0000}"/>
    <cellStyle name="Normal 4 3 2 2 2 4 2 2 2" xfId="24173" xr:uid="{00000000-0005-0000-0000-00000C3B0000}"/>
    <cellStyle name="Normal 4 3 2 2 2 4 2 2 2 2" xfId="41041" xr:uid="{90EC5E80-5376-4DA7-A5F1-97F580E3B9AE}"/>
    <cellStyle name="Normal 4 3 2 2 2 4 2 2 3" xfId="15738" xr:uid="{00000000-0005-0000-0000-00000D3B0000}"/>
    <cellStyle name="Normal 4 3 2 2 2 4 2 2 4" xfId="32607" xr:uid="{E94FA93A-BF57-4BAC-A949-6F0B754AF228}"/>
    <cellStyle name="Normal 4 3 2 2 2 4 2 3" xfId="19955" xr:uid="{00000000-0005-0000-0000-00000E3B0000}"/>
    <cellStyle name="Normal 4 3 2 2 2 4 2 3 2" xfId="36824" xr:uid="{51A24132-53CC-440F-8539-650C00A1F48D}"/>
    <cellStyle name="Normal 4 3 2 2 2 4 2 4" xfId="11520" xr:uid="{00000000-0005-0000-0000-00000F3B0000}"/>
    <cellStyle name="Normal 4 3 2 2 2 4 2 5" xfId="28390" xr:uid="{A6927744-5A1B-4810-AD3C-D8BC2D0510CA}"/>
    <cellStyle name="Normal 4 3 2 2 2 4 3" xfId="5158" xr:uid="{00000000-0005-0000-0000-0000103B0000}"/>
    <cellStyle name="Normal 4 3 2 2 2 4 3 2" xfId="22028" xr:uid="{00000000-0005-0000-0000-0000113B0000}"/>
    <cellStyle name="Normal 4 3 2 2 2 4 3 2 2" xfId="38896" xr:uid="{6BDF6050-D284-4139-8EAA-6DB325B4FC5D}"/>
    <cellStyle name="Normal 4 3 2 2 2 4 3 3" xfId="13593" xr:uid="{00000000-0005-0000-0000-0000123B0000}"/>
    <cellStyle name="Normal 4 3 2 2 2 4 3 4" xfId="30462" xr:uid="{6ED23D4F-A7C4-46E6-8999-E1200EFDE72A}"/>
    <cellStyle name="Normal 4 3 2 2 2 4 4" xfId="17810" xr:uid="{00000000-0005-0000-0000-0000133B0000}"/>
    <cellStyle name="Normal 4 3 2 2 2 4 4 2" xfId="34679" xr:uid="{39641D62-4904-4F75-A821-E5DB22F9181A}"/>
    <cellStyle name="Normal 4 3 2 2 2 4 5" xfId="9375" xr:uid="{00000000-0005-0000-0000-0000143B0000}"/>
    <cellStyle name="Normal 4 3 2 2 2 4 6" xfId="26245" xr:uid="{C9FDE621-8EDC-4DC1-87D2-6CD3C126FEB1}"/>
    <cellStyle name="Normal 4 3 2 2 2 5" xfId="1263" xr:uid="{00000000-0005-0000-0000-0000153B0000}"/>
    <cellStyle name="Normal 4 3 2 2 2 5 2" xfId="3493" xr:uid="{00000000-0005-0000-0000-0000163B0000}"/>
    <cellStyle name="Normal 4 3 2 2 2 5 2 2" xfId="7716" xr:uid="{00000000-0005-0000-0000-0000173B0000}"/>
    <cellStyle name="Normal 4 3 2 2 2 5 2 2 2" xfId="24586" xr:uid="{00000000-0005-0000-0000-0000183B0000}"/>
    <cellStyle name="Normal 4 3 2 2 2 5 2 2 2 2" xfId="41454" xr:uid="{18B2DD3B-7736-407C-9446-4FA94BA80312}"/>
    <cellStyle name="Normal 4 3 2 2 2 5 2 2 3" xfId="16151" xr:uid="{00000000-0005-0000-0000-0000193B0000}"/>
    <cellStyle name="Normal 4 3 2 2 2 5 2 2 4" xfId="33020" xr:uid="{54BAA964-0EF7-4F14-AABD-A0A90906BFDA}"/>
    <cellStyle name="Normal 4 3 2 2 2 5 2 3" xfId="20368" xr:uid="{00000000-0005-0000-0000-00001A3B0000}"/>
    <cellStyle name="Normal 4 3 2 2 2 5 2 3 2" xfId="37237" xr:uid="{CE154FFA-2C91-4D21-A199-2DCFE6FA7221}"/>
    <cellStyle name="Normal 4 3 2 2 2 5 2 4" xfId="11933" xr:uid="{00000000-0005-0000-0000-00001B3B0000}"/>
    <cellStyle name="Normal 4 3 2 2 2 5 2 5" xfId="28803" xr:uid="{8DF674CB-8DE3-457D-9512-4B349326E380}"/>
    <cellStyle name="Normal 4 3 2 2 2 5 3" xfId="5571" xr:uid="{00000000-0005-0000-0000-00001C3B0000}"/>
    <cellStyle name="Normal 4 3 2 2 2 5 3 2" xfId="22441" xr:uid="{00000000-0005-0000-0000-00001D3B0000}"/>
    <cellStyle name="Normal 4 3 2 2 2 5 3 2 2" xfId="39309" xr:uid="{5153BB91-0D9F-4335-A740-179A9D0A3826}"/>
    <cellStyle name="Normal 4 3 2 2 2 5 3 3" xfId="14006" xr:uid="{00000000-0005-0000-0000-00001E3B0000}"/>
    <cellStyle name="Normal 4 3 2 2 2 5 3 4" xfId="30875" xr:uid="{086BCD08-88B6-46ED-8F7F-EABC25A8C28D}"/>
    <cellStyle name="Normal 4 3 2 2 2 5 4" xfId="18223" xr:uid="{00000000-0005-0000-0000-00001F3B0000}"/>
    <cellStyle name="Normal 4 3 2 2 2 5 4 2" xfId="35092" xr:uid="{37AEB5B4-6E70-4074-8574-908065BBF30C}"/>
    <cellStyle name="Normal 4 3 2 2 2 5 5" xfId="9788" xr:uid="{00000000-0005-0000-0000-0000203B0000}"/>
    <cellStyle name="Normal 4 3 2 2 2 5 6" xfId="26658" xr:uid="{E3D10357-91E4-4B64-B15F-AE1BBACD8287}"/>
    <cellStyle name="Normal 4 3 2 2 2 6" xfId="1676" xr:uid="{00000000-0005-0000-0000-0000213B0000}"/>
    <cellStyle name="Normal 4 3 2 2 2 6 2" xfId="3906" xr:uid="{00000000-0005-0000-0000-0000223B0000}"/>
    <cellStyle name="Normal 4 3 2 2 2 6 2 2" xfId="8129" xr:uid="{00000000-0005-0000-0000-0000233B0000}"/>
    <cellStyle name="Normal 4 3 2 2 2 6 2 2 2" xfId="24999" xr:uid="{00000000-0005-0000-0000-0000243B0000}"/>
    <cellStyle name="Normal 4 3 2 2 2 6 2 2 2 2" xfId="41867" xr:uid="{A32879E5-6432-4543-8089-EB3F83F7C9B5}"/>
    <cellStyle name="Normal 4 3 2 2 2 6 2 2 3" xfId="16564" xr:uid="{00000000-0005-0000-0000-0000253B0000}"/>
    <cellStyle name="Normal 4 3 2 2 2 6 2 2 4" xfId="33433" xr:uid="{0885338D-4079-4194-B731-9E5972778ADA}"/>
    <cellStyle name="Normal 4 3 2 2 2 6 2 3" xfId="20781" xr:uid="{00000000-0005-0000-0000-0000263B0000}"/>
    <cellStyle name="Normal 4 3 2 2 2 6 2 3 2" xfId="37650" xr:uid="{2C692713-100E-41C5-BF71-94E527B12590}"/>
    <cellStyle name="Normal 4 3 2 2 2 6 2 4" xfId="12346" xr:uid="{00000000-0005-0000-0000-0000273B0000}"/>
    <cellStyle name="Normal 4 3 2 2 2 6 2 5" xfId="29216" xr:uid="{6786EE72-5935-4CD3-AE97-93D79C98B931}"/>
    <cellStyle name="Normal 4 3 2 2 2 6 3" xfId="5984" xr:uid="{00000000-0005-0000-0000-0000283B0000}"/>
    <cellStyle name="Normal 4 3 2 2 2 6 3 2" xfId="22854" xr:uid="{00000000-0005-0000-0000-0000293B0000}"/>
    <cellStyle name="Normal 4 3 2 2 2 6 3 2 2" xfId="39722" xr:uid="{588E1996-4D21-466C-8554-66DBFD43714C}"/>
    <cellStyle name="Normal 4 3 2 2 2 6 3 3" xfId="14419" xr:uid="{00000000-0005-0000-0000-00002A3B0000}"/>
    <cellStyle name="Normal 4 3 2 2 2 6 3 4" xfId="31288" xr:uid="{CBEEA944-13E2-4950-AB06-44A0F71B8BD3}"/>
    <cellStyle name="Normal 4 3 2 2 2 6 4" xfId="18636" xr:uid="{00000000-0005-0000-0000-00002B3B0000}"/>
    <cellStyle name="Normal 4 3 2 2 2 6 4 2" xfId="35505" xr:uid="{3C7628B3-BD73-4031-9734-D1AAC366FA8E}"/>
    <cellStyle name="Normal 4 3 2 2 2 6 5" xfId="10201" xr:uid="{00000000-0005-0000-0000-00002C3B0000}"/>
    <cellStyle name="Normal 4 3 2 2 2 6 6" xfId="27071" xr:uid="{94771A36-6E0D-48EC-A973-354F665D41F8}"/>
    <cellStyle name="Normal 4 3 2 2 2 7" xfId="2090" xr:uid="{00000000-0005-0000-0000-00002D3B0000}"/>
    <cellStyle name="Normal 4 3 2 2 2 7 2" xfId="4319" xr:uid="{00000000-0005-0000-0000-00002E3B0000}"/>
    <cellStyle name="Normal 4 3 2 2 2 7 2 2" xfId="8542" xr:uid="{00000000-0005-0000-0000-00002F3B0000}"/>
    <cellStyle name="Normal 4 3 2 2 2 7 2 2 2" xfId="25412" xr:uid="{00000000-0005-0000-0000-0000303B0000}"/>
    <cellStyle name="Normal 4 3 2 2 2 7 2 2 2 2" xfId="42280" xr:uid="{DFE079A6-D8C4-42E0-B08A-5969762F1B7B}"/>
    <cellStyle name="Normal 4 3 2 2 2 7 2 2 3" xfId="16977" xr:uid="{00000000-0005-0000-0000-0000313B0000}"/>
    <cellStyle name="Normal 4 3 2 2 2 7 2 2 4" xfId="33846" xr:uid="{721A6765-9E84-4181-A8A6-B0EA1E8F675A}"/>
    <cellStyle name="Normal 4 3 2 2 2 7 2 3" xfId="21194" xr:uid="{00000000-0005-0000-0000-0000323B0000}"/>
    <cellStyle name="Normal 4 3 2 2 2 7 2 3 2" xfId="38063" xr:uid="{DB62C3C1-4619-4B86-B261-370626048EDA}"/>
    <cellStyle name="Normal 4 3 2 2 2 7 2 4" xfId="12759" xr:uid="{00000000-0005-0000-0000-0000333B0000}"/>
    <cellStyle name="Normal 4 3 2 2 2 7 2 5" xfId="29629" xr:uid="{4D296378-A2DE-4FCD-A718-518C3219C60D}"/>
    <cellStyle name="Normal 4 3 2 2 2 7 3" xfId="6397" xr:uid="{00000000-0005-0000-0000-0000343B0000}"/>
    <cellStyle name="Normal 4 3 2 2 2 7 3 2" xfId="23267" xr:uid="{00000000-0005-0000-0000-0000353B0000}"/>
    <cellStyle name="Normal 4 3 2 2 2 7 3 2 2" xfId="40135" xr:uid="{69648733-14E9-48FE-A274-669E9CFFB0C6}"/>
    <cellStyle name="Normal 4 3 2 2 2 7 3 3" xfId="14832" xr:uid="{00000000-0005-0000-0000-0000363B0000}"/>
    <cellStyle name="Normal 4 3 2 2 2 7 3 4" xfId="31701" xr:uid="{BCF05B69-226C-4BFB-9FAA-60ABD8336681}"/>
    <cellStyle name="Normal 4 3 2 2 2 7 4" xfId="19049" xr:uid="{00000000-0005-0000-0000-0000373B0000}"/>
    <cellStyle name="Normal 4 3 2 2 2 7 4 2" xfId="35918" xr:uid="{597E2DAC-01A9-4820-8C6C-773FD5F764A2}"/>
    <cellStyle name="Normal 4 3 2 2 2 7 5" xfId="10614" xr:uid="{00000000-0005-0000-0000-0000383B0000}"/>
    <cellStyle name="Normal 4 3 2 2 2 7 6" xfId="27484" xr:uid="{B25C893F-4FCF-48DB-A86A-49A2FC8D39E6}"/>
    <cellStyle name="Normal 4 3 2 2 2 8" xfId="2526" xr:uid="{00000000-0005-0000-0000-0000393B0000}"/>
    <cellStyle name="Normal 4 3 2 2 2 8 2" xfId="6810" xr:uid="{00000000-0005-0000-0000-00003A3B0000}"/>
    <cellStyle name="Normal 4 3 2 2 2 8 2 2" xfId="23680" xr:uid="{00000000-0005-0000-0000-00003B3B0000}"/>
    <cellStyle name="Normal 4 3 2 2 2 8 2 2 2" xfId="40548" xr:uid="{37008908-7CA1-480F-AA3D-196234F197BA}"/>
    <cellStyle name="Normal 4 3 2 2 2 8 2 3" xfId="15245" xr:uid="{00000000-0005-0000-0000-00003C3B0000}"/>
    <cellStyle name="Normal 4 3 2 2 2 8 2 4" xfId="32114" xr:uid="{732F75D7-9FF9-481F-99F8-1603823DD055}"/>
    <cellStyle name="Normal 4 3 2 2 2 8 3" xfId="19462" xr:uid="{00000000-0005-0000-0000-00003D3B0000}"/>
    <cellStyle name="Normal 4 3 2 2 2 8 3 2" xfId="36331" xr:uid="{316C7117-F25C-4441-9F18-9E24AEF74A3D}"/>
    <cellStyle name="Normal 4 3 2 2 2 8 4" xfId="11027" xr:uid="{00000000-0005-0000-0000-00003E3B0000}"/>
    <cellStyle name="Normal 4 3 2 2 2 8 5" xfId="27897" xr:uid="{92359857-5176-4630-B6C5-9764DB10B7FF}"/>
    <cellStyle name="Normal 4 3 2 2 2 9" xfId="4745" xr:uid="{00000000-0005-0000-0000-00003F3B0000}"/>
    <cellStyle name="Normal 4 3 2 2 2 9 2" xfId="21615" xr:uid="{00000000-0005-0000-0000-0000403B0000}"/>
    <cellStyle name="Normal 4 3 2 2 2 9 2 2" xfId="38483" xr:uid="{501AA920-49EE-4874-9BE9-0032AA69D402}"/>
    <cellStyle name="Normal 4 3 2 2 2 9 3" xfId="13180" xr:uid="{00000000-0005-0000-0000-0000413B0000}"/>
    <cellStyle name="Normal 4 3 2 2 2 9 4" xfId="30049" xr:uid="{5AE8BB0A-D612-4E36-A2AB-C54B438F7469}"/>
    <cellStyle name="Normal 4 3 2 3" xfId="373" xr:uid="{00000000-0005-0000-0000-0000423B0000}"/>
    <cellStyle name="Normal 4 3 2 3 2" xfId="848" xr:uid="{00000000-0005-0000-0000-0000433B0000}"/>
    <cellStyle name="Normal 4 3 2 4" xfId="843" xr:uid="{00000000-0005-0000-0000-0000443B0000}"/>
    <cellStyle name="Normal 4 3 3" xfId="374" xr:uid="{00000000-0005-0000-0000-0000453B0000}"/>
    <cellStyle name="Normal 4 3 3 10" xfId="17401" xr:uid="{00000000-0005-0000-0000-0000463B0000}"/>
    <cellStyle name="Normal 4 3 3 10 2" xfId="34270" xr:uid="{86B9415B-1303-423C-873C-C83C78335BBD}"/>
    <cellStyle name="Normal 4 3 3 11" xfId="8966" xr:uid="{00000000-0005-0000-0000-0000473B0000}"/>
    <cellStyle name="Normal 4 3 3 12" xfId="25836" xr:uid="{2859C678-9B5A-4AFD-9195-6AE2FA077397}"/>
    <cellStyle name="Normal 4 3 3 2" xfId="375" xr:uid="{00000000-0005-0000-0000-0000483B0000}"/>
    <cellStyle name="Normal 4 3 3 2 10" xfId="8967" xr:uid="{00000000-0005-0000-0000-0000493B0000}"/>
    <cellStyle name="Normal 4 3 3 2 11" xfId="25837" xr:uid="{6267024E-0629-46BF-A2FA-31144C7AC9FE}"/>
    <cellStyle name="Normal 4 3 3 2 2" xfId="376" xr:uid="{00000000-0005-0000-0000-00004A3B0000}"/>
    <cellStyle name="Normal 4 3 3 2 2 10" xfId="25838" xr:uid="{636390B8-5855-4D6B-B1E5-A608221AEF67}"/>
    <cellStyle name="Normal 4 3 3 2 2 2" xfId="851" xr:uid="{00000000-0005-0000-0000-00004B3B0000}"/>
    <cellStyle name="Normal 4 3 3 2 2 2 2" xfId="3086" xr:uid="{00000000-0005-0000-0000-00004C3B0000}"/>
    <cellStyle name="Normal 4 3 3 2 2 2 2 2" xfId="7309" xr:uid="{00000000-0005-0000-0000-00004D3B0000}"/>
    <cellStyle name="Normal 4 3 3 2 2 2 2 2 2" xfId="24179" xr:uid="{00000000-0005-0000-0000-00004E3B0000}"/>
    <cellStyle name="Normal 4 3 3 2 2 2 2 2 2 2" xfId="41047" xr:uid="{C63880A1-92F3-416B-8C6D-AB1FE1ABD732}"/>
    <cellStyle name="Normal 4 3 3 2 2 2 2 2 3" xfId="15744" xr:uid="{00000000-0005-0000-0000-00004F3B0000}"/>
    <cellStyle name="Normal 4 3 3 2 2 2 2 2 4" xfId="32613" xr:uid="{439BE718-47DF-4247-81C9-7EDD57EE5EDA}"/>
    <cellStyle name="Normal 4 3 3 2 2 2 2 3" xfId="19961" xr:uid="{00000000-0005-0000-0000-0000503B0000}"/>
    <cellStyle name="Normal 4 3 3 2 2 2 2 3 2" xfId="36830" xr:uid="{5E9405D4-C308-4E25-932F-E6EC33BBD8C2}"/>
    <cellStyle name="Normal 4 3 3 2 2 2 2 4" xfId="11526" xr:uid="{00000000-0005-0000-0000-0000513B0000}"/>
    <cellStyle name="Normal 4 3 3 2 2 2 2 5" xfId="28396" xr:uid="{E45A310C-72DA-4ABE-A277-EF26443D4855}"/>
    <cellStyle name="Normal 4 3 3 2 2 2 3" xfId="5164" xr:uid="{00000000-0005-0000-0000-0000523B0000}"/>
    <cellStyle name="Normal 4 3 3 2 2 2 3 2" xfId="22034" xr:uid="{00000000-0005-0000-0000-0000533B0000}"/>
    <cellStyle name="Normal 4 3 3 2 2 2 3 2 2" xfId="38902" xr:uid="{B7C061AF-E46D-40EC-BE69-9DF98DE2CF34}"/>
    <cellStyle name="Normal 4 3 3 2 2 2 3 3" xfId="13599" xr:uid="{00000000-0005-0000-0000-0000543B0000}"/>
    <cellStyle name="Normal 4 3 3 2 2 2 3 4" xfId="30468" xr:uid="{86A4D78A-40AA-407B-906D-69FBF8452AD4}"/>
    <cellStyle name="Normal 4 3 3 2 2 2 4" xfId="17816" xr:uid="{00000000-0005-0000-0000-0000553B0000}"/>
    <cellStyle name="Normal 4 3 3 2 2 2 4 2" xfId="34685" xr:uid="{DC0EE4BC-B22C-48BE-9CC7-CD3F33865DE4}"/>
    <cellStyle name="Normal 4 3 3 2 2 2 5" xfId="9381" xr:uid="{00000000-0005-0000-0000-0000563B0000}"/>
    <cellStyle name="Normal 4 3 3 2 2 2 6" xfId="26251" xr:uid="{14CB65C0-9D86-48E1-8233-26C99A6B6ABA}"/>
    <cellStyle name="Normal 4 3 3 2 2 3" xfId="1269" xr:uid="{00000000-0005-0000-0000-0000573B0000}"/>
    <cellStyle name="Normal 4 3 3 2 2 3 2" xfId="3499" xr:uid="{00000000-0005-0000-0000-0000583B0000}"/>
    <cellStyle name="Normal 4 3 3 2 2 3 2 2" xfId="7722" xr:uid="{00000000-0005-0000-0000-0000593B0000}"/>
    <cellStyle name="Normal 4 3 3 2 2 3 2 2 2" xfId="24592" xr:uid="{00000000-0005-0000-0000-00005A3B0000}"/>
    <cellStyle name="Normal 4 3 3 2 2 3 2 2 2 2" xfId="41460" xr:uid="{B9145BD4-6AA8-4651-9F9E-23D7CAE72371}"/>
    <cellStyle name="Normal 4 3 3 2 2 3 2 2 3" xfId="16157" xr:uid="{00000000-0005-0000-0000-00005B3B0000}"/>
    <cellStyle name="Normal 4 3 3 2 2 3 2 2 4" xfId="33026" xr:uid="{8C7A0F1E-DEC9-40B2-A680-5BAC1EA95ADB}"/>
    <cellStyle name="Normal 4 3 3 2 2 3 2 3" xfId="20374" xr:uid="{00000000-0005-0000-0000-00005C3B0000}"/>
    <cellStyle name="Normal 4 3 3 2 2 3 2 3 2" xfId="37243" xr:uid="{57AD7CCC-5096-44B9-B3A5-04575ACE1675}"/>
    <cellStyle name="Normal 4 3 3 2 2 3 2 4" xfId="11939" xr:uid="{00000000-0005-0000-0000-00005D3B0000}"/>
    <cellStyle name="Normal 4 3 3 2 2 3 2 5" xfId="28809" xr:uid="{C72554D8-AEB8-41CA-8CA6-0EEF4C3DB55F}"/>
    <cellStyle name="Normal 4 3 3 2 2 3 3" xfId="5577" xr:uid="{00000000-0005-0000-0000-00005E3B0000}"/>
    <cellStyle name="Normal 4 3 3 2 2 3 3 2" xfId="22447" xr:uid="{00000000-0005-0000-0000-00005F3B0000}"/>
    <cellStyle name="Normal 4 3 3 2 2 3 3 2 2" xfId="39315" xr:uid="{8DE0D603-174A-49AE-B7AD-301A44997732}"/>
    <cellStyle name="Normal 4 3 3 2 2 3 3 3" xfId="14012" xr:uid="{00000000-0005-0000-0000-0000603B0000}"/>
    <cellStyle name="Normal 4 3 3 2 2 3 3 4" xfId="30881" xr:uid="{F506F16C-2B04-4480-9CE3-049B7FA221CA}"/>
    <cellStyle name="Normal 4 3 3 2 2 3 4" xfId="18229" xr:uid="{00000000-0005-0000-0000-0000613B0000}"/>
    <cellStyle name="Normal 4 3 3 2 2 3 4 2" xfId="35098" xr:uid="{D7CD992C-9A93-42EF-9145-91102344E264}"/>
    <cellStyle name="Normal 4 3 3 2 2 3 5" xfId="9794" xr:uid="{00000000-0005-0000-0000-0000623B0000}"/>
    <cellStyle name="Normal 4 3 3 2 2 3 6" xfId="26664" xr:uid="{D62E335C-0AA0-4A41-B34A-90F7E2E59264}"/>
    <cellStyle name="Normal 4 3 3 2 2 4" xfId="1682" xr:uid="{00000000-0005-0000-0000-0000633B0000}"/>
    <cellStyle name="Normal 4 3 3 2 2 4 2" xfId="3912" xr:uid="{00000000-0005-0000-0000-0000643B0000}"/>
    <cellStyle name="Normal 4 3 3 2 2 4 2 2" xfId="8135" xr:uid="{00000000-0005-0000-0000-0000653B0000}"/>
    <cellStyle name="Normal 4 3 3 2 2 4 2 2 2" xfId="25005" xr:uid="{00000000-0005-0000-0000-0000663B0000}"/>
    <cellStyle name="Normal 4 3 3 2 2 4 2 2 2 2" xfId="41873" xr:uid="{C25F9FD6-2982-4A3B-84AE-8E302BF4D5F9}"/>
    <cellStyle name="Normal 4 3 3 2 2 4 2 2 3" xfId="16570" xr:uid="{00000000-0005-0000-0000-0000673B0000}"/>
    <cellStyle name="Normal 4 3 3 2 2 4 2 2 4" xfId="33439" xr:uid="{5B4FAC74-1F31-4EB2-82C4-76CA1397B8FC}"/>
    <cellStyle name="Normal 4 3 3 2 2 4 2 3" xfId="20787" xr:uid="{00000000-0005-0000-0000-0000683B0000}"/>
    <cellStyle name="Normal 4 3 3 2 2 4 2 3 2" xfId="37656" xr:uid="{7AD70965-CA66-49CB-83F1-E078E20AB89E}"/>
    <cellStyle name="Normal 4 3 3 2 2 4 2 4" xfId="12352" xr:uid="{00000000-0005-0000-0000-0000693B0000}"/>
    <cellStyle name="Normal 4 3 3 2 2 4 2 5" xfId="29222" xr:uid="{ACF898A2-4F06-4E23-B572-C7D8F10EDF06}"/>
    <cellStyle name="Normal 4 3 3 2 2 4 3" xfId="5990" xr:uid="{00000000-0005-0000-0000-00006A3B0000}"/>
    <cellStyle name="Normal 4 3 3 2 2 4 3 2" xfId="22860" xr:uid="{00000000-0005-0000-0000-00006B3B0000}"/>
    <cellStyle name="Normal 4 3 3 2 2 4 3 2 2" xfId="39728" xr:uid="{0CE86574-5DA3-40A1-A8E6-9DD376864767}"/>
    <cellStyle name="Normal 4 3 3 2 2 4 3 3" xfId="14425" xr:uid="{00000000-0005-0000-0000-00006C3B0000}"/>
    <cellStyle name="Normal 4 3 3 2 2 4 3 4" xfId="31294" xr:uid="{70D399AF-CC49-43EC-A0CD-F77A59982A33}"/>
    <cellStyle name="Normal 4 3 3 2 2 4 4" xfId="18642" xr:uid="{00000000-0005-0000-0000-00006D3B0000}"/>
    <cellStyle name="Normal 4 3 3 2 2 4 4 2" xfId="35511" xr:uid="{6FB7B9AA-B45D-4F1E-95BF-1354E270D4F7}"/>
    <cellStyle name="Normal 4 3 3 2 2 4 5" xfId="10207" xr:uid="{00000000-0005-0000-0000-00006E3B0000}"/>
    <cellStyle name="Normal 4 3 3 2 2 4 6" xfId="27077" xr:uid="{B969A280-A39B-4C11-8E48-FD2FFC8759B6}"/>
    <cellStyle name="Normal 4 3 3 2 2 5" xfId="2096" xr:uid="{00000000-0005-0000-0000-00006F3B0000}"/>
    <cellStyle name="Normal 4 3 3 2 2 5 2" xfId="4325" xr:uid="{00000000-0005-0000-0000-0000703B0000}"/>
    <cellStyle name="Normal 4 3 3 2 2 5 2 2" xfId="8548" xr:uid="{00000000-0005-0000-0000-0000713B0000}"/>
    <cellStyle name="Normal 4 3 3 2 2 5 2 2 2" xfId="25418" xr:uid="{00000000-0005-0000-0000-0000723B0000}"/>
    <cellStyle name="Normal 4 3 3 2 2 5 2 2 2 2" xfId="42286" xr:uid="{15BFA492-DB87-44B1-A0AB-38F919110F96}"/>
    <cellStyle name="Normal 4 3 3 2 2 5 2 2 3" xfId="16983" xr:uid="{00000000-0005-0000-0000-0000733B0000}"/>
    <cellStyle name="Normal 4 3 3 2 2 5 2 2 4" xfId="33852" xr:uid="{E59FA31C-7CD3-4C85-A451-52411B82F203}"/>
    <cellStyle name="Normal 4 3 3 2 2 5 2 3" xfId="21200" xr:uid="{00000000-0005-0000-0000-0000743B0000}"/>
    <cellStyle name="Normal 4 3 3 2 2 5 2 3 2" xfId="38069" xr:uid="{02742F7B-9E83-4048-BFD4-411C23CB382B}"/>
    <cellStyle name="Normal 4 3 3 2 2 5 2 4" xfId="12765" xr:uid="{00000000-0005-0000-0000-0000753B0000}"/>
    <cellStyle name="Normal 4 3 3 2 2 5 2 5" xfId="29635" xr:uid="{FF6DAB47-5915-484E-8C67-5A8CB0B2A1E0}"/>
    <cellStyle name="Normal 4 3 3 2 2 5 3" xfId="6403" xr:uid="{00000000-0005-0000-0000-0000763B0000}"/>
    <cellStyle name="Normal 4 3 3 2 2 5 3 2" xfId="23273" xr:uid="{00000000-0005-0000-0000-0000773B0000}"/>
    <cellStyle name="Normal 4 3 3 2 2 5 3 2 2" xfId="40141" xr:uid="{A49FBE9B-E023-41A7-8594-B05FDBC76880}"/>
    <cellStyle name="Normal 4 3 3 2 2 5 3 3" xfId="14838" xr:uid="{00000000-0005-0000-0000-0000783B0000}"/>
    <cellStyle name="Normal 4 3 3 2 2 5 3 4" xfId="31707" xr:uid="{CC063565-1581-4B06-BE24-59EB4B4485ED}"/>
    <cellStyle name="Normal 4 3 3 2 2 5 4" xfId="19055" xr:uid="{00000000-0005-0000-0000-0000793B0000}"/>
    <cellStyle name="Normal 4 3 3 2 2 5 4 2" xfId="35924" xr:uid="{3BE4BFC3-49A8-4084-B54E-3C1021E83325}"/>
    <cellStyle name="Normal 4 3 3 2 2 5 5" xfId="10620" xr:uid="{00000000-0005-0000-0000-00007A3B0000}"/>
    <cellStyle name="Normal 4 3 3 2 2 5 6" xfId="27490" xr:uid="{D257CCF0-1DE1-4894-809A-0E9BE712C851}"/>
    <cellStyle name="Normal 4 3 3 2 2 6" xfId="2532" xr:uid="{00000000-0005-0000-0000-00007B3B0000}"/>
    <cellStyle name="Normal 4 3 3 2 2 6 2" xfId="6816" xr:uid="{00000000-0005-0000-0000-00007C3B0000}"/>
    <cellStyle name="Normal 4 3 3 2 2 6 2 2" xfId="23686" xr:uid="{00000000-0005-0000-0000-00007D3B0000}"/>
    <cellStyle name="Normal 4 3 3 2 2 6 2 2 2" xfId="40554" xr:uid="{C5CFB599-2F48-4E3E-9053-A2D779B8F915}"/>
    <cellStyle name="Normal 4 3 3 2 2 6 2 3" xfId="15251" xr:uid="{00000000-0005-0000-0000-00007E3B0000}"/>
    <cellStyle name="Normal 4 3 3 2 2 6 2 4" xfId="32120" xr:uid="{8D8DF9D5-7AF2-4F42-BDB7-D026C6EE19B3}"/>
    <cellStyle name="Normal 4 3 3 2 2 6 3" xfId="19468" xr:uid="{00000000-0005-0000-0000-00007F3B0000}"/>
    <cellStyle name="Normal 4 3 3 2 2 6 3 2" xfId="36337" xr:uid="{065A75EA-65E3-4E80-BBB0-8DC053F1D187}"/>
    <cellStyle name="Normal 4 3 3 2 2 6 4" xfId="11033" xr:uid="{00000000-0005-0000-0000-0000803B0000}"/>
    <cellStyle name="Normal 4 3 3 2 2 6 5" xfId="27903" xr:uid="{11EEC944-8ED2-4FB1-A1BE-0A2CB3373023}"/>
    <cellStyle name="Normal 4 3 3 2 2 7" xfId="4751" xr:uid="{00000000-0005-0000-0000-0000813B0000}"/>
    <cellStyle name="Normal 4 3 3 2 2 7 2" xfId="21621" xr:uid="{00000000-0005-0000-0000-0000823B0000}"/>
    <cellStyle name="Normal 4 3 3 2 2 7 2 2" xfId="38489" xr:uid="{1B7D7A4B-084B-4763-9552-C80AD1F09E2D}"/>
    <cellStyle name="Normal 4 3 3 2 2 7 3" xfId="13186" xr:uid="{00000000-0005-0000-0000-0000833B0000}"/>
    <cellStyle name="Normal 4 3 3 2 2 7 4" xfId="30055" xr:uid="{CB5945A6-03CC-4144-80EE-BB6A1BB6215A}"/>
    <cellStyle name="Normal 4 3 3 2 2 8" xfId="17403" xr:uid="{00000000-0005-0000-0000-0000843B0000}"/>
    <cellStyle name="Normal 4 3 3 2 2 8 2" xfId="34272" xr:uid="{0F3FEBAC-7C54-467F-B8ED-60D25CA57CE7}"/>
    <cellStyle name="Normal 4 3 3 2 2 9" xfId="8968" xr:uid="{00000000-0005-0000-0000-0000853B0000}"/>
    <cellStyle name="Normal 4 3 3 2 3" xfId="850" xr:uid="{00000000-0005-0000-0000-0000863B0000}"/>
    <cellStyle name="Normal 4 3 3 2 3 2" xfId="3085" xr:uid="{00000000-0005-0000-0000-0000873B0000}"/>
    <cellStyle name="Normal 4 3 3 2 3 2 2" xfId="7308" xr:uid="{00000000-0005-0000-0000-0000883B0000}"/>
    <cellStyle name="Normal 4 3 3 2 3 2 2 2" xfId="24178" xr:uid="{00000000-0005-0000-0000-0000893B0000}"/>
    <cellStyle name="Normal 4 3 3 2 3 2 2 2 2" xfId="41046" xr:uid="{2B5DA1D4-5528-4B39-9338-7E9BCCD7FAFE}"/>
    <cellStyle name="Normal 4 3 3 2 3 2 2 3" xfId="15743" xr:uid="{00000000-0005-0000-0000-00008A3B0000}"/>
    <cellStyle name="Normal 4 3 3 2 3 2 2 4" xfId="32612" xr:uid="{E4E3CF43-E3B6-4BB1-A3E9-306A8FC3D4AA}"/>
    <cellStyle name="Normal 4 3 3 2 3 2 3" xfId="19960" xr:uid="{00000000-0005-0000-0000-00008B3B0000}"/>
    <cellStyle name="Normal 4 3 3 2 3 2 3 2" xfId="36829" xr:uid="{E0854469-DC50-4C6D-B5A8-C90FC33E0D6F}"/>
    <cellStyle name="Normal 4 3 3 2 3 2 4" xfId="11525" xr:uid="{00000000-0005-0000-0000-00008C3B0000}"/>
    <cellStyle name="Normal 4 3 3 2 3 2 5" xfId="28395" xr:uid="{CEBAC60B-A0B8-4201-9247-28822C83E7B7}"/>
    <cellStyle name="Normal 4 3 3 2 3 3" xfId="5163" xr:uid="{00000000-0005-0000-0000-00008D3B0000}"/>
    <cellStyle name="Normal 4 3 3 2 3 3 2" xfId="22033" xr:uid="{00000000-0005-0000-0000-00008E3B0000}"/>
    <cellStyle name="Normal 4 3 3 2 3 3 2 2" xfId="38901" xr:uid="{8AE758F2-EE2F-4FF4-98E1-C7C3BA5968FB}"/>
    <cellStyle name="Normal 4 3 3 2 3 3 3" xfId="13598" xr:uid="{00000000-0005-0000-0000-00008F3B0000}"/>
    <cellStyle name="Normal 4 3 3 2 3 3 4" xfId="30467" xr:uid="{3E96064F-7326-4EAE-90DB-EF2F09A4BDE0}"/>
    <cellStyle name="Normal 4 3 3 2 3 4" xfId="17815" xr:uid="{00000000-0005-0000-0000-0000903B0000}"/>
    <cellStyle name="Normal 4 3 3 2 3 4 2" xfId="34684" xr:uid="{8A21441A-34FB-4D89-9AA0-E2EC2178853E}"/>
    <cellStyle name="Normal 4 3 3 2 3 5" xfId="9380" xr:uid="{00000000-0005-0000-0000-0000913B0000}"/>
    <cellStyle name="Normal 4 3 3 2 3 6" xfId="26250" xr:uid="{0A844BE4-6726-4267-A6C5-8A37D128A1DF}"/>
    <cellStyle name="Normal 4 3 3 2 4" xfId="1268" xr:uid="{00000000-0005-0000-0000-0000923B0000}"/>
    <cellStyle name="Normal 4 3 3 2 4 2" xfId="3498" xr:uid="{00000000-0005-0000-0000-0000933B0000}"/>
    <cellStyle name="Normal 4 3 3 2 4 2 2" xfId="7721" xr:uid="{00000000-0005-0000-0000-0000943B0000}"/>
    <cellStyle name="Normal 4 3 3 2 4 2 2 2" xfId="24591" xr:uid="{00000000-0005-0000-0000-0000953B0000}"/>
    <cellStyle name="Normal 4 3 3 2 4 2 2 2 2" xfId="41459" xr:uid="{E8302F98-FD84-49EB-AF82-B4CEB35CD5D6}"/>
    <cellStyle name="Normal 4 3 3 2 4 2 2 3" xfId="16156" xr:uid="{00000000-0005-0000-0000-0000963B0000}"/>
    <cellStyle name="Normal 4 3 3 2 4 2 2 4" xfId="33025" xr:uid="{DE97C4B0-EAFC-4BB0-A265-E66248083EBB}"/>
    <cellStyle name="Normal 4 3 3 2 4 2 3" xfId="20373" xr:uid="{00000000-0005-0000-0000-0000973B0000}"/>
    <cellStyle name="Normal 4 3 3 2 4 2 3 2" xfId="37242" xr:uid="{B41C9D02-ADBF-4B1B-AD90-745EE4C1A7B4}"/>
    <cellStyle name="Normal 4 3 3 2 4 2 4" xfId="11938" xr:uid="{00000000-0005-0000-0000-0000983B0000}"/>
    <cellStyle name="Normal 4 3 3 2 4 2 5" xfId="28808" xr:uid="{12593CF8-2B76-482A-A9E2-581A70551E58}"/>
    <cellStyle name="Normal 4 3 3 2 4 3" xfId="5576" xr:uid="{00000000-0005-0000-0000-0000993B0000}"/>
    <cellStyle name="Normal 4 3 3 2 4 3 2" xfId="22446" xr:uid="{00000000-0005-0000-0000-00009A3B0000}"/>
    <cellStyle name="Normal 4 3 3 2 4 3 2 2" xfId="39314" xr:uid="{1208FFB4-7E8B-4A3C-8F02-32174DB40667}"/>
    <cellStyle name="Normal 4 3 3 2 4 3 3" xfId="14011" xr:uid="{00000000-0005-0000-0000-00009B3B0000}"/>
    <cellStyle name="Normal 4 3 3 2 4 3 4" xfId="30880" xr:uid="{D50F4BA5-51A0-4AF0-8A3C-E12DED9E80F2}"/>
    <cellStyle name="Normal 4 3 3 2 4 4" xfId="18228" xr:uid="{00000000-0005-0000-0000-00009C3B0000}"/>
    <cellStyle name="Normal 4 3 3 2 4 4 2" xfId="35097" xr:uid="{94343E0E-A6EA-4C5F-9572-270C7F1F5305}"/>
    <cellStyle name="Normal 4 3 3 2 4 5" xfId="9793" xr:uid="{00000000-0005-0000-0000-00009D3B0000}"/>
    <cellStyle name="Normal 4 3 3 2 4 6" xfId="26663" xr:uid="{DC3F364D-9BAD-42AA-883D-B9DE061E12D9}"/>
    <cellStyle name="Normal 4 3 3 2 5" xfId="1681" xr:uid="{00000000-0005-0000-0000-00009E3B0000}"/>
    <cellStyle name="Normal 4 3 3 2 5 2" xfId="3911" xr:uid="{00000000-0005-0000-0000-00009F3B0000}"/>
    <cellStyle name="Normal 4 3 3 2 5 2 2" xfId="8134" xr:uid="{00000000-0005-0000-0000-0000A03B0000}"/>
    <cellStyle name="Normal 4 3 3 2 5 2 2 2" xfId="25004" xr:uid="{00000000-0005-0000-0000-0000A13B0000}"/>
    <cellStyle name="Normal 4 3 3 2 5 2 2 2 2" xfId="41872" xr:uid="{828DC3DB-FF63-4C80-8FAA-CC39DA9F1609}"/>
    <cellStyle name="Normal 4 3 3 2 5 2 2 3" xfId="16569" xr:uid="{00000000-0005-0000-0000-0000A23B0000}"/>
    <cellStyle name="Normal 4 3 3 2 5 2 2 4" xfId="33438" xr:uid="{43995897-6D27-4FDF-80C7-72815250FD9D}"/>
    <cellStyle name="Normal 4 3 3 2 5 2 3" xfId="20786" xr:uid="{00000000-0005-0000-0000-0000A33B0000}"/>
    <cellStyle name="Normal 4 3 3 2 5 2 3 2" xfId="37655" xr:uid="{E19BA952-0946-43E6-83C0-2D6E188EA6E2}"/>
    <cellStyle name="Normal 4 3 3 2 5 2 4" xfId="12351" xr:uid="{00000000-0005-0000-0000-0000A43B0000}"/>
    <cellStyle name="Normal 4 3 3 2 5 2 5" xfId="29221" xr:uid="{D4821533-6A03-4A1F-807A-E4AC45424368}"/>
    <cellStyle name="Normal 4 3 3 2 5 3" xfId="5989" xr:uid="{00000000-0005-0000-0000-0000A53B0000}"/>
    <cellStyle name="Normal 4 3 3 2 5 3 2" xfId="22859" xr:uid="{00000000-0005-0000-0000-0000A63B0000}"/>
    <cellStyle name="Normal 4 3 3 2 5 3 2 2" xfId="39727" xr:uid="{18072FFD-9AF9-4F0C-B41C-79FF4E1DC50E}"/>
    <cellStyle name="Normal 4 3 3 2 5 3 3" xfId="14424" xr:uid="{00000000-0005-0000-0000-0000A73B0000}"/>
    <cellStyle name="Normal 4 3 3 2 5 3 4" xfId="31293" xr:uid="{7B996DA5-6C04-4589-8DF1-D0A803E1E93F}"/>
    <cellStyle name="Normal 4 3 3 2 5 4" xfId="18641" xr:uid="{00000000-0005-0000-0000-0000A83B0000}"/>
    <cellStyle name="Normal 4 3 3 2 5 4 2" xfId="35510" xr:uid="{0D19F749-68F7-4712-97B6-0DA010332422}"/>
    <cellStyle name="Normal 4 3 3 2 5 5" xfId="10206" xr:uid="{00000000-0005-0000-0000-0000A93B0000}"/>
    <cellStyle name="Normal 4 3 3 2 5 6" xfId="27076" xr:uid="{012F786F-2DAD-4276-8638-C40681A6C36B}"/>
    <cellStyle name="Normal 4 3 3 2 6" xfId="2095" xr:uid="{00000000-0005-0000-0000-0000AA3B0000}"/>
    <cellStyle name="Normal 4 3 3 2 6 2" xfId="4324" xr:uid="{00000000-0005-0000-0000-0000AB3B0000}"/>
    <cellStyle name="Normal 4 3 3 2 6 2 2" xfId="8547" xr:uid="{00000000-0005-0000-0000-0000AC3B0000}"/>
    <cellStyle name="Normal 4 3 3 2 6 2 2 2" xfId="25417" xr:uid="{00000000-0005-0000-0000-0000AD3B0000}"/>
    <cellStyle name="Normal 4 3 3 2 6 2 2 2 2" xfId="42285" xr:uid="{35BF9D6D-8935-45B4-B25D-CF6083FD178F}"/>
    <cellStyle name="Normal 4 3 3 2 6 2 2 3" xfId="16982" xr:uid="{00000000-0005-0000-0000-0000AE3B0000}"/>
    <cellStyle name="Normal 4 3 3 2 6 2 2 4" xfId="33851" xr:uid="{2D2BE50F-57EE-4552-9400-61D1A5CB6BFE}"/>
    <cellStyle name="Normal 4 3 3 2 6 2 3" xfId="21199" xr:uid="{00000000-0005-0000-0000-0000AF3B0000}"/>
    <cellStyle name="Normal 4 3 3 2 6 2 3 2" xfId="38068" xr:uid="{C0B716D6-9AF6-4891-92F8-FA5E8149E637}"/>
    <cellStyle name="Normal 4 3 3 2 6 2 4" xfId="12764" xr:uid="{00000000-0005-0000-0000-0000B03B0000}"/>
    <cellStyle name="Normal 4 3 3 2 6 2 5" xfId="29634" xr:uid="{408FCA24-BD72-4BA5-980A-E07F67B6B409}"/>
    <cellStyle name="Normal 4 3 3 2 6 3" xfId="6402" xr:uid="{00000000-0005-0000-0000-0000B13B0000}"/>
    <cellStyle name="Normal 4 3 3 2 6 3 2" xfId="23272" xr:uid="{00000000-0005-0000-0000-0000B23B0000}"/>
    <cellStyle name="Normal 4 3 3 2 6 3 2 2" xfId="40140" xr:uid="{93C83448-E3F3-4E63-A395-8B1FD242AC6B}"/>
    <cellStyle name="Normal 4 3 3 2 6 3 3" xfId="14837" xr:uid="{00000000-0005-0000-0000-0000B33B0000}"/>
    <cellStyle name="Normal 4 3 3 2 6 3 4" xfId="31706" xr:uid="{3E5E37E9-B60D-4D45-A434-700A4FFD958C}"/>
    <cellStyle name="Normal 4 3 3 2 6 4" xfId="19054" xr:uid="{00000000-0005-0000-0000-0000B43B0000}"/>
    <cellStyle name="Normal 4 3 3 2 6 4 2" xfId="35923" xr:uid="{9F3A01DA-40FD-4003-9296-0F5F21FD243D}"/>
    <cellStyle name="Normal 4 3 3 2 6 5" xfId="10619" xr:uid="{00000000-0005-0000-0000-0000B53B0000}"/>
    <cellStyle name="Normal 4 3 3 2 6 6" xfId="27489" xr:uid="{080FB979-073C-496A-ACE2-E0B14D64EFA5}"/>
    <cellStyle name="Normal 4 3 3 2 7" xfId="2531" xr:uid="{00000000-0005-0000-0000-0000B63B0000}"/>
    <cellStyle name="Normal 4 3 3 2 7 2" xfId="6815" xr:uid="{00000000-0005-0000-0000-0000B73B0000}"/>
    <cellStyle name="Normal 4 3 3 2 7 2 2" xfId="23685" xr:uid="{00000000-0005-0000-0000-0000B83B0000}"/>
    <cellStyle name="Normal 4 3 3 2 7 2 2 2" xfId="40553" xr:uid="{DC4761DE-2542-4102-B36D-1AA6B4E57A64}"/>
    <cellStyle name="Normal 4 3 3 2 7 2 3" xfId="15250" xr:uid="{00000000-0005-0000-0000-0000B93B0000}"/>
    <cellStyle name="Normal 4 3 3 2 7 2 4" xfId="32119" xr:uid="{359DEB4C-A067-4918-81EA-28DD987FA54D}"/>
    <cellStyle name="Normal 4 3 3 2 7 3" xfId="19467" xr:uid="{00000000-0005-0000-0000-0000BA3B0000}"/>
    <cellStyle name="Normal 4 3 3 2 7 3 2" xfId="36336" xr:uid="{861064DC-46D0-4831-9EE0-68FEBAD45141}"/>
    <cellStyle name="Normal 4 3 3 2 7 4" xfId="11032" xr:uid="{00000000-0005-0000-0000-0000BB3B0000}"/>
    <cellStyle name="Normal 4 3 3 2 7 5" xfId="27902" xr:uid="{A5E0D610-ABB1-4FCC-B09D-B255FB45E730}"/>
    <cellStyle name="Normal 4 3 3 2 8" xfId="4750" xr:uid="{00000000-0005-0000-0000-0000BC3B0000}"/>
    <cellStyle name="Normal 4 3 3 2 8 2" xfId="21620" xr:uid="{00000000-0005-0000-0000-0000BD3B0000}"/>
    <cellStyle name="Normal 4 3 3 2 8 2 2" xfId="38488" xr:uid="{42B8F8C9-C78A-4675-A1A3-5FC3E86CDA1F}"/>
    <cellStyle name="Normal 4 3 3 2 8 3" xfId="13185" xr:uid="{00000000-0005-0000-0000-0000BE3B0000}"/>
    <cellStyle name="Normal 4 3 3 2 8 4" xfId="30054" xr:uid="{4052C0F1-755A-45D4-B8C9-B8230C214996}"/>
    <cellStyle name="Normal 4 3 3 2 9" xfId="17402" xr:uid="{00000000-0005-0000-0000-0000BF3B0000}"/>
    <cellStyle name="Normal 4 3 3 2 9 2" xfId="34271" xr:uid="{BB29FD3C-CFC3-4C8D-BDCB-EC7FCA8F3328}"/>
    <cellStyle name="Normal 4 3 3 3" xfId="377" xr:uid="{00000000-0005-0000-0000-0000C03B0000}"/>
    <cellStyle name="Normal 4 3 3 3 10" xfId="25839" xr:uid="{2F638874-9141-4D46-85D7-FD592C387746}"/>
    <cellStyle name="Normal 4 3 3 3 2" xfId="852" xr:uid="{00000000-0005-0000-0000-0000C13B0000}"/>
    <cellStyle name="Normal 4 3 3 3 2 2" xfId="3087" xr:uid="{00000000-0005-0000-0000-0000C23B0000}"/>
    <cellStyle name="Normal 4 3 3 3 2 2 2" xfId="7310" xr:uid="{00000000-0005-0000-0000-0000C33B0000}"/>
    <cellStyle name="Normal 4 3 3 3 2 2 2 2" xfId="24180" xr:uid="{00000000-0005-0000-0000-0000C43B0000}"/>
    <cellStyle name="Normal 4 3 3 3 2 2 2 2 2" xfId="41048" xr:uid="{1E9FBB08-286C-4757-A52A-0FAA354341CE}"/>
    <cellStyle name="Normal 4 3 3 3 2 2 2 3" xfId="15745" xr:uid="{00000000-0005-0000-0000-0000C53B0000}"/>
    <cellStyle name="Normal 4 3 3 3 2 2 2 4" xfId="32614" xr:uid="{8D0FF41F-5916-48DE-9C5A-2C1150A45E5E}"/>
    <cellStyle name="Normal 4 3 3 3 2 2 3" xfId="19962" xr:uid="{00000000-0005-0000-0000-0000C63B0000}"/>
    <cellStyle name="Normal 4 3 3 3 2 2 3 2" xfId="36831" xr:uid="{1A35D7A6-CA5B-4877-B9FF-57AC193EA083}"/>
    <cellStyle name="Normal 4 3 3 3 2 2 4" xfId="11527" xr:uid="{00000000-0005-0000-0000-0000C73B0000}"/>
    <cellStyle name="Normal 4 3 3 3 2 2 5" xfId="28397" xr:uid="{9694B75C-24D4-4B08-ADF9-052E70CA3F8B}"/>
    <cellStyle name="Normal 4 3 3 3 2 3" xfId="5165" xr:uid="{00000000-0005-0000-0000-0000C83B0000}"/>
    <cellStyle name="Normal 4 3 3 3 2 3 2" xfId="22035" xr:uid="{00000000-0005-0000-0000-0000C93B0000}"/>
    <cellStyle name="Normal 4 3 3 3 2 3 2 2" xfId="38903" xr:uid="{D03F9EDE-3DD2-418F-8E1A-4D1E2329F8AE}"/>
    <cellStyle name="Normal 4 3 3 3 2 3 3" xfId="13600" xr:uid="{00000000-0005-0000-0000-0000CA3B0000}"/>
    <cellStyle name="Normal 4 3 3 3 2 3 4" xfId="30469" xr:uid="{292A14F2-D547-4B3A-9BC1-85E6303A5A0F}"/>
    <cellStyle name="Normal 4 3 3 3 2 4" xfId="17817" xr:uid="{00000000-0005-0000-0000-0000CB3B0000}"/>
    <cellStyle name="Normal 4 3 3 3 2 4 2" xfId="34686" xr:uid="{60DA37E3-62ED-4BD2-8692-1F89AD07AD61}"/>
    <cellStyle name="Normal 4 3 3 3 2 5" xfId="9382" xr:uid="{00000000-0005-0000-0000-0000CC3B0000}"/>
    <cellStyle name="Normal 4 3 3 3 2 6" xfId="26252" xr:uid="{3918C8FA-142E-47E2-883B-06F911181CF3}"/>
    <cellStyle name="Normal 4 3 3 3 3" xfId="1270" xr:uid="{00000000-0005-0000-0000-0000CD3B0000}"/>
    <cellStyle name="Normal 4 3 3 3 3 2" xfId="3500" xr:uid="{00000000-0005-0000-0000-0000CE3B0000}"/>
    <cellStyle name="Normal 4 3 3 3 3 2 2" xfId="7723" xr:uid="{00000000-0005-0000-0000-0000CF3B0000}"/>
    <cellStyle name="Normal 4 3 3 3 3 2 2 2" xfId="24593" xr:uid="{00000000-0005-0000-0000-0000D03B0000}"/>
    <cellStyle name="Normal 4 3 3 3 3 2 2 2 2" xfId="41461" xr:uid="{05CADAEC-4683-43C2-829F-40CE4651507F}"/>
    <cellStyle name="Normal 4 3 3 3 3 2 2 3" xfId="16158" xr:uid="{00000000-0005-0000-0000-0000D13B0000}"/>
    <cellStyle name="Normal 4 3 3 3 3 2 2 4" xfId="33027" xr:uid="{A3479899-7782-4350-A3BF-4AF5EC5251E9}"/>
    <cellStyle name="Normal 4 3 3 3 3 2 3" xfId="20375" xr:uid="{00000000-0005-0000-0000-0000D23B0000}"/>
    <cellStyle name="Normal 4 3 3 3 3 2 3 2" xfId="37244" xr:uid="{7F0FEC8E-ABC7-4616-8BC8-D78C00C6E775}"/>
    <cellStyle name="Normal 4 3 3 3 3 2 4" xfId="11940" xr:uid="{00000000-0005-0000-0000-0000D33B0000}"/>
    <cellStyle name="Normal 4 3 3 3 3 2 5" xfId="28810" xr:uid="{2CEA6138-F4BC-4E81-AA35-6CACF6C6E97A}"/>
    <cellStyle name="Normal 4 3 3 3 3 3" xfId="5578" xr:uid="{00000000-0005-0000-0000-0000D43B0000}"/>
    <cellStyle name="Normal 4 3 3 3 3 3 2" xfId="22448" xr:uid="{00000000-0005-0000-0000-0000D53B0000}"/>
    <cellStyle name="Normal 4 3 3 3 3 3 2 2" xfId="39316" xr:uid="{3364806B-B9B5-45D9-8AF2-21E13EC9800E}"/>
    <cellStyle name="Normal 4 3 3 3 3 3 3" xfId="14013" xr:uid="{00000000-0005-0000-0000-0000D63B0000}"/>
    <cellStyle name="Normal 4 3 3 3 3 3 4" xfId="30882" xr:uid="{6362980E-5E37-4299-838E-2CEC4E627ECB}"/>
    <cellStyle name="Normal 4 3 3 3 3 4" xfId="18230" xr:uid="{00000000-0005-0000-0000-0000D73B0000}"/>
    <cellStyle name="Normal 4 3 3 3 3 4 2" xfId="35099" xr:uid="{75744D71-89CC-4BCF-9E9F-E8C3C788F680}"/>
    <cellStyle name="Normal 4 3 3 3 3 5" xfId="9795" xr:uid="{00000000-0005-0000-0000-0000D83B0000}"/>
    <cellStyle name="Normal 4 3 3 3 3 6" xfId="26665" xr:uid="{EE3EFF1E-75CF-4710-8C90-4988A5ACB5AE}"/>
    <cellStyle name="Normal 4 3 3 3 4" xfId="1683" xr:uid="{00000000-0005-0000-0000-0000D93B0000}"/>
    <cellStyle name="Normal 4 3 3 3 4 2" xfId="3913" xr:uid="{00000000-0005-0000-0000-0000DA3B0000}"/>
    <cellStyle name="Normal 4 3 3 3 4 2 2" xfId="8136" xr:uid="{00000000-0005-0000-0000-0000DB3B0000}"/>
    <cellStyle name="Normal 4 3 3 3 4 2 2 2" xfId="25006" xr:uid="{00000000-0005-0000-0000-0000DC3B0000}"/>
    <cellStyle name="Normal 4 3 3 3 4 2 2 2 2" xfId="41874" xr:uid="{2923A074-3CE8-49F6-B065-6DE5175E72C8}"/>
    <cellStyle name="Normal 4 3 3 3 4 2 2 3" xfId="16571" xr:uid="{00000000-0005-0000-0000-0000DD3B0000}"/>
    <cellStyle name="Normal 4 3 3 3 4 2 2 4" xfId="33440" xr:uid="{038F89E8-BD78-486F-BB08-54A4067D3C95}"/>
    <cellStyle name="Normal 4 3 3 3 4 2 3" xfId="20788" xr:uid="{00000000-0005-0000-0000-0000DE3B0000}"/>
    <cellStyle name="Normal 4 3 3 3 4 2 3 2" xfId="37657" xr:uid="{71B60692-E753-4511-993C-C55784FD84D1}"/>
    <cellStyle name="Normal 4 3 3 3 4 2 4" xfId="12353" xr:uid="{00000000-0005-0000-0000-0000DF3B0000}"/>
    <cellStyle name="Normal 4 3 3 3 4 2 5" xfId="29223" xr:uid="{111F70B8-90DA-4EA8-A569-8C13EDA347EB}"/>
    <cellStyle name="Normal 4 3 3 3 4 3" xfId="5991" xr:uid="{00000000-0005-0000-0000-0000E03B0000}"/>
    <cellStyle name="Normal 4 3 3 3 4 3 2" xfId="22861" xr:uid="{00000000-0005-0000-0000-0000E13B0000}"/>
    <cellStyle name="Normal 4 3 3 3 4 3 2 2" xfId="39729" xr:uid="{5ECA322C-6245-4C1C-AC80-C5B76CED7D99}"/>
    <cellStyle name="Normal 4 3 3 3 4 3 3" xfId="14426" xr:uid="{00000000-0005-0000-0000-0000E23B0000}"/>
    <cellStyle name="Normal 4 3 3 3 4 3 4" xfId="31295" xr:uid="{80A64157-77A1-468C-8430-3D0A6BDA7D41}"/>
    <cellStyle name="Normal 4 3 3 3 4 4" xfId="18643" xr:uid="{00000000-0005-0000-0000-0000E33B0000}"/>
    <cellStyle name="Normal 4 3 3 3 4 4 2" xfId="35512" xr:uid="{B3F5102A-DAB7-4D05-9647-9D4E5A9FC893}"/>
    <cellStyle name="Normal 4 3 3 3 4 5" xfId="10208" xr:uid="{00000000-0005-0000-0000-0000E43B0000}"/>
    <cellStyle name="Normal 4 3 3 3 4 6" xfId="27078" xr:uid="{FBFC1DA1-FC54-49F1-8DE1-41B7605A114A}"/>
    <cellStyle name="Normal 4 3 3 3 5" xfId="2097" xr:uid="{00000000-0005-0000-0000-0000E53B0000}"/>
    <cellStyle name="Normal 4 3 3 3 5 2" xfId="4326" xr:uid="{00000000-0005-0000-0000-0000E63B0000}"/>
    <cellStyle name="Normal 4 3 3 3 5 2 2" xfId="8549" xr:uid="{00000000-0005-0000-0000-0000E73B0000}"/>
    <cellStyle name="Normal 4 3 3 3 5 2 2 2" xfId="25419" xr:uid="{00000000-0005-0000-0000-0000E83B0000}"/>
    <cellStyle name="Normal 4 3 3 3 5 2 2 2 2" xfId="42287" xr:uid="{CA14F2B5-530A-4402-A4D5-6C2B4B1057A1}"/>
    <cellStyle name="Normal 4 3 3 3 5 2 2 3" xfId="16984" xr:uid="{00000000-0005-0000-0000-0000E93B0000}"/>
    <cellStyle name="Normal 4 3 3 3 5 2 2 4" xfId="33853" xr:uid="{02F9A692-10C2-45F1-AB84-7DD5FE355440}"/>
    <cellStyle name="Normal 4 3 3 3 5 2 3" xfId="21201" xr:uid="{00000000-0005-0000-0000-0000EA3B0000}"/>
    <cellStyle name="Normal 4 3 3 3 5 2 3 2" xfId="38070" xr:uid="{A381DE5D-F68D-4592-913B-F045269BE91D}"/>
    <cellStyle name="Normal 4 3 3 3 5 2 4" xfId="12766" xr:uid="{00000000-0005-0000-0000-0000EB3B0000}"/>
    <cellStyle name="Normal 4 3 3 3 5 2 5" xfId="29636" xr:uid="{0A9987AB-13C2-42F9-9F2E-F78C7B40025E}"/>
    <cellStyle name="Normal 4 3 3 3 5 3" xfId="6404" xr:uid="{00000000-0005-0000-0000-0000EC3B0000}"/>
    <cellStyle name="Normal 4 3 3 3 5 3 2" xfId="23274" xr:uid="{00000000-0005-0000-0000-0000ED3B0000}"/>
    <cellStyle name="Normal 4 3 3 3 5 3 2 2" xfId="40142" xr:uid="{4939404C-E14B-4C9B-A1CA-9D6C7976BB42}"/>
    <cellStyle name="Normal 4 3 3 3 5 3 3" xfId="14839" xr:uid="{00000000-0005-0000-0000-0000EE3B0000}"/>
    <cellStyle name="Normal 4 3 3 3 5 3 4" xfId="31708" xr:uid="{33DBAC20-A5C8-4435-A058-B8411734E66F}"/>
    <cellStyle name="Normal 4 3 3 3 5 4" xfId="19056" xr:uid="{00000000-0005-0000-0000-0000EF3B0000}"/>
    <cellStyle name="Normal 4 3 3 3 5 4 2" xfId="35925" xr:uid="{BA94E5EC-C88F-4D9E-BF81-25591FD36A8D}"/>
    <cellStyle name="Normal 4 3 3 3 5 5" xfId="10621" xr:uid="{00000000-0005-0000-0000-0000F03B0000}"/>
    <cellStyle name="Normal 4 3 3 3 5 6" xfId="27491" xr:uid="{45604888-C7B3-4F45-8108-ABDD86F859C1}"/>
    <cellStyle name="Normal 4 3 3 3 6" xfId="2533" xr:uid="{00000000-0005-0000-0000-0000F13B0000}"/>
    <cellStyle name="Normal 4 3 3 3 6 2" xfId="6817" xr:uid="{00000000-0005-0000-0000-0000F23B0000}"/>
    <cellStyle name="Normal 4 3 3 3 6 2 2" xfId="23687" xr:uid="{00000000-0005-0000-0000-0000F33B0000}"/>
    <cellStyle name="Normal 4 3 3 3 6 2 2 2" xfId="40555" xr:uid="{15591AC8-235A-4435-B890-32930D518061}"/>
    <cellStyle name="Normal 4 3 3 3 6 2 3" xfId="15252" xr:uid="{00000000-0005-0000-0000-0000F43B0000}"/>
    <cellStyle name="Normal 4 3 3 3 6 2 4" xfId="32121" xr:uid="{8AA99F17-AE50-4CCE-990B-0D9F1943C982}"/>
    <cellStyle name="Normal 4 3 3 3 6 3" xfId="19469" xr:uid="{00000000-0005-0000-0000-0000F53B0000}"/>
    <cellStyle name="Normal 4 3 3 3 6 3 2" xfId="36338" xr:uid="{D891AA19-BBC8-482E-A949-4D65E5F8FBA6}"/>
    <cellStyle name="Normal 4 3 3 3 6 4" xfId="11034" xr:uid="{00000000-0005-0000-0000-0000F63B0000}"/>
    <cellStyle name="Normal 4 3 3 3 6 5" xfId="27904" xr:uid="{D88D5EFF-D8BD-45D1-84AC-B90DED06C9F2}"/>
    <cellStyle name="Normal 4 3 3 3 7" xfId="4752" xr:uid="{00000000-0005-0000-0000-0000F73B0000}"/>
    <cellStyle name="Normal 4 3 3 3 7 2" xfId="21622" xr:uid="{00000000-0005-0000-0000-0000F83B0000}"/>
    <cellStyle name="Normal 4 3 3 3 7 2 2" xfId="38490" xr:uid="{84C5A22F-101D-4135-90D2-36F834FC9C7A}"/>
    <cellStyle name="Normal 4 3 3 3 7 3" xfId="13187" xr:uid="{00000000-0005-0000-0000-0000F93B0000}"/>
    <cellStyle name="Normal 4 3 3 3 7 4" xfId="30056" xr:uid="{A1070A5E-ADDA-410D-8095-2C2A3ED2B2E5}"/>
    <cellStyle name="Normal 4 3 3 3 8" xfId="17404" xr:uid="{00000000-0005-0000-0000-0000FA3B0000}"/>
    <cellStyle name="Normal 4 3 3 3 8 2" xfId="34273" xr:uid="{0C873B3F-D570-4FCB-BE6C-CF6F803FE946}"/>
    <cellStyle name="Normal 4 3 3 3 9" xfId="8969" xr:uid="{00000000-0005-0000-0000-0000FB3B0000}"/>
    <cellStyle name="Normal 4 3 3 4" xfId="849" xr:uid="{00000000-0005-0000-0000-0000FC3B0000}"/>
    <cellStyle name="Normal 4 3 3 4 2" xfId="3084" xr:uid="{00000000-0005-0000-0000-0000FD3B0000}"/>
    <cellStyle name="Normal 4 3 3 4 2 2" xfId="7307" xr:uid="{00000000-0005-0000-0000-0000FE3B0000}"/>
    <cellStyle name="Normal 4 3 3 4 2 2 2" xfId="24177" xr:uid="{00000000-0005-0000-0000-0000FF3B0000}"/>
    <cellStyle name="Normal 4 3 3 4 2 2 2 2" xfId="41045" xr:uid="{7C1516F7-C399-4F06-BBA9-074705F38482}"/>
    <cellStyle name="Normal 4 3 3 4 2 2 3" xfId="15742" xr:uid="{00000000-0005-0000-0000-0000003C0000}"/>
    <cellStyle name="Normal 4 3 3 4 2 2 4" xfId="32611" xr:uid="{AE3A394C-1BCF-4051-8D41-46BDCDBE346C}"/>
    <cellStyle name="Normal 4 3 3 4 2 3" xfId="19959" xr:uid="{00000000-0005-0000-0000-0000013C0000}"/>
    <cellStyle name="Normal 4 3 3 4 2 3 2" xfId="36828" xr:uid="{0E1FEC36-ECC1-4895-B9C2-6BB2A401EF08}"/>
    <cellStyle name="Normal 4 3 3 4 2 4" xfId="11524" xr:uid="{00000000-0005-0000-0000-0000023C0000}"/>
    <cellStyle name="Normal 4 3 3 4 2 5" xfId="28394" xr:uid="{A509D804-249C-46D9-A57A-E3F3ED84F4E1}"/>
    <cellStyle name="Normal 4 3 3 4 3" xfId="5162" xr:uid="{00000000-0005-0000-0000-0000033C0000}"/>
    <cellStyle name="Normal 4 3 3 4 3 2" xfId="22032" xr:uid="{00000000-0005-0000-0000-0000043C0000}"/>
    <cellStyle name="Normal 4 3 3 4 3 2 2" xfId="38900" xr:uid="{D1394690-C0CD-4897-8B0E-511BA576D365}"/>
    <cellStyle name="Normal 4 3 3 4 3 3" xfId="13597" xr:uid="{00000000-0005-0000-0000-0000053C0000}"/>
    <cellStyle name="Normal 4 3 3 4 3 4" xfId="30466" xr:uid="{F06AE306-619B-4915-865E-BDE494032524}"/>
    <cellStyle name="Normal 4 3 3 4 4" xfId="17814" xr:uid="{00000000-0005-0000-0000-0000063C0000}"/>
    <cellStyle name="Normal 4 3 3 4 4 2" xfId="34683" xr:uid="{5C7A4D29-7BFB-40C2-9AFB-9D63706933C9}"/>
    <cellStyle name="Normal 4 3 3 4 5" xfId="9379" xr:uid="{00000000-0005-0000-0000-0000073C0000}"/>
    <cellStyle name="Normal 4 3 3 4 6" xfId="26249" xr:uid="{B58003DD-404D-46A2-BD12-F7B1B8673BFA}"/>
    <cellStyle name="Normal 4 3 3 5" xfId="1267" xr:uid="{00000000-0005-0000-0000-0000083C0000}"/>
    <cellStyle name="Normal 4 3 3 5 2" xfId="3497" xr:uid="{00000000-0005-0000-0000-0000093C0000}"/>
    <cellStyle name="Normal 4 3 3 5 2 2" xfId="7720" xr:uid="{00000000-0005-0000-0000-00000A3C0000}"/>
    <cellStyle name="Normal 4 3 3 5 2 2 2" xfId="24590" xr:uid="{00000000-0005-0000-0000-00000B3C0000}"/>
    <cellStyle name="Normal 4 3 3 5 2 2 2 2" xfId="41458" xr:uid="{4B6370C6-A00F-44E9-BDCE-5211E3BCF34B}"/>
    <cellStyle name="Normal 4 3 3 5 2 2 3" xfId="16155" xr:uid="{00000000-0005-0000-0000-00000C3C0000}"/>
    <cellStyle name="Normal 4 3 3 5 2 2 4" xfId="33024" xr:uid="{EB29F537-1209-4A74-80B2-3B52362EC63A}"/>
    <cellStyle name="Normal 4 3 3 5 2 3" xfId="20372" xr:uid="{00000000-0005-0000-0000-00000D3C0000}"/>
    <cellStyle name="Normal 4 3 3 5 2 3 2" xfId="37241" xr:uid="{EEE7B0BC-6836-49A9-BD50-627B1FE805AC}"/>
    <cellStyle name="Normal 4 3 3 5 2 4" xfId="11937" xr:uid="{00000000-0005-0000-0000-00000E3C0000}"/>
    <cellStyle name="Normal 4 3 3 5 2 5" xfId="28807" xr:uid="{63B6990A-26DE-4A10-A625-37C47106E219}"/>
    <cellStyle name="Normal 4 3 3 5 3" xfId="5575" xr:uid="{00000000-0005-0000-0000-00000F3C0000}"/>
    <cellStyle name="Normal 4 3 3 5 3 2" xfId="22445" xr:uid="{00000000-0005-0000-0000-0000103C0000}"/>
    <cellStyle name="Normal 4 3 3 5 3 2 2" xfId="39313" xr:uid="{4FD0C58A-1E68-458D-8D1C-86E9AF483861}"/>
    <cellStyle name="Normal 4 3 3 5 3 3" xfId="14010" xr:uid="{00000000-0005-0000-0000-0000113C0000}"/>
    <cellStyle name="Normal 4 3 3 5 3 4" xfId="30879" xr:uid="{AB7276FD-9A8A-4E25-B11C-5D5FBFE534D1}"/>
    <cellStyle name="Normal 4 3 3 5 4" xfId="18227" xr:uid="{00000000-0005-0000-0000-0000123C0000}"/>
    <cellStyle name="Normal 4 3 3 5 4 2" xfId="35096" xr:uid="{BF02F517-3189-4F61-A5FD-6A03EECAB014}"/>
    <cellStyle name="Normal 4 3 3 5 5" xfId="9792" xr:uid="{00000000-0005-0000-0000-0000133C0000}"/>
    <cellStyle name="Normal 4 3 3 5 6" xfId="26662" xr:uid="{3337298D-AC1F-4EF0-A9D2-F09545D41D94}"/>
    <cellStyle name="Normal 4 3 3 6" xfId="1680" xr:uid="{00000000-0005-0000-0000-0000143C0000}"/>
    <cellStyle name="Normal 4 3 3 6 2" xfId="3910" xr:uid="{00000000-0005-0000-0000-0000153C0000}"/>
    <cellStyle name="Normal 4 3 3 6 2 2" xfId="8133" xr:uid="{00000000-0005-0000-0000-0000163C0000}"/>
    <cellStyle name="Normal 4 3 3 6 2 2 2" xfId="25003" xr:uid="{00000000-0005-0000-0000-0000173C0000}"/>
    <cellStyle name="Normal 4 3 3 6 2 2 2 2" xfId="41871" xr:uid="{16E88676-7E3D-4059-93B3-98396C8A0BFF}"/>
    <cellStyle name="Normal 4 3 3 6 2 2 3" xfId="16568" xr:uid="{00000000-0005-0000-0000-0000183C0000}"/>
    <cellStyle name="Normal 4 3 3 6 2 2 4" xfId="33437" xr:uid="{86BF47FE-810C-4F58-81D8-B6EE5CBCAC6B}"/>
    <cellStyle name="Normal 4 3 3 6 2 3" xfId="20785" xr:uid="{00000000-0005-0000-0000-0000193C0000}"/>
    <cellStyle name="Normal 4 3 3 6 2 3 2" xfId="37654" xr:uid="{DFC47688-F782-405B-BB1C-E6706357791F}"/>
    <cellStyle name="Normal 4 3 3 6 2 4" xfId="12350" xr:uid="{00000000-0005-0000-0000-00001A3C0000}"/>
    <cellStyle name="Normal 4 3 3 6 2 5" xfId="29220" xr:uid="{E148F7C6-C7EA-4EDC-ABCD-6C55DAED92F3}"/>
    <cellStyle name="Normal 4 3 3 6 3" xfId="5988" xr:uid="{00000000-0005-0000-0000-00001B3C0000}"/>
    <cellStyle name="Normal 4 3 3 6 3 2" xfId="22858" xr:uid="{00000000-0005-0000-0000-00001C3C0000}"/>
    <cellStyle name="Normal 4 3 3 6 3 2 2" xfId="39726" xr:uid="{38CAFCFB-D90C-45E2-9BA0-EEA1FC7E707F}"/>
    <cellStyle name="Normal 4 3 3 6 3 3" xfId="14423" xr:uid="{00000000-0005-0000-0000-00001D3C0000}"/>
    <cellStyle name="Normal 4 3 3 6 3 4" xfId="31292" xr:uid="{E4C279D6-B896-4D75-AB9F-3A5ABB767E77}"/>
    <cellStyle name="Normal 4 3 3 6 4" xfId="18640" xr:uid="{00000000-0005-0000-0000-00001E3C0000}"/>
    <cellStyle name="Normal 4 3 3 6 4 2" xfId="35509" xr:uid="{CDA0B8F7-57A8-45E3-91B3-177B96223F71}"/>
    <cellStyle name="Normal 4 3 3 6 5" xfId="10205" xr:uid="{00000000-0005-0000-0000-00001F3C0000}"/>
    <cellStyle name="Normal 4 3 3 6 6" xfId="27075" xr:uid="{71B5817F-11CA-462A-AD97-247B1C2AD151}"/>
    <cellStyle name="Normal 4 3 3 7" xfId="2094" xr:uid="{00000000-0005-0000-0000-0000203C0000}"/>
    <cellStyle name="Normal 4 3 3 7 2" xfId="4323" xr:uid="{00000000-0005-0000-0000-0000213C0000}"/>
    <cellStyle name="Normal 4 3 3 7 2 2" xfId="8546" xr:uid="{00000000-0005-0000-0000-0000223C0000}"/>
    <cellStyle name="Normal 4 3 3 7 2 2 2" xfId="25416" xr:uid="{00000000-0005-0000-0000-0000233C0000}"/>
    <cellStyle name="Normal 4 3 3 7 2 2 2 2" xfId="42284" xr:uid="{576C1FC8-34E3-40E6-ADA6-CCF6D88A129D}"/>
    <cellStyle name="Normal 4 3 3 7 2 2 3" xfId="16981" xr:uid="{00000000-0005-0000-0000-0000243C0000}"/>
    <cellStyle name="Normal 4 3 3 7 2 2 4" xfId="33850" xr:uid="{8860172C-1C0F-402C-AA92-2EB739AC2CD2}"/>
    <cellStyle name="Normal 4 3 3 7 2 3" xfId="21198" xr:uid="{00000000-0005-0000-0000-0000253C0000}"/>
    <cellStyle name="Normal 4 3 3 7 2 3 2" xfId="38067" xr:uid="{54B52EA9-5E66-4D20-AE48-7023C9729A11}"/>
    <cellStyle name="Normal 4 3 3 7 2 4" xfId="12763" xr:uid="{00000000-0005-0000-0000-0000263C0000}"/>
    <cellStyle name="Normal 4 3 3 7 2 5" xfId="29633" xr:uid="{75F205FC-0BF3-4DD9-A23F-EDB8A80BA615}"/>
    <cellStyle name="Normal 4 3 3 7 3" xfId="6401" xr:uid="{00000000-0005-0000-0000-0000273C0000}"/>
    <cellStyle name="Normal 4 3 3 7 3 2" xfId="23271" xr:uid="{00000000-0005-0000-0000-0000283C0000}"/>
    <cellStyle name="Normal 4 3 3 7 3 2 2" xfId="40139" xr:uid="{92006768-BCFD-4E59-B2E5-38CE72683C28}"/>
    <cellStyle name="Normal 4 3 3 7 3 3" xfId="14836" xr:uid="{00000000-0005-0000-0000-0000293C0000}"/>
    <cellStyle name="Normal 4 3 3 7 3 4" xfId="31705" xr:uid="{A128A880-1B42-447E-808F-BCD3F3CD69D8}"/>
    <cellStyle name="Normal 4 3 3 7 4" xfId="19053" xr:uid="{00000000-0005-0000-0000-00002A3C0000}"/>
    <cellStyle name="Normal 4 3 3 7 4 2" xfId="35922" xr:uid="{476417DD-F4E9-4635-A717-067A19FB855D}"/>
    <cellStyle name="Normal 4 3 3 7 5" xfId="10618" xr:uid="{00000000-0005-0000-0000-00002B3C0000}"/>
    <cellStyle name="Normal 4 3 3 7 6" xfId="27488" xr:uid="{79235DC0-DCE3-4333-A546-DEAC8440AD6F}"/>
    <cellStyle name="Normal 4 3 3 8" xfId="2530" xr:uid="{00000000-0005-0000-0000-00002C3C0000}"/>
    <cellStyle name="Normal 4 3 3 8 2" xfId="6814" xr:uid="{00000000-0005-0000-0000-00002D3C0000}"/>
    <cellStyle name="Normal 4 3 3 8 2 2" xfId="23684" xr:uid="{00000000-0005-0000-0000-00002E3C0000}"/>
    <cellStyle name="Normal 4 3 3 8 2 2 2" xfId="40552" xr:uid="{35807DF7-CAE1-47AD-87AC-136C5D85E55A}"/>
    <cellStyle name="Normal 4 3 3 8 2 3" xfId="15249" xr:uid="{00000000-0005-0000-0000-00002F3C0000}"/>
    <cellStyle name="Normal 4 3 3 8 2 4" xfId="32118" xr:uid="{17503E23-EF7E-454A-A0C0-EB12A0557C4E}"/>
    <cellStyle name="Normal 4 3 3 8 3" xfId="19466" xr:uid="{00000000-0005-0000-0000-0000303C0000}"/>
    <cellStyle name="Normal 4 3 3 8 3 2" xfId="36335" xr:uid="{D9E29EC2-728B-42E4-817D-B83CA2BDB359}"/>
    <cellStyle name="Normal 4 3 3 8 4" xfId="11031" xr:uid="{00000000-0005-0000-0000-0000313C0000}"/>
    <cellStyle name="Normal 4 3 3 8 5" xfId="27901" xr:uid="{5FE030A4-F172-4CF4-A3E8-1E441D392543}"/>
    <cellStyle name="Normal 4 3 3 9" xfId="4749" xr:uid="{00000000-0005-0000-0000-0000323C0000}"/>
    <cellStyle name="Normal 4 3 3 9 2" xfId="21619" xr:uid="{00000000-0005-0000-0000-0000333C0000}"/>
    <cellStyle name="Normal 4 3 3 9 2 2" xfId="38487" xr:uid="{CC9A0631-8D4C-4754-B5B4-5528D495E980}"/>
    <cellStyle name="Normal 4 3 3 9 3" xfId="13184" xr:uid="{00000000-0005-0000-0000-0000343C0000}"/>
    <cellStyle name="Normal 4 3 3 9 4" xfId="30053" xr:uid="{E1E68061-9B0D-487F-A75A-1966B4861682}"/>
    <cellStyle name="Normal 4 3 4" xfId="842" xr:uid="{00000000-0005-0000-0000-0000353C0000}"/>
    <cellStyle name="Normal 4 3 4 2" xfId="3079" xr:uid="{00000000-0005-0000-0000-0000363C0000}"/>
    <cellStyle name="Normal 4 3 4 2 2" xfId="7302" xr:uid="{00000000-0005-0000-0000-0000373C0000}"/>
    <cellStyle name="Normal 4 3 4 2 2 2" xfId="24172" xr:uid="{00000000-0005-0000-0000-0000383C0000}"/>
    <cellStyle name="Normal 4 3 4 2 2 2 2" xfId="41040" xr:uid="{04DEC3D9-21F2-4AD9-8532-D5845E1CD4ED}"/>
    <cellStyle name="Normal 4 3 4 2 2 3" xfId="15737" xr:uid="{00000000-0005-0000-0000-0000393C0000}"/>
    <cellStyle name="Normal 4 3 4 2 2 4" xfId="32606" xr:uid="{B61AAC5D-CBEB-480D-BFF7-613DBBD5FFE5}"/>
    <cellStyle name="Normal 4 3 4 2 3" xfId="19954" xr:uid="{00000000-0005-0000-0000-00003A3C0000}"/>
    <cellStyle name="Normal 4 3 4 2 3 2" xfId="36823" xr:uid="{D44DBE66-D49C-4324-8A6C-E6E9A8B4036D}"/>
    <cellStyle name="Normal 4 3 4 2 4" xfId="11519" xr:uid="{00000000-0005-0000-0000-00003B3C0000}"/>
    <cellStyle name="Normal 4 3 4 2 5" xfId="28389" xr:uid="{97052F70-31E2-476D-920F-EF99D5BBF00F}"/>
    <cellStyle name="Normal 4 3 4 3" xfId="5157" xr:uid="{00000000-0005-0000-0000-00003C3C0000}"/>
    <cellStyle name="Normal 4 3 4 3 2" xfId="22027" xr:uid="{00000000-0005-0000-0000-00003D3C0000}"/>
    <cellStyle name="Normal 4 3 4 3 2 2" xfId="38895" xr:uid="{284550C7-E2C3-4590-B583-28524E09E26F}"/>
    <cellStyle name="Normal 4 3 4 3 3" xfId="13592" xr:uid="{00000000-0005-0000-0000-00003E3C0000}"/>
    <cellStyle name="Normal 4 3 4 3 4" xfId="30461" xr:uid="{7476FA03-1F3F-4C2B-A605-6BC40F8A821E}"/>
    <cellStyle name="Normal 4 3 4 4" xfId="17809" xr:uid="{00000000-0005-0000-0000-00003F3C0000}"/>
    <cellStyle name="Normal 4 3 4 4 2" xfId="34678" xr:uid="{C89890A9-AA59-430D-8F11-DAB32580DD40}"/>
    <cellStyle name="Normal 4 3 4 5" xfId="9374" xr:uid="{00000000-0005-0000-0000-0000403C0000}"/>
    <cellStyle name="Normal 4 3 4 6" xfId="26244" xr:uid="{D89F62BC-5942-48E4-B849-48BBDDC12D0F}"/>
    <cellStyle name="Normal 4 3 5" xfId="1262" xr:uid="{00000000-0005-0000-0000-0000413C0000}"/>
    <cellStyle name="Normal 4 3 5 2" xfId="3492" xr:uid="{00000000-0005-0000-0000-0000423C0000}"/>
    <cellStyle name="Normal 4 3 5 2 2" xfId="7715" xr:uid="{00000000-0005-0000-0000-0000433C0000}"/>
    <cellStyle name="Normal 4 3 5 2 2 2" xfId="24585" xr:uid="{00000000-0005-0000-0000-0000443C0000}"/>
    <cellStyle name="Normal 4 3 5 2 2 2 2" xfId="41453" xr:uid="{CCED6CBA-F3E0-4641-8782-88A1269F4BE2}"/>
    <cellStyle name="Normal 4 3 5 2 2 3" xfId="16150" xr:uid="{00000000-0005-0000-0000-0000453C0000}"/>
    <cellStyle name="Normal 4 3 5 2 2 4" xfId="33019" xr:uid="{F9BD136F-263E-4CFC-8D90-720A3DB69033}"/>
    <cellStyle name="Normal 4 3 5 2 3" xfId="20367" xr:uid="{00000000-0005-0000-0000-0000463C0000}"/>
    <cellStyle name="Normal 4 3 5 2 3 2" xfId="37236" xr:uid="{D0B5CA2C-3FCC-429E-9A56-9D0B8FCA2B80}"/>
    <cellStyle name="Normal 4 3 5 2 4" xfId="11932" xr:uid="{00000000-0005-0000-0000-0000473C0000}"/>
    <cellStyle name="Normal 4 3 5 2 5" xfId="28802" xr:uid="{6A4C9F16-BD93-4C62-97E2-BD5A4A645B4A}"/>
    <cellStyle name="Normal 4 3 5 3" xfId="5570" xr:uid="{00000000-0005-0000-0000-0000483C0000}"/>
    <cellStyle name="Normal 4 3 5 3 2" xfId="22440" xr:uid="{00000000-0005-0000-0000-0000493C0000}"/>
    <cellStyle name="Normal 4 3 5 3 2 2" xfId="39308" xr:uid="{80E93CDC-806B-4C95-BBFE-1320A210539B}"/>
    <cellStyle name="Normal 4 3 5 3 3" xfId="14005" xr:uid="{00000000-0005-0000-0000-00004A3C0000}"/>
    <cellStyle name="Normal 4 3 5 3 4" xfId="30874" xr:uid="{EBC80CC5-04F0-4768-85EE-E2E20537527C}"/>
    <cellStyle name="Normal 4 3 5 4" xfId="18222" xr:uid="{00000000-0005-0000-0000-00004B3C0000}"/>
    <cellStyle name="Normal 4 3 5 4 2" xfId="35091" xr:uid="{F5AA2E7C-F34D-44D1-ABFB-AC6052E02239}"/>
    <cellStyle name="Normal 4 3 5 5" xfId="9787" xr:uid="{00000000-0005-0000-0000-00004C3C0000}"/>
    <cellStyle name="Normal 4 3 5 6" xfId="26657" xr:uid="{A92D0CA8-2C5E-4695-A174-85AF5FADB871}"/>
    <cellStyle name="Normal 4 3 6" xfId="1675" xr:uid="{00000000-0005-0000-0000-00004D3C0000}"/>
    <cellStyle name="Normal 4 3 6 2" xfId="3905" xr:uid="{00000000-0005-0000-0000-00004E3C0000}"/>
    <cellStyle name="Normal 4 3 6 2 2" xfId="8128" xr:uid="{00000000-0005-0000-0000-00004F3C0000}"/>
    <cellStyle name="Normal 4 3 6 2 2 2" xfId="24998" xr:uid="{00000000-0005-0000-0000-0000503C0000}"/>
    <cellStyle name="Normal 4 3 6 2 2 2 2" xfId="41866" xr:uid="{3DD0C721-32D6-4FDD-A325-82277687D3CF}"/>
    <cellStyle name="Normal 4 3 6 2 2 3" xfId="16563" xr:uid="{00000000-0005-0000-0000-0000513C0000}"/>
    <cellStyle name="Normal 4 3 6 2 2 4" xfId="33432" xr:uid="{BC7B792E-AC19-4C72-BDF5-4C8F6DCA9C20}"/>
    <cellStyle name="Normal 4 3 6 2 3" xfId="20780" xr:uid="{00000000-0005-0000-0000-0000523C0000}"/>
    <cellStyle name="Normal 4 3 6 2 3 2" xfId="37649" xr:uid="{554F7D12-E4A1-4334-A879-0DC60BBCBE4E}"/>
    <cellStyle name="Normal 4 3 6 2 4" xfId="12345" xr:uid="{00000000-0005-0000-0000-0000533C0000}"/>
    <cellStyle name="Normal 4 3 6 2 5" xfId="29215" xr:uid="{0F39AF6F-E445-42F8-B35D-D42A29D569E5}"/>
    <cellStyle name="Normal 4 3 6 3" xfId="5983" xr:uid="{00000000-0005-0000-0000-0000543C0000}"/>
    <cellStyle name="Normal 4 3 6 3 2" xfId="22853" xr:uid="{00000000-0005-0000-0000-0000553C0000}"/>
    <cellStyle name="Normal 4 3 6 3 2 2" xfId="39721" xr:uid="{7C4C6B3B-205F-44B3-B9A4-EED1A0BDE7E8}"/>
    <cellStyle name="Normal 4 3 6 3 3" xfId="14418" xr:uid="{00000000-0005-0000-0000-0000563C0000}"/>
    <cellStyle name="Normal 4 3 6 3 4" xfId="31287" xr:uid="{A3DCAD59-AC5E-4424-9756-2BC2DDA5A995}"/>
    <cellStyle name="Normal 4 3 6 4" xfId="18635" xr:uid="{00000000-0005-0000-0000-0000573C0000}"/>
    <cellStyle name="Normal 4 3 6 4 2" xfId="35504" xr:uid="{63A4EE03-0382-4833-BBB3-D25A5EF845C7}"/>
    <cellStyle name="Normal 4 3 6 5" xfId="10200" xr:uid="{00000000-0005-0000-0000-0000583C0000}"/>
    <cellStyle name="Normal 4 3 6 6" xfId="27070" xr:uid="{776B772B-8DD1-42FC-B75F-04C8184D2028}"/>
    <cellStyle name="Normal 4 3 7" xfId="2089" xr:uid="{00000000-0005-0000-0000-0000593C0000}"/>
    <cellStyle name="Normal 4 3 7 2" xfId="4318" xr:uid="{00000000-0005-0000-0000-00005A3C0000}"/>
    <cellStyle name="Normal 4 3 7 2 2" xfId="8541" xr:uid="{00000000-0005-0000-0000-00005B3C0000}"/>
    <cellStyle name="Normal 4 3 7 2 2 2" xfId="25411" xr:uid="{00000000-0005-0000-0000-00005C3C0000}"/>
    <cellStyle name="Normal 4 3 7 2 2 2 2" xfId="42279" xr:uid="{217C9F64-3DCC-42D5-992A-01CC19DAE461}"/>
    <cellStyle name="Normal 4 3 7 2 2 3" xfId="16976" xr:uid="{00000000-0005-0000-0000-00005D3C0000}"/>
    <cellStyle name="Normal 4 3 7 2 2 4" xfId="33845" xr:uid="{6B4A01A8-2CB4-4DA9-9B0A-ED2C87EF3AD0}"/>
    <cellStyle name="Normal 4 3 7 2 3" xfId="21193" xr:uid="{00000000-0005-0000-0000-00005E3C0000}"/>
    <cellStyle name="Normal 4 3 7 2 3 2" xfId="38062" xr:uid="{D1B9429A-BCB6-4700-B758-8A86677BAD58}"/>
    <cellStyle name="Normal 4 3 7 2 4" xfId="12758" xr:uid="{00000000-0005-0000-0000-00005F3C0000}"/>
    <cellStyle name="Normal 4 3 7 2 5" xfId="29628" xr:uid="{ACDF401C-675A-4A11-A2C7-2FD9693E96C8}"/>
    <cellStyle name="Normal 4 3 7 3" xfId="6396" xr:uid="{00000000-0005-0000-0000-0000603C0000}"/>
    <cellStyle name="Normal 4 3 7 3 2" xfId="23266" xr:uid="{00000000-0005-0000-0000-0000613C0000}"/>
    <cellStyle name="Normal 4 3 7 3 2 2" xfId="40134" xr:uid="{46CCBCEF-7BB7-4F03-B7CF-4E1075BF626A}"/>
    <cellStyle name="Normal 4 3 7 3 3" xfId="14831" xr:uid="{00000000-0005-0000-0000-0000623C0000}"/>
    <cellStyle name="Normal 4 3 7 3 4" xfId="31700" xr:uid="{40DC83DF-B1F2-419B-9643-FD27FA4E455D}"/>
    <cellStyle name="Normal 4 3 7 4" xfId="19048" xr:uid="{00000000-0005-0000-0000-0000633C0000}"/>
    <cellStyle name="Normal 4 3 7 4 2" xfId="35917" xr:uid="{6CC26D5E-868E-4343-B3DF-AAF359C479B0}"/>
    <cellStyle name="Normal 4 3 7 5" xfId="10613" xr:uid="{00000000-0005-0000-0000-0000643C0000}"/>
    <cellStyle name="Normal 4 3 7 6" xfId="27483" xr:uid="{E07C2FE7-27F2-4D9D-98DB-7009D2B72D49}"/>
    <cellStyle name="Normal 4 3 8" xfId="2525" xr:uid="{00000000-0005-0000-0000-0000653C0000}"/>
    <cellStyle name="Normal 4 3 8 2" xfId="6809" xr:uid="{00000000-0005-0000-0000-0000663C0000}"/>
    <cellStyle name="Normal 4 3 8 2 2" xfId="23679" xr:uid="{00000000-0005-0000-0000-0000673C0000}"/>
    <cellStyle name="Normal 4 3 8 2 2 2" xfId="40547" xr:uid="{C3518366-5756-4B9B-BBDD-F1242B0588F8}"/>
    <cellStyle name="Normal 4 3 8 2 3" xfId="15244" xr:uid="{00000000-0005-0000-0000-0000683C0000}"/>
    <cellStyle name="Normal 4 3 8 2 4" xfId="32113" xr:uid="{D8894653-0B4D-4A0B-A50E-2E8A53547638}"/>
    <cellStyle name="Normal 4 3 8 3" xfId="19461" xr:uid="{00000000-0005-0000-0000-0000693C0000}"/>
    <cellStyle name="Normal 4 3 8 3 2" xfId="36330" xr:uid="{6806B300-0C1C-461D-A10A-FFBEC1BBD0E3}"/>
    <cellStyle name="Normal 4 3 8 4" xfId="11026" xr:uid="{00000000-0005-0000-0000-00006A3C0000}"/>
    <cellStyle name="Normal 4 3 8 5" xfId="27896" xr:uid="{2B217378-3BF3-4D21-8A58-73043374E12E}"/>
    <cellStyle name="Normal 4 3 9" xfId="4744" xr:uid="{00000000-0005-0000-0000-00006B3C0000}"/>
    <cellStyle name="Normal 4 3 9 2" xfId="21614" xr:uid="{00000000-0005-0000-0000-00006C3C0000}"/>
    <cellStyle name="Normal 4 3 9 2 2" xfId="38482" xr:uid="{72007137-A323-4A70-9DD3-384C93A87B05}"/>
    <cellStyle name="Normal 4 3 9 3" xfId="13179" xr:uid="{00000000-0005-0000-0000-00006D3C0000}"/>
    <cellStyle name="Normal 4 3 9 4" xfId="30048" xr:uid="{DAAC9C4B-7FEF-4424-8A8C-896A1DDCD995}"/>
    <cellStyle name="Normal 4 4" xfId="378" xr:uid="{00000000-0005-0000-0000-00006E3C0000}"/>
    <cellStyle name="Normal 4 4 10" xfId="2534" xr:uid="{00000000-0005-0000-0000-00006F3C0000}"/>
    <cellStyle name="Normal 4 4 10 2" xfId="6818" xr:uid="{00000000-0005-0000-0000-0000703C0000}"/>
    <cellStyle name="Normal 4 4 10 2 2" xfId="23688" xr:uid="{00000000-0005-0000-0000-0000713C0000}"/>
    <cellStyle name="Normal 4 4 10 2 2 2" xfId="40556" xr:uid="{2BD264D7-DFD2-438A-B6DF-0D30ECB8BD75}"/>
    <cellStyle name="Normal 4 4 10 2 3" xfId="15253" xr:uid="{00000000-0005-0000-0000-0000723C0000}"/>
    <cellStyle name="Normal 4 4 10 2 4" xfId="32122" xr:uid="{1B24DBA8-1115-4C4B-8C26-A28B50823EBC}"/>
    <cellStyle name="Normal 4 4 10 3" xfId="19470" xr:uid="{00000000-0005-0000-0000-0000733C0000}"/>
    <cellStyle name="Normal 4 4 10 3 2" xfId="36339" xr:uid="{17B12388-F60C-4D7C-889A-747E199E6C5D}"/>
    <cellStyle name="Normal 4 4 10 4" xfId="11035" xr:uid="{00000000-0005-0000-0000-0000743C0000}"/>
    <cellStyle name="Normal 4 4 10 5" xfId="27905" xr:uid="{91D13FF6-6793-459F-9102-DC8E641EF52B}"/>
    <cellStyle name="Normal 4 4 11" xfId="4753" xr:uid="{00000000-0005-0000-0000-0000753C0000}"/>
    <cellStyle name="Normal 4 4 11 2" xfId="21623" xr:uid="{00000000-0005-0000-0000-0000763C0000}"/>
    <cellStyle name="Normal 4 4 11 2 2" xfId="38491" xr:uid="{2B240731-8D8A-4ED1-B29B-6682DB182667}"/>
    <cellStyle name="Normal 4 4 11 3" xfId="13188" xr:uid="{00000000-0005-0000-0000-0000773C0000}"/>
    <cellStyle name="Normal 4 4 11 4" xfId="30057" xr:uid="{AD869B3C-CE78-47B7-BEE2-485AC2A488B3}"/>
    <cellStyle name="Normal 4 4 12" xfId="17405" xr:uid="{00000000-0005-0000-0000-0000783C0000}"/>
    <cellStyle name="Normal 4 4 12 2" xfId="34274" xr:uid="{E5F41833-AD1B-4A71-B0C9-7316AE1114A5}"/>
    <cellStyle name="Normal 4 4 13" xfId="8970" xr:uid="{00000000-0005-0000-0000-0000793C0000}"/>
    <cellStyle name="Normal 4 4 14" xfId="25840" xr:uid="{0A1DB2BB-2C8B-4D42-B6EE-AA23B90F2342}"/>
    <cellStyle name="Normal 4 4 2" xfId="379" xr:uid="{00000000-0005-0000-0000-00007A3C0000}"/>
    <cellStyle name="Normal 4 4 2 10" xfId="4754" xr:uid="{00000000-0005-0000-0000-00007B3C0000}"/>
    <cellStyle name="Normal 4 4 2 10 2" xfId="21624" xr:uid="{00000000-0005-0000-0000-00007C3C0000}"/>
    <cellStyle name="Normal 4 4 2 10 2 2" xfId="38492" xr:uid="{8BA383F1-BE12-4FDA-AE7B-D51D30E22658}"/>
    <cellStyle name="Normal 4 4 2 10 3" xfId="13189" xr:uid="{00000000-0005-0000-0000-00007D3C0000}"/>
    <cellStyle name="Normal 4 4 2 10 4" xfId="30058" xr:uid="{1F22CE84-88A8-4235-8B75-F4F4C6D017F6}"/>
    <cellStyle name="Normal 4 4 2 11" xfId="17406" xr:uid="{00000000-0005-0000-0000-00007E3C0000}"/>
    <cellStyle name="Normal 4 4 2 11 2" xfId="34275" xr:uid="{24FE8C26-0DAC-4FF6-B8FF-569A024EC1BA}"/>
    <cellStyle name="Normal 4 4 2 12" xfId="8971" xr:uid="{00000000-0005-0000-0000-00007F3C0000}"/>
    <cellStyle name="Normal 4 4 2 13" xfId="25841" xr:uid="{8AA44E8A-DA58-4CCA-8D9E-6D49BE550EA6}"/>
    <cellStyle name="Normal 4 4 2 2" xfId="380" xr:uid="{00000000-0005-0000-0000-0000803C0000}"/>
    <cellStyle name="Normal 4 4 2 2 10" xfId="17407" xr:uid="{00000000-0005-0000-0000-0000813C0000}"/>
    <cellStyle name="Normal 4 4 2 2 10 2" xfId="34276" xr:uid="{5CFE6A32-F2F4-44CA-86BB-EC9AC723438F}"/>
    <cellStyle name="Normal 4 4 2 2 11" xfId="8972" xr:uid="{00000000-0005-0000-0000-0000823C0000}"/>
    <cellStyle name="Normal 4 4 2 2 12" xfId="25842" xr:uid="{1704D2DC-63CB-463D-A3F8-48FC8E1A28E8}"/>
    <cellStyle name="Normal 4 4 2 2 2" xfId="381" xr:uid="{00000000-0005-0000-0000-0000833C0000}"/>
    <cellStyle name="Normal 4 4 2 2 2 10" xfId="8973" xr:uid="{00000000-0005-0000-0000-0000843C0000}"/>
    <cellStyle name="Normal 4 4 2 2 2 11" xfId="25843" xr:uid="{B0101474-2CC6-4837-A320-32D3573E1182}"/>
    <cellStyle name="Normal 4 4 2 2 2 2" xfId="382" xr:uid="{00000000-0005-0000-0000-0000853C0000}"/>
    <cellStyle name="Normal 4 4 2 2 2 2 10" xfId="25844" xr:uid="{0E20C336-CC72-429A-89D9-9F9AB327B4A0}"/>
    <cellStyle name="Normal 4 4 2 2 2 2 2" xfId="857" xr:uid="{00000000-0005-0000-0000-0000863C0000}"/>
    <cellStyle name="Normal 4 4 2 2 2 2 2 2" xfId="3092" xr:uid="{00000000-0005-0000-0000-0000873C0000}"/>
    <cellStyle name="Normal 4 4 2 2 2 2 2 2 2" xfId="7315" xr:uid="{00000000-0005-0000-0000-0000883C0000}"/>
    <cellStyle name="Normal 4 4 2 2 2 2 2 2 2 2" xfId="24185" xr:uid="{00000000-0005-0000-0000-0000893C0000}"/>
    <cellStyle name="Normal 4 4 2 2 2 2 2 2 2 2 2" xfId="41053" xr:uid="{F5A10B78-204A-4BB9-ABB4-30236389BEB2}"/>
    <cellStyle name="Normal 4 4 2 2 2 2 2 2 2 3" xfId="15750" xr:uid="{00000000-0005-0000-0000-00008A3C0000}"/>
    <cellStyle name="Normal 4 4 2 2 2 2 2 2 2 4" xfId="32619" xr:uid="{EAAC8E56-BCC2-4359-9BD8-45C76D0D2E5A}"/>
    <cellStyle name="Normal 4 4 2 2 2 2 2 2 3" xfId="19967" xr:uid="{00000000-0005-0000-0000-00008B3C0000}"/>
    <cellStyle name="Normal 4 4 2 2 2 2 2 2 3 2" xfId="36836" xr:uid="{CA089ACC-931A-47BC-9E39-77240FF21BC3}"/>
    <cellStyle name="Normal 4 4 2 2 2 2 2 2 4" xfId="11532" xr:uid="{00000000-0005-0000-0000-00008C3C0000}"/>
    <cellStyle name="Normal 4 4 2 2 2 2 2 2 5" xfId="28402" xr:uid="{760EB3CC-591C-4A03-98CC-155005CAB0FD}"/>
    <cellStyle name="Normal 4 4 2 2 2 2 2 3" xfId="5170" xr:uid="{00000000-0005-0000-0000-00008D3C0000}"/>
    <cellStyle name="Normal 4 4 2 2 2 2 2 3 2" xfId="22040" xr:uid="{00000000-0005-0000-0000-00008E3C0000}"/>
    <cellStyle name="Normal 4 4 2 2 2 2 2 3 2 2" xfId="38908" xr:uid="{B4A4886A-BD3F-4C77-A331-8442D90FDC0C}"/>
    <cellStyle name="Normal 4 4 2 2 2 2 2 3 3" xfId="13605" xr:uid="{00000000-0005-0000-0000-00008F3C0000}"/>
    <cellStyle name="Normal 4 4 2 2 2 2 2 3 4" xfId="30474" xr:uid="{9072D010-C6C0-4E1F-B8FC-3D26DCC8FB4D}"/>
    <cellStyle name="Normal 4 4 2 2 2 2 2 4" xfId="17822" xr:uid="{00000000-0005-0000-0000-0000903C0000}"/>
    <cellStyle name="Normal 4 4 2 2 2 2 2 4 2" xfId="34691" xr:uid="{62AB698E-8656-4B96-997B-B7F51994D925}"/>
    <cellStyle name="Normal 4 4 2 2 2 2 2 5" xfId="9387" xr:uid="{00000000-0005-0000-0000-0000913C0000}"/>
    <cellStyle name="Normal 4 4 2 2 2 2 2 6" xfId="26257" xr:uid="{233053E4-2642-4D4F-9776-E7C31BB8C884}"/>
    <cellStyle name="Normal 4 4 2 2 2 2 3" xfId="1275" xr:uid="{00000000-0005-0000-0000-0000923C0000}"/>
    <cellStyle name="Normal 4 4 2 2 2 2 3 2" xfId="3505" xr:uid="{00000000-0005-0000-0000-0000933C0000}"/>
    <cellStyle name="Normal 4 4 2 2 2 2 3 2 2" xfId="7728" xr:uid="{00000000-0005-0000-0000-0000943C0000}"/>
    <cellStyle name="Normal 4 4 2 2 2 2 3 2 2 2" xfId="24598" xr:uid="{00000000-0005-0000-0000-0000953C0000}"/>
    <cellStyle name="Normal 4 4 2 2 2 2 3 2 2 2 2" xfId="41466" xr:uid="{F15B76CE-4FE6-4206-8887-27EBBE8B729B}"/>
    <cellStyle name="Normal 4 4 2 2 2 2 3 2 2 3" xfId="16163" xr:uid="{00000000-0005-0000-0000-0000963C0000}"/>
    <cellStyle name="Normal 4 4 2 2 2 2 3 2 2 4" xfId="33032" xr:uid="{DA88A8BA-6548-43DA-A432-CCDD63D49C03}"/>
    <cellStyle name="Normal 4 4 2 2 2 2 3 2 3" xfId="20380" xr:uid="{00000000-0005-0000-0000-0000973C0000}"/>
    <cellStyle name="Normal 4 4 2 2 2 2 3 2 3 2" xfId="37249" xr:uid="{CE47BE54-2865-4676-99BE-962FA5733A8B}"/>
    <cellStyle name="Normal 4 4 2 2 2 2 3 2 4" xfId="11945" xr:uid="{00000000-0005-0000-0000-0000983C0000}"/>
    <cellStyle name="Normal 4 4 2 2 2 2 3 2 5" xfId="28815" xr:uid="{15550FA0-40ED-438E-BBFA-F438B34C0711}"/>
    <cellStyle name="Normal 4 4 2 2 2 2 3 3" xfId="5583" xr:uid="{00000000-0005-0000-0000-0000993C0000}"/>
    <cellStyle name="Normal 4 4 2 2 2 2 3 3 2" xfId="22453" xr:uid="{00000000-0005-0000-0000-00009A3C0000}"/>
    <cellStyle name="Normal 4 4 2 2 2 2 3 3 2 2" xfId="39321" xr:uid="{B061E0CA-3096-4A87-B653-2938DA2E627E}"/>
    <cellStyle name="Normal 4 4 2 2 2 2 3 3 3" xfId="14018" xr:uid="{00000000-0005-0000-0000-00009B3C0000}"/>
    <cellStyle name="Normal 4 4 2 2 2 2 3 3 4" xfId="30887" xr:uid="{B772A24D-54EA-4DD8-AACC-6D3EAD3EE5E0}"/>
    <cellStyle name="Normal 4 4 2 2 2 2 3 4" xfId="18235" xr:uid="{00000000-0005-0000-0000-00009C3C0000}"/>
    <cellStyle name="Normal 4 4 2 2 2 2 3 4 2" xfId="35104" xr:uid="{B86E40F4-1B2F-4C77-B75B-C9B9CEE9EE9D}"/>
    <cellStyle name="Normal 4 4 2 2 2 2 3 5" xfId="9800" xr:uid="{00000000-0005-0000-0000-00009D3C0000}"/>
    <cellStyle name="Normal 4 4 2 2 2 2 3 6" xfId="26670" xr:uid="{E9770085-5A50-4D7D-A283-41C5CB9A9811}"/>
    <cellStyle name="Normal 4 4 2 2 2 2 4" xfId="1688" xr:uid="{00000000-0005-0000-0000-00009E3C0000}"/>
    <cellStyle name="Normal 4 4 2 2 2 2 4 2" xfId="3918" xr:uid="{00000000-0005-0000-0000-00009F3C0000}"/>
    <cellStyle name="Normal 4 4 2 2 2 2 4 2 2" xfId="8141" xr:uid="{00000000-0005-0000-0000-0000A03C0000}"/>
    <cellStyle name="Normal 4 4 2 2 2 2 4 2 2 2" xfId="25011" xr:uid="{00000000-0005-0000-0000-0000A13C0000}"/>
    <cellStyle name="Normal 4 4 2 2 2 2 4 2 2 2 2" xfId="41879" xr:uid="{E9F97249-4B67-41CA-B21F-EA79B35B3EB9}"/>
    <cellStyle name="Normal 4 4 2 2 2 2 4 2 2 3" xfId="16576" xr:uid="{00000000-0005-0000-0000-0000A23C0000}"/>
    <cellStyle name="Normal 4 4 2 2 2 2 4 2 2 4" xfId="33445" xr:uid="{D1530E8D-EB91-4A9D-ACB5-5707A5519216}"/>
    <cellStyle name="Normal 4 4 2 2 2 2 4 2 3" xfId="20793" xr:uid="{00000000-0005-0000-0000-0000A33C0000}"/>
    <cellStyle name="Normal 4 4 2 2 2 2 4 2 3 2" xfId="37662" xr:uid="{A6962420-46C9-4BB0-B25C-B234D7C0FA35}"/>
    <cellStyle name="Normal 4 4 2 2 2 2 4 2 4" xfId="12358" xr:uid="{00000000-0005-0000-0000-0000A43C0000}"/>
    <cellStyle name="Normal 4 4 2 2 2 2 4 2 5" xfId="29228" xr:uid="{325BEFAB-8170-4746-9087-19FE3E687772}"/>
    <cellStyle name="Normal 4 4 2 2 2 2 4 3" xfId="5996" xr:uid="{00000000-0005-0000-0000-0000A53C0000}"/>
    <cellStyle name="Normal 4 4 2 2 2 2 4 3 2" xfId="22866" xr:uid="{00000000-0005-0000-0000-0000A63C0000}"/>
    <cellStyle name="Normal 4 4 2 2 2 2 4 3 2 2" xfId="39734" xr:uid="{F7F3E085-606B-42CB-ACEB-82D77994E14F}"/>
    <cellStyle name="Normal 4 4 2 2 2 2 4 3 3" xfId="14431" xr:uid="{00000000-0005-0000-0000-0000A73C0000}"/>
    <cellStyle name="Normal 4 4 2 2 2 2 4 3 4" xfId="31300" xr:uid="{4D271E54-1E6A-4830-856E-875E59E9A06D}"/>
    <cellStyle name="Normal 4 4 2 2 2 2 4 4" xfId="18648" xr:uid="{00000000-0005-0000-0000-0000A83C0000}"/>
    <cellStyle name="Normal 4 4 2 2 2 2 4 4 2" xfId="35517" xr:uid="{97E7EABE-7C66-45A8-B2D4-9ECBAC5F623F}"/>
    <cellStyle name="Normal 4 4 2 2 2 2 4 5" xfId="10213" xr:uid="{00000000-0005-0000-0000-0000A93C0000}"/>
    <cellStyle name="Normal 4 4 2 2 2 2 4 6" xfId="27083" xr:uid="{23D62AB4-3648-4C1F-A888-4DE41E0ACC3D}"/>
    <cellStyle name="Normal 4 4 2 2 2 2 5" xfId="2102" xr:uid="{00000000-0005-0000-0000-0000AA3C0000}"/>
    <cellStyle name="Normal 4 4 2 2 2 2 5 2" xfId="4331" xr:uid="{00000000-0005-0000-0000-0000AB3C0000}"/>
    <cellStyle name="Normal 4 4 2 2 2 2 5 2 2" xfId="8554" xr:uid="{00000000-0005-0000-0000-0000AC3C0000}"/>
    <cellStyle name="Normal 4 4 2 2 2 2 5 2 2 2" xfId="25424" xr:uid="{00000000-0005-0000-0000-0000AD3C0000}"/>
    <cellStyle name="Normal 4 4 2 2 2 2 5 2 2 2 2" xfId="42292" xr:uid="{547130B0-66B6-4015-96E4-5F523E4D4C76}"/>
    <cellStyle name="Normal 4 4 2 2 2 2 5 2 2 3" xfId="16989" xr:uid="{00000000-0005-0000-0000-0000AE3C0000}"/>
    <cellStyle name="Normal 4 4 2 2 2 2 5 2 2 4" xfId="33858" xr:uid="{23CA0BA2-8F47-465A-8671-E85AFFFCF326}"/>
    <cellStyle name="Normal 4 4 2 2 2 2 5 2 3" xfId="21206" xr:uid="{00000000-0005-0000-0000-0000AF3C0000}"/>
    <cellStyle name="Normal 4 4 2 2 2 2 5 2 3 2" xfId="38075" xr:uid="{BD3AEA5A-C057-4218-935F-EB8F85959B6B}"/>
    <cellStyle name="Normal 4 4 2 2 2 2 5 2 4" xfId="12771" xr:uid="{00000000-0005-0000-0000-0000B03C0000}"/>
    <cellStyle name="Normal 4 4 2 2 2 2 5 2 5" xfId="29641" xr:uid="{9454B029-348A-44A7-B311-42CB437B82E2}"/>
    <cellStyle name="Normal 4 4 2 2 2 2 5 3" xfId="6409" xr:uid="{00000000-0005-0000-0000-0000B13C0000}"/>
    <cellStyle name="Normal 4 4 2 2 2 2 5 3 2" xfId="23279" xr:uid="{00000000-0005-0000-0000-0000B23C0000}"/>
    <cellStyle name="Normal 4 4 2 2 2 2 5 3 2 2" xfId="40147" xr:uid="{B8D8B7B5-732D-418A-806E-793801205303}"/>
    <cellStyle name="Normal 4 4 2 2 2 2 5 3 3" xfId="14844" xr:uid="{00000000-0005-0000-0000-0000B33C0000}"/>
    <cellStyle name="Normal 4 4 2 2 2 2 5 3 4" xfId="31713" xr:uid="{950ED5F7-C806-402F-82EC-059A46497A3E}"/>
    <cellStyle name="Normal 4 4 2 2 2 2 5 4" xfId="19061" xr:uid="{00000000-0005-0000-0000-0000B43C0000}"/>
    <cellStyle name="Normal 4 4 2 2 2 2 5 4 2" xfId="35930" xr:uid="{31C7D36A-9050-4ACF-A498-1E02CFE6A476}"/>
    <cellStyle name="Normal 4 4 2 2 2 2 5 5" xfId="10626" xr:uid="{00000000-0005-0000-0000-0000B53C0000}"/>
    <cellStyle name="Normal 4 4 2 2 2 2 5 6" xfId="27496" xr:uid="{8D9C06F0-ABFF-42DD-BB64-9C5C6A1CF16C}"/>
    <cellStyle name="Normal 4 4 2 2 2 2 6" xfId="2538" xr:uid="{00000000-0005-0000-0000-0000B63C0000}"/>
    <cellStyle name="Normal 4 4 2 2 2 2 6 2" xfId="6822" xr:uid="{00000000-0005-0000-0000-0000B73C0000}"/>
    <cellStyle name="Normal 4 4 2 2 2 2 6 2 2" xfId="23692" xr:uid="{00000000-0005-0000-0000-0000B83C0000}"/>
    <cellStyle name="Normal 4 4 2 2 2 2 6 2 2 2" xfId="40560" xr:uid="{EA1096D7-10E5-409D-9242-866B77E30F28}"/>
    <cellStyle name="Normal 4 4 2 2 2 2 6 2 3" xfId="15257" xr:uid="{00000000-0005-0000-0000-0000B93C0000}"/>
    <cellStyle name="Normal 4 4 2 2 2 2 6 2 4" xfId="32126" xr:uid="{DE684940-59F2-44EA-B0C9-47258B3AE396}"/>
    <cellStyle name="Normal 4 4 2 2 2 2 6 3" xfId="19474" xr:uid="{00000000-0005-0000-0000-0000BA3C0000}"/>
    <cellStyle name="Normal 4 4 2 2 2 2 6 3 2" xfId="36343" xr:uid="{D7B17EE7-3004-4605-9D6B-3673ACB1CC1D}"/>
    <cellStyle name="Normal 4 4 2 2 2 2 6 4" xfId="11039" xr:uid="{00000000-0005-0000-0000-0000BB3C0000}"/>
    <cellStyle name="Normal 4 4 2 2 2 2 6 5" xfId="27909" xr:uid="{86F0F76E-FD89-43A5-B7C7-E9F15236925D}"/>
    <cellStyle name="Normal 4 4 2 2 2 2 7" xfId="4757" xr:uid="{00000000-0005-0000-0000-0000BC3C0000}"/>
    <cellStyle name="Normal 4 4 2 2 2 2 7 2" xfId="21627" xr:uid="{00000000-0005-0000-0000-0000BD3C0000}"/>
    <cellStyle name="Normal 4 4 2 2 2 2 7 2 2" xfId="38495" xr:uid="{0F8B256A-A841-468E-BAEE-8A70A9E81244}"/>
    <cellStyle name="Normal 4 4 2 2 2 2 7 3" xfId="13192" xr:uid="{00000000-0005-0000-0000-0000BE3C0000}"/>
    <cellStyle name="Normal 4 4 2 2 2 2 7 4" xfId="30061" xr:uid="{09635579-4F63-4DB4-A476-5874D709F0DE}"/>
    <cellStyle name="Normal 4 4 2 2 2 2 8" xfId="17409" xr:uid="{00000000-0005-0000-0000-0000BF3C0000}"/>
    <cellStyle name="Normal 4 4 2 2 2 2 8 2" xfId="34278" xr:uid="{DB398C16-AE46-47A7-A8FF-26E1B46C90E8}"/>
    <cellStyle name="Normal 4 4 2 2 2 2 9" xfId="8974" xr:uid="{00000000-0005-0000-0000-0000C03C0000}"/>
    <cellStyle name="Normal 4 4 2 2 2 3" xfId="856" xr:uid="{00000000-0005-0000-0000-0000C13C0000}"/>
    <cellStyle name="Normal 4 4 2 2 2 3 2" xfId="3091" xr:uid="{00000000-0005-0000-0000-0000C23C0000}"/>
    <cellStyle name="Normal 4 4 2 2 2 3 2 2" xfId="7314" xr:uid="{00000000-0005-0000-0000-0000C33C0000}"/>
    <cellStyle name="Normal 4 4 2 2 2 3 2 2 2" xfId="24184" xr:uid="{00000000-0005-0000-0000-0000C43C0000}"/>
    <cellStyle name="Normal 4 4 2 2 2 3 2 2 2 2" xfId="41052" xr:uid="{FBE70C6C-3F53-4D38-BB15-A63AE1CBF33A}"/>
    <cellStyle name="Normal 4 4 2 2 2 3 2 2 3" xfId="15749" xr:uid="{00000000-0005-0000-0000-0000C53C0000}"/>
    <cellStyle name="Normal 4 4 2 2 2 3 2 2 4" xfId="32618" xr:uid="{9F633AD9-B708-44B4-BD38-9D82132E9051}"/>
    <cellStyle name="Normal 4 4 2 2 2 3 2 3" xfId="19966" xr:uid="{00000000-0005-0000-0000-0000C63C0000}"/>
    <cellStyle name="Normal 4 4 2 2 2 3 2 3 2" xfId="36835" xr:uid="{60B0D951-8194-4F7B-9F13-2A2F1A2936B0}"/>
    <cellStyle name="Normal 4 4 2 2 2 3 2 4" xfId="11531" xr:uid="{00000000-0005-0000-0000-0000C73C0000}"/>
    <cellStyle name="Normal 4 4 2 2 2 3 2 5" xfId="28401" xr:uid="{ADFACE7A-E7F5-4798-9A58-F1EC164B7D4A}"/>
    <cellStyle name="Normal 4 4 2 2 2 3 3" xfId="5169" xr:uid="{00000000-0005-0000-0000-0000C83C0000}"/>
    <cellStyle name="Normal 4 4 2 2 2 3 3 2" xfId="22039" xr:uid="{00000000-0005-0000-0000-0000C93C0000}"/>
    <cellStyle name="Normal 4 4 2 2 2 3 3 2 2" xfId="38907" xr:uid="{BEAF19C9-6D56-4495-A7AF-A35F6BAA3242}"/>
    <cellStyle name="Normal 4 4 2 2 2 3 3 3" xfId="13604" xr:uid="{00000000-0005-0000-0000-0000CA3C0000}"/>
    <cellStyle name="Normal 4 4 2 2 2 3 3 4" xfId="30473" xr:uid="{C3FDEEDB-31B6-4721-A70B-D489FCCB216F}"/>
    <cellStyle name="Normal 4 4 2 2 2 3 4" xfId="17821" xr:uid="{00000000-0005-0000-0000-0000CB3C0000}"/>
    <cellStyle name="Normal 4 4 2 2 2 3 4 2" xfId="34690" xr:uid="{C88CF811-6A01-449E-A0AA-438ADBA0AE61}"/>
    <cellStyle name="Normal 4 4 2 2 2 3 5" xfId="9386" xr:uid="{00000000-0005-0000-0000-0000CC3C0000}"/>
    <cellStyle name="Normal 4 4 2 2 2 3 6" xfId="26256" xr:uid="{B48F97C4-3E07-4ACA-8B21-5973BAE6FEED}"/>
    <cellStyle name="Normal 4 4 2 2 2 4" xfId="1274" xr:uid="{00000000-0005-0000-0000-0000CD3C0000}"/>
    <cellStyle name="Normal 4 4 2 2 2 4 2" xfId="3504" xr:uid="{00000000-0005-0000-0000-0000CE3C0000}"/>
    <cellStyle name="Normal 4 4 2 2 2 4 2 2" xfId="7727" xr:uid="{00000000-0005-0000-0000-0000CF3C0000}"/>
    <cellStyle name="Normal 4 4 2 2 2 4 2 2 2" xfId="24597" xr:uid="{00000000-0005-0000-0000-0000D03C0000}"/>
    <cellStyle name="Normal 4 4 2 2 2 4 2 2 2 2" xfId="41465" xr:uid="{0A60C4E8-D0A5-4011-A947-04D464CE091A}"/>
    <cellStyle name="Normal 4 4 2 2 2 4 2 2 3" xfId="16162" xr:uid="{00000000-0005-0000-0000-0000D13C0000}"/>
    <cellStyle name="Normal 4 4 2 2 2 4 2 2 4" xfId="33031" xr:uid="{42466D52-6ECC-4A7D-9E99-FF6555A6E7D4}"/>
    <cellStyle name="Normal 4 4 2 2 2 4 2 3" xfId="20379" xr:uid="{00000000-0005-0000-0000-0000D23C0000}"/>
    <cellStyle name="Normal 4 4 2 2 2 4 2 3 2" xfId="37248" xr:uid="{A1EFCC31-ED58-49EA-9342-43A243F8D168}"/>
    <cellStyle name="Normal 4 4 2 2 2 4 2 4" xfId="11944" xr:uid="{00000000-0005-0000-0000-0000D33C0000}"/>
    <cellStyle name="Normal 4 4 2 2 2 4 2 5" xfId="28814" xr:uid="{59ED7797-9765-4960-924A-1F4FAD50B3F9}"/>
    <cellStyle name="Normal 4 4 2 2 2 4 3" xfId="5582" xr:uid="{00000000-0005-0000-0000-0000D43C0000}"/>
    <cellStyle name="Normal 4 4 2 2 2 4 3 2" xfId="22452" xr:uid="{00000000-0005-0000-0000-0000D53C0000}"/>
    <cellStyle name="Normal 4 4 2 2 2 4 3 2 2" xfId="39320" xr:uid="{4D8BB608-AA54-49E6-9AD5-486768573DD2}"/>
    <cellStyle name="Normal 4 4 2 2 2 4 3 3" xfId="14017" xr:uid="{00000000-0005-0000-0000-0000D63C0000}"/>
    <cellStyle name="Normal 4 4 2 2 2 4 3 4" xfId="30886" xr:uid="{07D12BA8-CA1C-4D65-B360-99E502E7AB6F}"/>
    <cellStyle name="Normal 4 4 2 2 2 4 4" xfId="18234" xr:uid="{00000000-0005-0000-0000-0000D73C0000}"/>
    <cellStyle name="Normal 4 4 2 2 2 4 4 2" xfId="35103" xr:uid="{20CB8F17-64BA-46EE-B150-6FE3BFEE1140}"/>
    <cellStyle name="Normal 4 4 2 2 2 4 5" xfId="9799" xr:uid="{00000000-0005-0000-0000-0000D83C0000}"/>
    <cellStyle name="Normal 4 4 2 2 2 4 6" xfId="26669" xr:uid="{5BAC6301-6434-4324-9DFA-92EA9D260F1F}"/>
    <cellStyle name="Normal 4 4 2 2 2 5" xfId="1687" xr:uid="{00000000-0005-0000-0000-0000D93C0000}"/>
    <cellStyle name="Normal 4 4 2 2 2 5 2" xfId="3917" xr:uid="{00000000-0005-0000-0000-0000DA3C0000}"/>
    <cellStyle name="Normal 4 4 2 2 2 5 2 2" xfId="8140" xr:uid="{00000000-0005-0000-0000-0000DB3C0000}"/>
    <cellStyle name="Normal 4 4 2 2 2 5 2 2 2" xfId="25010" xr:uid="{00000000-0005-0000-0000-0000DC3C0000}"/>
    <cellStyle name="Normal 4 4 2 2 2 5 2 2 2 2" xfId="41878" xr:uid="{7085E112-0AA9-4DA7-9416-69FFB8F9C6FF}"/>
    <cellStyle name="Normal 4 4 2 2 2 5 2 2 3" xfId="16575" xr:uid="{00000000-0005-0000-0000-0000DD3C0000}"/>
    <cellStyle name="Normal 4 4 2 2 2 5 2 2 4" xfId="33444" xr:uid="{2CE67BE3-85D4-4B20-A17C-98F9B42B3C9F}"/>
    <cellStyle name="Normal 4 4 2 2 2 5 2 3" xfId="20792" xr:uid="{00000000-0005-0000-0000-0000DE3C0000}"/>
    <cellStyle name="Normal 4 4 2 2 2 5 2 3 2" xfId="37661" xr:uid="{E6F2E641-CA29-49D2-9E57-7CFAD3CBB300}"/>
    <cellStyle name="Normal 4 4 2 2 2 5 2 4" xfId="12357" xr:uid="{00000000-0005-0000-0000-0000DF3C0000}"/>
    <cellStyle name="Normal 4 4 2 2 2 5 2 5" xfId="29227" xr:uid="{B3DEF083-94D9-49D6-9AF6-DE399E0AD253}"/>
    <cellStyle name="Normal 4 4 2 2 2 5 3" xfId="5995" xr:uid="{00000000-0005-0000-0000-0000E03C0000}"/>
    <cellStyle name="Normal 4 4 2 2 2 5 3 2" xfId="22865" xr:uid="{00000000-0005-0000-0000-0000E13C0000}"/>
    <cellStyle name="Normal 4 4 2 2 2 5 3 2 2" xfId="39733" xr:uid="{B7492ED2-7B34-470E-8DEB-023442921D06}"/>
    <cellStyle name="Normal 4 4 2 2 2 5 3 3" xfId="14430" xr:uid="{00000000-0005-0000-0000-0000E23C0000}"/>
    <cellStyle name="Normal 4 4 2 2 2 5 3 4" xfId="31299" xr:uid="{1DB2369A-A8A5-4794-8E39-FE586A5AF940}"/>
    <cellStyle name="Normal 4 4 2 2 2 5 4" xfId="18647" xr:uid="{00000000-0005-0000-0000-0000E33C0000}"/>
    <cellStyle name="Normal 4 4 2 2 2 5 4 2" xfId="35516" xr:uid="{77CB7912-45BE-457B-9195-D6F63FF3D216}"/>
    <cellStyle name="Normal 4 4 2 2 2 5 5" xfId="10212" xr:uid="{00000000-0005-0000-0000-0000E43C0000}"/>
    <cellStyle name="Normal 4 4 2 2 2 5 6" xfId="27082" xr:uid="{6F27AC73-7ABB-4483-A539-E13758D62287}"/>
    <cellStyle name="Normal 4 4 2 2 2 6" xfId="2101" xr:uid="{00000000-0005-0000-0000-0000E53C0000}"/>
    <cellStyle name="Normal 4 4 2 2 2 6 2" xfId="4330" xr:uid="{00000000-0005-0000-0000-0000E63C0000}"/>
    <cellStyle name="Normal 4 4 2 2 2 6 2 2" xfId="8553" xr:uid="{00000000-0005-0000-0000-0000E73C0000}"/>
    <cellStyle name="Normal 4 4 2 2 2 6 2 2 2" xfId="25423" xr:uid="{00000000-0005-0000-0000-0000E83C0000}"/>
    <cellStyle name="Normal 4 4 2 2 2 6 2 2 2 2" xfId="42291" xr:uid="{14C0456A-572F-4062-B4D9-578FFA765E70}"/>
    <cellStyle name="Normal 4 4 2 2 2 6 2 2 3" xfId="16988" xr:uid="{00000000-0005-0000-0000-0000E93C0000}"/>
    <cellStyle name="Normal 4 4 2 2 2 6 2 2 4" xfId="33857" xr:uid="{2AF1C730-47B8-4D1A-B460-8E405A077AAC}"/>
    <cellStyle name="Normal 4 4 2 2 2 6 2 3" xfId="21205" xr:uid="{00000000-0005-0000-0000-0000EA3C0000}"/>
    <cellStyle name="Normal 4 4 2 2 2 6 2 3 2" xfId="38074" xr:uid="{486B0ED7-3570-4C84-8206-A6F0789D7BA7}"/>
    <cellStyle name="Normal 4 4 2 2 2 6 2 4" xfId="12770" xr:uid="{00000000-0005-0000-0000-0000EB3C0000}"/>
    <cellStyle name="Normal 4 4 2 2 2 6 2 5" xfId="29640" xr:uid="{AB98DD2B-D54D-42F3-A387-5C0AAB858D36}"/>
    <cellStyle name="Normal 4 4 2 2 2 6 3" xfId="6408" xr:uid="{00000000-0005-0000-0000-0000EC3C0000}"/>
    <cellStyle name="Normal 4 4 2 2 2 6 3 2" xfId="23278" xr:uid="{00000000-0005-0000-0000-0000ED3C0000}"/>
    <cellStyle name="Normal 4 4 2 2 2 6 3 2 2" xfId="40146" xr:uid="{280824E1-9382-4611-A423-802B9D42BBD4}"/>
    <cellStyle name="Normal 4 4 2 2 2 6 3 3" xfId="14843" xr:uid="{00000000-0005-0000-0000-0000EE3C0000}"/>
    <cellStyle name="Normal 4 4 2 2 2 6 3 4" xfId="31712" xr:uid="{6CC2C5D3-DC07-46C0-9044-16242A51E3EE}"/>
    <cellStyle name="Normal 4 4 2 2 2 6 4" xfId="19060" xr:uid="{00000000-0005-0000-0000-0000EF3C0000}"/>
    <cellStyle name="Normal 4 4 2 2 2 6 4 2" xfId="35929" xr:uid="{8DE418EB-26C7-42BC-B71B-A9A2EE3BF26F}"/>
    <cellStyle name="Normal 4 4 2 2 2 6 5" xfId="10625" xr:uid="{00000000-0005-0000-0000-0000F03C0000}"/>
    <cellStyle name="Normal 4 4 2 2 2 6 6" xfId="27495" xr:uid="{7108A3DB-A491-4F77-A49B-D0FB70E998E8}"/>
    <cellStyle name="Normal 4 4 2 2 2 7" xfId="2537" xr:uid="{00000000-0005-0000-0000-0000F13C0000}"/>
    <cellStyle name="Normal 4 4 2 2 2 7 2" xfId="6821" xr:uid="{00000000-0005-0000-0000-0000F23C0000}"/>
    <cellStyle name="Normal 4 4 2 2 2 7 2 2" xfId="23691" xr:uid="{00000000-0005-0000-0000-0000F33C0000}"/>
    <cellStyle name="Normal 4 4 2 2 2 7 2 2 2" xfId="40559" xr:uid="{9A742C14-0BDA-4EC1-AD9C-24E712444110}"/>
    <cellStyle name="Normal 4 4 2 2 2 7 2 3" xfId="15256" xr:uid="{00000000-0005-0000-0000-0000F43C0000}"/>
    <cellStyle name="Normal 4 4 2 2 2 7 2 4" xfId="32125" xr:uid="{54619D4E-FF5D-413E-935A-3AF2527262FF}"/>
    <cellStyle name="Normal 4 4 2 2 2 7 3" xfId="19473" xr:uid="{00000000-0005-0000-0000-0000F53C0000}"/>
    <cellStyle name="Normal 4 4 2 2 2 7 3 2" xfId="36342" xr:uid="{BD562B83-5702-4E48-97B5-39E716A757EE}"/>
    <cellStyle name="Normal 4 4 2 2 2 7 4" xfId="11038" xr:uid="{00000000-0005-0000-0000-0000F63C0000}"/>
    <cellStyle name="Normal 4 4 2 2 2 7 5" xfId="27908" xr:uid="{1E6CACAA-ACC1-452E-A3B8-DA9645E8E098}"/>
    <cellStyle name="Normal 4 4 2 2 2 8" xfId="4756" xr:uid="{00000000-0005-0000-0000-0000F73C0000}"/>
    <cellStyle name="Normal 4 4 2 2 2 8 2" xfId="21626" xr:uid="{00000000-0005-0000-0000-0000F83C0000}"/>
    <cellStyle name="Normal 4 4 2 2 2 8 2 2" xfId="38494" xr:uid="{90373662-22FB-44AF-8CBB-972DE4B780A1}"/>
    <cellStyle name="Normal 4 4 2 2 2 8 3" xfId="13191" xr:uid="{00000000-0005-0000-0000-0000F93C0000}"/>
    <cellStyle name="Normal 4 4 2 2 2 8 4" xfId="30060" xr:uid="{456F7320-607B-4C42-A587-AD0A0F0DA679}"/>
    <cellStyle name="Normal 4 4 2 2 2 9" xfId="17408" xr:uid="{00000000-0005-0000-0000-0000FA3C0000}"/>
    <cellStyle name="Normal 4 4 2 2 2 9 2" xfId="34277" xr:uid="{55AC30E6-7746-4C86-B6A1-7816C93C7564}"/>
    <cellStyle name="Normal 4 4 2 2 3" xfId="383" xr:uid="{00000000-0005-0000-0000-0000FB3C0000}"/>
    <cellStyle name="Normal 4 4 2 2 3 10" xfId="25845" xr:uid="{178DCC04-AD5E-4FBD-A334-72265FDE8058}"/>
    <cellStyle name="Normal 4 4 2 2 3 2" xfId="858" xr:uid="{00000000-0005-0000-0000-0000FC3C0000}"/>
    <cellStyle name="Normal 4 4 2 2 3 2 2" xfId="3093" xr:uid="{00000000-0005-0000-0000-0000FD3C0000}"/>
    <cellStyle name="Normal 4 4 2 2 3 2 2 2" xfId="7316" xr:uid="{00000000-0005-0000-0000-0000FE3C0000}"/>
    <cellStyle name="Normal 4 4 2 2 3 2 2 2 2" xfId="24186" xr:uid="{00000000-0005-0000-0000-0000FF3C0000}"/>
    <cellStyle name="Normal 4 4 2 2 3 2 2 2 2 2" xfId="41054" xr:uid="{A821B47A-1E91-404F-8C64-9FCB6AB0D7DB}"/>
    <cellStyle name="Normal 4 4 2 2 3 2 2 2 3" xfId="15751" xr:uid="{00000000-0005-0000-0000-0000003D0000}"/>
    <cellStyle name="Normal 4 4 2 2 3 2 2 2 4" xfId="32620" xr:uid="{984AA630-7F35-4618-BB47-16449B7609A6}"/>
    <cellStyle name="Normal 4 4 2 2 3 2 2 3" xfId="19968" xr:uid="{00000000-0005-0000-0000-0000013D0000}"/>
    <cellStyle name="Normal 4 4 2 2 3 2 2 3 2" xfId="36837" xr:uid="{28AABB94-F015-4AE3-84DF-D4A74DBD57F9}"/>
    <cellStyle name="Normal 4 4 2 2 3 2 2 4" xfId="11533" xr:uid="{00000000-0005-0000-0000-0000023D0000}"/>
    <cellStyle name="Normal 4 4 2 2 3 2 2 5" xfId="28403" xr:uid="{36A465C6-3B0A-4615-84BF-8B29DEC97DC7}"/>
    <cellStyle name="Normal 4 4 2 2 3 2 3" xfId="5171" xr:uid="{00000000-0005-0000-0000-0000033D0000}"/>
    <cellStyle name="Normal 4 4 2 2 3 2 3 2" xfId="22041" xr:uid="{00000000-0005-0000-0000-0000043D0000}"/>
    <cellStyle name="Normal 4 4 2 2 3 2 3 2 2" xfId="38909" xr:uid="{E02D2ED3-A28F-45CA-AFA4-520CEAFE0664}"/>
    <cellStyle name="Normal 4 4 2 2 3 2 3 3" xfId="13606" xr:uid="{00000000-0005-0000-0000-0000053D0000}"/>
    <cellStyle name="Normal 4 4 2 2 3 2 3 4" xfId="30475" xr:uid="{8E086629-3D1D-4608-ACCA-A5068707CC74}"/>
    <cellStyle name="Normal 4 4 2 2 3 2 4" xfId="17823" xr:uid="{00000000-0005-0000-0000-0000063D0000}"/>
    <cellStyle name="Normal 4 4 2 2 3 2 4 2" xfId="34692" xr:uid="{31516520-454A-424B-89DD-EE025F915FEE}"/>
    <cellStyle name="Normal 4 4 2 2 3 2 5" xfId="9388" xr:uid="{00000000-0005-0000-0000-0000073D0000}"/>
    <cellStyle name="Normal 4 4 2 2 3 2 6" xfId="26258" xr:uid="{67094E1B-8053-499A-BA79-4570E0E05DD9}"/>
    <cellStyle name="Normal 4 4 2 2 3 3" xfId="1276" xr:uid="{00000000-0005-0000-0000-0000083D0000}"/>
    <cellStyle name="Normal 4 4 2 2 3 3 2" xfId="3506" xr:uid="{00000000-0005-0000-0000-0000093D0000}"/>
    <cellStyle name="Normal 4 4 2 2 3 3 2 2" xfId="7729" xr:uid="{00000000-0005-0000-0000-00000A3D0000}"/>
    <cellStyle name="Normal 4 4 2 2 3 3 2 2 2" xfId="24599" xr:uid="{00000000-0005-0000-0000-00000B3D0000}"/>
    <cellStyle name="Normal 4 4 2 2 3 3 2 2 2 2" xfId="41467" xr:uid="{95D44077-6DCE-4887-92B6-90F9E897B28A}"/>
    <cellStyle name="Normal 4 4 2 2 3 3 2 2 3" xfId="16164" xr:uid="{00000000-0005-0000-0000-00000C3D0000}"/>
    <cellStyle name="Normal 4 4 2 2 3 3 2 2 4" xfId="33033" xr:uid="{B33BC0B1-A153-4AF2-8998-CA1AD19BC78F}"/>
    <cellStyle name="Normal 4 4 2 2 3 3 2 3" xfId="20381" xr:uid="{00000000-0005-0000-0000-00000D3D0000}"/>
    <cellStyle name="Normal 4 4 2 2 3 3 2 3 2" xfId="37250" xr:uid="{DBC111DC-1305-4B24-B821-93C38461C670}"/>
    <cellStyle name="Normal 4 4 2 2 3 3 2 4" xfId="11946" xr:uid="{00000000-0005-0000-0000-00000E3D0000}"/>
    <cellStyle name="Normal 4 4 2 2 3 3 2 5" xfId="28816" xr:uid="{B7B6B152-ED5C-4B17-ABCC-7CBA81CFF2E5}"/>
    <cellStyle name="Normal 4 4 2 2 3 3 3" xfId="5584" xr:uid="{00000000-0005-0000-0000-00000F3D0000}"/>
    <cellStyle name="Normal 4 4 2 2 3 3 3 2" xfId="22454" xr:uid="{00000000-0005-0000-0000-0000103D0000}"/>
    <cellStyle name="Normal 4 4 2 2 3 3 3 2 2" xfId="39322" xr:uid="{0F6DD1B6-AAB7-4E4B-9048-02033843D062}"/>
    <cellStyle name="Normal 4 4 2 2 3 3 3 3" xfId="14019" xr:uid="{00000000-0005-0000-0000-0000113D0000}"/>
    <cellStyle name="Normal 4 4 2 2 3 3 3 4" xfId="30888" xr:uid="{2375FE0C-7309-4626-8B9A-E3A31DB597E2}"/>
    <cellStyle name="Normal 4 4 2 2 3 3 4" xfId="18236" xr:uid="{00000000-0005-0000-0000-0000123D0000}"/>
    <cellStyle name="Normal 4 4 2 2 3 3 4 2" xfId="35105" xr:uid="{0658246D-138B-4D5F-AB6A-3970F177A737}"/>
    <cellStyle name="Normal 4 4 2 2 3 3 5" xfId="9801" xr:uid="{00000000-0005-0000-0000-0000133D0000}"/>
    <cellStyle name="Normal 4 4 2 2 3 3 6" xfId="26671" xr:uid="{8B81B559-64C5-408E-A1E7-6390749434EF}"/>
    <cellStyle name="Normal 4 4 2 2 3 4" xfId="1689" xr:uid="{00000000-0005-0000-0000-0000143D0000}"/>
    <cellStyle name="Normal 4 4 2 2 3 4 2" xfId="3919" xr:uid="{00000000-0005-0000-0000-0000153D0000}"/>
    <cellStyle name="Normal 4 4 2 2 3 4 2 2" xfId="8142" xr:uid="{00000000-0005-0000-0000-0000163D0000}"/>
    <cellStyle name="Normal 4 4 2 2 3 4 2 2 2" xfId="25012" xr:uid="{00000000-0005-0000-0000-0000173D0000}"/>
    <cellStyle name="Normal 4 4 2 2 3 4 2 2 2 2" xfId="41880" xr:uid="{8C287348-EAD3-4FD3-AFCC-5714F55B89DC}"/>
    <cellStyle name="Normal 4 4 2 2 3 4 2 2 3" xfId="16577" xr:uid="{00000000-0005-0000-0000-0000183D0000}"/>
    <cellStyle name="Normal 4 4 2 2 3 4 2 2 4" xfId="33446" xr:uid="{EE565510-0C5C-4A7D-B1CF-29278B1E5247}"/>
    <cellStyle name="Normal 4 4 2 2 3 4 2 3" xfId="20794" xr:uid="{00000000-0005-0000-0000-0000193D0000}"/>
    <cellStyle name="Normal 4 4 2 2 3 4 2 3 2" xfId="37663" xr:uid="{7F61A218-8185-4B59-B692-A1017A684B6A}"/>
    <cellStyle name="Normal 4 4 2 2 3 4 2 4" xfId="12359" xr:uid="{00000000-0005-0000-0000-00001A3D0000}"/>
    <cellStyle name="Normal 4 4 2 2 3 4 2 5" xfId="29229" xr:uid="{A6CEA0CA-8BF3-48FE-A140-D1B1009FB71B}"/>
    <cellStyle name="Normal 4 4 2 2 3 4 3" xfId="5997" xr:uid="{00000000-0005-0000-0000-00001B3D0000}"/>
    <cellStyle name="Normal 4 4 2 2 3 4 3 2" xfId="22867" xr:uid="{00000000-0005-0000-0000-00001C3D0000}"/>
    <cellStyle name="Normal 4 4 2 2 3 4 3 2 2" xfId="39735" xr:uid="{FCAD234D-0D17-47DC-BBDA-6D8B4BE89663}"/>
    <cellStyle name="Normal 4 4 2 2 3 4 3 3" xfId="14432" xr:uid="{00000000-0005-0000-0000-00001D3D0000}"/>
    <cellStyle name="Normal 4 4 2 2 3 4 3 4" xfId="31301" xr:uid="{1B220B27-BBEE-49FF-9AD8-525EE6FCC954}"/>
    <cellStyle name="Normal 4 4 2 2 3 4 4" xfId="18649" xr:uid="{00000000-0005-0000-0000-00001E3D0000}"/>
    <cellStyle name="Normal 4 4 2 2 3 4 4 2" xfId="35518" xr:uid="{7A30974B-1F35-4C44-9A03-BD09BF6A105D}"/>
    <cellStyle name="Normal 4 4 2 2 3 4 5" xfId="10214" xr:uid="{00000000-0005-0000-0000-00001F3D0000}"/>
    <cellStyle name="Normal 4 4 2 2 3 4 6" xfId="27084" xr:uid="{D6DF93CD-33A9-4487-A24A-7F85E750F629}"/>
    <cellStyle name="Normal 4 4 2 2 3 5" xfId="2103" xr:uid="{00000000-0005-0000-0000-0000203D0000}"/>
    <cellStyle name="Normal 4 4 2 2 3 5 2" xfId="4332" xr:uid="{00000000-0005-0000-0000-0000213D0000}"/>
    <cellStyle name="Normal 4 4 2 2 3 5 2 2" xfId="8555" xr:uid="{00000000-0005-0000-0000-0000223D0000}"/>
    <cellStyle name="Normal 4 4 2 2 3 5 2 2 2" xfId="25425" xr:uid="{00000000-0005-0000-0000-0000233D0000}"/>
    <cellStyle name="Normal 4 4 2 2 3 5 2 2 2 2" xfId="42293" xr:uid="{C4F13223-8DBC-478F-A541-E9FEFC1F8FD8}"/>
    <cellStyle name="Normal 4 4 2 2 3 5 2 2 3" xfId="16990" xr:uid="{00000000-0005-0000-0000-0000243D0000}"/>
    <cellStyle name="Normal 4 4 2 2 3 5 2 2 4" xfId="33859" xr:uid="{5BDC21F6-D5AB-492E-BFC0-E507BCEE2F4B}"/>
    <cellStyle name="Normal 4 4 2 2 3 5 2 3" xfId="21207" xr:uid="{00000000-0005-0000-0000-0000253D0000}"/>
    <cellStyle name="Normal 4 4 2 2 3 5 2 3 2" xfId="38076" xr:uid="{7CED2E34-8080-40F6-BE51-5410896F8EB7}"/>
    <cellStyle name="Normal 4 4 2 2 3 5 2 4" xfId="12772" xr:uid="{00000000-0005-0000-0000-0000263D0000}"/>
    <cellStyle name="Normal 4 4 2 2 3 5 2 5" xfId="29642" xr:uid="{E3E166AB-DA71-4F14-8C40-36953D2ABBB3}"/>
    <cellStyle name="Normal 4 4 2 2 3 5 3" xfId="6410" xr:uid="{00000000-0005-0000-0000-0000273D0000}"/>
    <cellStyle name="Normal 4 4 2 2 3 5 3 2" xfId="23280" xr:uid="{00000000-0005-0000-0000-0000283D0000}"/>
    <cellStyle name="Normal 4 4 2 2 3 5 3 2 2" xfId="40148" xr:uid="{A31F507C-8655-4234-A18E-23A63AEB894E}"/>
    <cellStyle name="Normal 4 4 2 2 3 5 3 3" xfId="14845" xr:uid="{00000000-0005-0000-0000-0000293D0000}"/>
    <cellStyle name="Normal 4 4 2 2 3 5 3 4" xfId="31714" xr:uid="{1E3529B5-8FBD-43C8-BA29-7E3EFCE77C76}"/>
    <cellStyle name="Normal 4 4 2 2 3 5 4" xfId="19062" xr:uid="{00000000-0005-0000-0000-00002A3D0000}"/>
    <cellStyle name="Normal 4 4 2 2 3 5 4 2" xfId="35931" xr:uid="{F2FFFF3F-1AA4-4281-8A49-0E94372D7661}"/>
    <cellStyle name="Normal 4 4 2 2 3 5 5" xfId="10627" xr:uid="{00000000-0005-0000-0000-00002B3D0000}"/>
    <cellStyle name="Normal 4 4 2 2 3 5 6" xfId="27497" xr:uid="{C3F70531-C7B7-4E87-9DB9-3BFA7939157C}"/>
    <cellStyle name="Normal 4 4 2 2 3 6" xfId="2539" xr:uid="{00000000-0005-0000-0000-00002C3D0000}"/>
    <cellStyle name="Normal 4 4 2 2 3 6 2" xfId="6823" xr:uid="{00000000-0005-0000-0000-00002D3D0000}"/>
    <cellStyle name="Normal 4 4 2 2 3 6 2 2" xfId="23693" xr:uid="{00000000-0005-0000-0000-00002E3D0000}"/>
    <cellStyle name="Normal 4 4 2 2 3 6 2 2 2" xfId="40561" xr:uid="{BD9BA171-A9CC-4627-BC42-0EF8D6874840}"/>
    <cellStyle name="Normal 4 4 2 2 3 6 2 3" xfId="15258" xr:uid="{00000000-0005-0000-0000-00002F3D0000}"/>
    <cellStyle name="Normal 4 4 2 2 3 6 2 4" xfId="32127" xr:uid="{BDF61122-3C80-44CB-86FF-10F04E7E336F}"/>
    <cellStyle name="Normal 4 4 2 2 3 6 3" xfId="19475" xr:uid="{00000000-0005-0000-0000-0000303D0000}"/>
    <cellStyle name="Normal 4 4 2 2 3 6 3 2" xfId="36344" xr:uid="{1C9EA07C-5F3E-4173-A6B8-CF4B2A9B5427}"/>
    <cellStyle name="Normal 4 4 2 2 3 6 4" xfId="11040" xr:uid="{00000000-0005-0000-0000-0000313D0000}"/>
    <cellStyle name="Normal 4 4 2 2 3 6 5" xfId="27910" xr:uid="{3EF4AA3D-460C-4E75-8E31-A17CE9F2CF97}"/>
    <cellStyle name="Normal 4 4 2 2 3 7" xfId="4758" xr:uid="{00000000-0005-0000-0000-0000323D0000}"/>
    <cellStyle name="Normal 4 4 2 2 3 7 2" xfId="21628" xr:uid="{00000000-0005-0000-0000-0000333D0000}"/>
    <cellStyle name="Normal 4 4 2 2 3 7 2 2" xfId="38496" xr:uid="{21C7E669-78C0-4F88-A23E-C88F70B53F2F}"/>
    <cellStyle name="Normal 4 4 2 2 3 7 3" xfId="13193" xr:uid="{00000000-0005-0000-0000-0000343D0000}"/>
    <cellStyle name="Normal 4 4 2 2 3 7 4" xfId="30062" xr:uid="{9DA963BD-9846-4315-88EC-91BAD79EEFB5}"/>
    <cellStyle name="Normal 4 4 2 2 3 8" xfId="17410" xr:uid="{00000000-0005-0000-0000-0000353D0000}"/>
    <cellStyle name="Normal 4 4 2 2 3 8 2" xfId="34279" xr:uid="{3ACCE4BD-9B7E-40DF-8C6E-F3ED34DFDC04}"/>
    <cellStyle name="Normal 4 4 2 2 3 9" xfId="8975" xr:uid="{00000000-0005-0000-0000-0000363D0000}"/>
    <cellStyle name="Normal 4 4 2 2 4" xfId="855" xr:uid="{00000000-0005-0000-0000-0000373D0000}"/>
    <cellStyle name="Normal 4 4 2 2 4 2" xfId="3090" xr:uid="{00000000-0005-0000-0000-0000383D0000}"/>
    <cellStyle name="Normal 4 4 2 2 4 2 2" xfId="7313" xr:uid="{00000000-0005-0000-0000-0000393D0000}"/>
    <cellStyle name="Normal 4 4 2 2 4 2 2 2" xfId="24183" xr:uid="{00000000-0005-0000-0000-00003A3D0000}"/>
    <cellStyle name="Normal 4 4 2 2 4 2 2 2 2" xfId="41051" xr:uid="{98843AC3-4F3C-403F-BDA7-ED48A2A312C4}"/>
    <cellStyle name="Normal 4 4 2 2 4 2 2 3" xfId="15748" xr:uid="{00000000-0005-0000-0000-00003B3D0000}"/>
    <cellStyle name="Normal 4 4 2 2 4 2 2 4" xfId="32617" xr:uid="{C7E1F9C2-D431-4A9F-8610-E78DDAD7B5E2}"/>
    <cellStyle name="Normal 4 4 2 2 4 2 3" xfId="19965" xr:uid="{00000000-0005-0000-0000-00003C3D0000}"/>
    <cellStyle name="Normal 4 4 2 2 4 2 3 2" xfId="36834" xr:uid="{462427F0-0CAE-4825-9EA1-F3497470B77D}"/>
    <cellStyle name="Normal 4 4 2 2 4 2 4" xfId="11530" xr:uid="{00000000-0005-0000-0000-00003D3D0000}"/>
    <cellStyle name="Normal 4 4 2 2 4 2 5" xfId="28400" xr:uid="{CB5B4D30-5860-461F-A82C-4E362A23501D}"/>
    <cellStyle name="Normal 4 4 2 2 4 3" xfId="5168" xr:uid="{00000000-0005-0000-0000-00003E3D0000}"/>
    <cellStyle name="Normal 4 4 2 2 4 3 2" xfId="22038" xr:uid="{00000000-0005-0000-0000-00003F3D0000}"/>
    <cellStyle name="Normal 4 4 2 2 4 3 2 2" xfId="38906" xr:uid="{4B5783DC-0822-47CF-B718-A5FE86B0AFB2}"/>
    <cellStyle name="Normal 4 4 2 2 4 3 3" xfId="13603" xr:uid="{00000000-0005-0000-0000-0000403D0000}"/>
    <cellStyle name="Normal 4 4 2 2 4 3 4" xfId="30472" xr:uid="{DBA32B6C-58ED-4EFF-BFDE-0F15699476B4}"/>
    <cellStyle name="Normal 4 4 2 2 4 4" xfId="17820" xr:uid="{00000000-0005-0000-0000-0000413D0000}"/>
    <cellStyle name="Normal 4 4 2 2 4 4 2" xfId="34689" xr:uid="{1A3E9A0C-4AFE-4FBF-AED0-42CD24A5F271}"/>
    <cellStyle name="Normal 4 4 2 2 4 5" xfId="9385" xr:uid="{00000000-0005-0000-0000-0000423D0000}"/>
    <cellStyle name="Normal 4 4 2 2 4 6" xfId="26255" xr:uid="{0D9E8429-D741-4D60-AEBC-D5684DF0EFFC}"/>
    <cellStyle name="Normal 4 4 2 2 5" xfId="1273" xr:uid="{00000000-0005-0000-0000-0000433D0000}"/>
    <cellStyle name="Normal 4 4 2 2 5 2" xfId="3503" xr:uid="{00000000-0005-0000-0000-0000443D0000}"/>
    <cellStyle name="Normal 4 4 2 2 5 2 2" xfId="7726" xr:uid="{00000000-0005-0000-0000-0000453D0000}"/>
    <cellStyle name="Normal 4 4 2 2 5 2 2 2" xfId="24596" xr:uid="{00000000-0005-0000-0000-0000463D0000}"/>
    <cellStyle name="Normal 4 4 2 2 5 2 2 2 2" xfId="41464" xr:uid="{DD6CAF53-FF64-42C9-8F3D-DB466532822D}"/>
    <cellStyle name="Normal 4 4 2 2 5 2 2 3" xfId="16161" xr:uid="{00000000-0005-0000-0000-0000473D0000}"/>
    <cellStyle name="Normal 4 4 2 2 5 2 2 4" xfId="33030" xr:uid="{CE1EA874-2DAA-43BF-89DD-6D882281485C}"/>
    <cellStyle name="Normal 4 4 2 2 5 2 3" xfId="20378" xr:uid="{00000000-0005-0000-0000-0000483D0000}"/>
    <cellStyle name="Normal 4 4 2 2 5 2 3 2" xfId="37247" xr:uid="{23E86BC0-157C-4120-9A27-A0709B8D8BCC}"/>
    <cellStyle name="Normal 4 4 2 2 5 2 4" xfId="11943" xr:uid="{00000000-0005-0000-0000-0000493D0000}"/>
    <cellStyle name="Normal 4 4 2 2 5 2 5" xfId="28813" xr:uid="{258C43D2-5D30-46E1-8B5B-1487149FEF96}"/>
    <cellStyle name="Normal 4 4 2 2 5 3" xfId="5581" xr:uid="{00000000-0005-0000-0000-00004A3D0000}"/>
    <cellStyle name="Normal 4 4 2 2 5 3 2" xfId="22451" xr:uid="{00000000-0005-0000-0000-00004B3D0000}"/>
    <cellStyle name="Normal 4 4 2 2 5 3 2 2" xfId="39319" xr:uid="{E0793FE0-8DD4-4C08-A808-00BEBD5EAA5C}"/>
    <cellStyle name="Normal 4 4 2 2 5 3 3" xfId="14016" xr:uid="{00000000-0005-0000-0000-00004C3D0000}"/>
    <cellStyle name="Normal 4 4 2 2 5 3 4" xfId="30885" xr:uid="{7F6BA71F-7CF6-4776-8533-BB372C9095A0}"/>
    <cellStyle name="Normal 4 4 2 2 5 4" xfId="18233" xr:uid="{00000000-0005-0000-0000-00004D3D0000}"/>
    <cellStyle name="Normal 4 4 2 2 5 4 2" xfId="35102" xr:uid="{A8BC887E-5E4F-431F-B97E-AB0B617C8217}"/>
    <cellStyle name="Normal 4 4 2 2 5 5" xfId="9798" xr:uid="{00000000-0005-0000-0000-00004E3D0000}"/>
    <cellStyle name="Normal 4 4 2 2 5 6" xfId="26668" xr:uid="{E9FCFEFD-CBB5-4426-B122-AC6A4BC92B45}"/>
    <cellStyle name="Normal 4 4 2 2 6" xfId="1686" xr:uid="{00000000-0005-0000-0000-00004F3D0000}"/>
    <cellStyle name="Normal 4 4 2 2 6 2" xfId="3916" xr:uid="{00000000-0005-0000-0000-0000503D0000}"/>
    <cellStyle name="Normal 4 4 2 2 6 2 2" xfId="8139" xr:uid="{00000000-0005-0000-0000-0000513D0000}"/>
    <cellStyle name="Normal 4 4 2 2 6 2 2 2" xfId="25009" xr:uid="{00000000-0005-0000-0000-0000523D0000}"/>
    <cellStyle name="Normal 4 4 2 2 6 2 2 2 2" xfId="41877" xr:uid="{4C9A113E-9803-4F8B-AB69-521F38D50298}"/>
    <cellStyle name="Normal 4 4 2 2 6 2 2 3" xfId="16574" xr:uid="{00000000-0005-0000-0000-0000533D0000}"/>
    <cellStyle name="Normal 4 4 2 2 6 2 2 4" xfId="33443" xr:uid="{E4721C0F-9F2B-4AD7-813A-D9418304C59D}"/>
    <cellStyle name="Normal 4 4 2 2 6 2 3" xfId="20791" xr:uid="{00000000-0005-0000-0000-0000543D0000}"/>
    <cellStyle name="Normal 4 4 2 2 6 2 3 2" xfId="37660" xr:uid="{10BEA74E-9465-44A9-9C59-C1F4CDE0D320}"/>
    <cellStyle name="Normal 4 4 2 2 6 2 4" xfId="12356" xr:uid="{00000000-0005-0000-0000-0000553D0000}"/>
    <cellStyle name="Normal 4 4 2 2 6 2 5" xfId="29226" xr:uid="{6A41214E-ED91-4E0A-96DB-B57E6AE17174}"/>
    <cellStyle name="Normal 4 4 2 2 6 3" xfId="5994" xr:uid="{00000000-0005-0000-0000-0000563D0000}"/>
    <cellStyle name="Normal 4 4 2 2 6 3 2" xfId="22864" xr:uid="{00000000-0005-0000-0000-0000573D0000}"/>
    <cellStyle name="Normal 4 4 2 2 6 3 2 2" xfId="39732" xr:uid="{78FE3183-6144-4778-B1B6-F859AD7DD28E}"/>
    <cellStyle name="Normal 4 4 2 2 6 3 3" xfId="14429" xr:uid="{00000000-0005-0000-0000-0000583D0000}"/>
    <cellStyle name="Normal 4 4 2 2 6 3 4" xfId="31298" xr:uid="{4CFCCA42-8B48-4472-B229-D7A19D487C32}"/>
    <cellStyle name="Normal 4 4 2 2 6 4" xfId="18646" xr:uid="{00000000-0005-0000-0000-0000593D0000}"/>
    <cellStyle name="Normal 4 4 2 2 6 4 2" xfId="35515" xr:uid="{C2AF0B88-574C-4EFC-88CA-754F977BCB9E}"/>
    <cellStyle name="Normal 4 4 2 2 6 5" xfId="10211" xr:uid="{00000000-0005-0000-0000-00005A3D0000}"/>
    <cellStyle name="Normal 4 4 2 2 6 6" xfId="27081" xr:uid="{166CF796-0DFC-4225-9B6D-4EF77EF831C0}"/>
    <cellStyle name="Normal 4 4 2 2 7" xfId="2100" xr:uid="{00000000-0005-0000-0000-00005B3D0000}"/>
    <cellStyle name="Normal 4 4 2 2 7 2" xfId="4329" xr:uid="{00000000-0005-0000-0000-00005C3D0000}"/>
    <cellStyle name="Normal 4 4 2 2 7 2 2" xfId="8552" xr:uid="{00000000-0005-0000-0000-00005D3D0000}"/>
    <cellStyle name="Normal 4 4 2 2 7 2 2 2" xfId="25422" xr:uid="{00000000-0005-0000-0000-00005E3D0000}"/>
    <cellStyle name="Normal 4 4 2 2 7 2 2 2 2" xfId="42290" xr:uid="{98A89B27-E330-4EC6-A92C-504B34AA3419}"/>
    <cellStyle name="Normal 4 4 2 2 7 2 2 3" xfId="16987" xr:uid="{00000000-0005-0000-0000-00005F3D0000}"/>
    <cellStyle name="Normal 4 4 2 2 7 2 2 4" xfId="33856" xr:uid="{5E1C89F5-2E35-430F-BED8-F49D857AEF6F}"/>
    <cellStyle name="Normal 4 4 2 2 7 2 3" xfId="21204" xr:uid="{00000000-0005-0000-0000-0000603D0000}"/>
    <cellStyle name="Normal 4 4 2 2 7 2 3 2" xfId="38073" xr:uid="{09F1467B-749E-409A-B55C-8B853C7578E4}"/>
    <cellStyle name="Normal 4 4 2 2 7 2 4" xfId="12769" xr:uid="{00000000-0005-0000-0000-0000613D0000}"/>
    <cellStyle name="Normal 4 4 2 2 7 2 5" xfId="29639" xr:uid="{3600A5DC-A632-4598-9908-34A748ACD5C1}"/>
    <cellStyle name="Normal 4 4 2 2 7 3" xfId="6407" xr:uid="{00000000-0005-0000-0000-0000623D0000}"/>
    <cellStyle name="Normal 4 4 2 2 7 3 2" xfId="23277" xr:uid="{00000000-0005-0000-0000-0000633D0000}"/>
    <cellStyle name="Normal 4 4 2 2 7 3 2 2" xfId="40145" xr:uid="{C62F71FD-C2ED-416E-9E70-0A5588FC1336}"/>
    <cellStyle name="Normal 4 4 2 2 7 3 3" xfId="14842" xr:uid="{00000000-0005-0000-0000-0000643D0000}"/>
    <cellStyle name="Normal 4 4 2 2 7 3 4" xfId="31711" xr:uid="{23D94E8F-E1AA-48C6-B18A-789B9D9A8BE7}"/>
    <cellStyle name="Normal 4 4 2 2 7 4" xfId="19059" xr:uid="{00000000-0005-0000-0000-0000653D0000}"/>
    <cellStyle name="Normal 4 4 2 2 7 4 2" xfId="35928" xr:uid="{72575D22-CC73-4A10-A409-1A8BDD2B8142}"/>
    <cellStyle name="Normal 4 4 2 2 7 5" xfId="10624" xr:uid="{00000000-0005-0000-0000-0000663D0000}"/>
    <cellStyle name="Normal 4 4 2 2 7 6" xfId="27494" xr:uid="{E7680CF8-63EB-459F-8D18-AAB4AEA0A5CB}"/>
    <cellStyle name="Normal 4 4 2 2 8" xfId="2536" xr:uid="{00000000-0005-0000-0000-0000673D0000}"/>
    <cellStyle name="Normal 4 4 2 2 8 2" xfId="6820" xr:uid="{00000000-0005-0000-0000-0000683D0000}"/>
    <cellStyle name="Normal 4 4 2 2 8 2 2" xfId="23690" xr:uid="{00000000-0005-0000-0000-0000693D0000}"/>
    <cellStyle name="Normal 4 4 2 2 8 2 2 2" xfId="40558" xr:uid="{7EF04E53-8A4B-4617-96B1-CDCF6570806B}"/>
    <cellStyle name="Normal 4 4 2 2 8 2 3" xfId="15255" xr:uid="{00000000-0005-0000-0000-00006A3D0000}"/>
    <cellStyle name="Normal 4 4 2 2 8 2 4" xfId="32124" xr:uid="{88B8CEB7-48C5-4790-A189-59576F3BC229}"/>
    <cellStyle name="Normal 4 4 2 2 8 3" xfId="19472" xr:uid="{00000000-0005-0000-0000-00006B3D0000}"/>
    <cellStyle name="Normal 4 4 2 2 8 3 2" xfId="36341" xr:uid="{10C130C5-F912-44C2-B6F6-ADC6FE0A55E7}"/>
    <cellStyle name="Normal 4 4 2 2 8 4" xfId="11037" xr:uid="{00000000-0005-0000-0000-00006C3D0000}"/>
    <cellStyle name="Normal 4 4 2 2 8 5" xfId="27907" xr:uid="{0B9744B0-1CAA-4C4F-A4A7-0CF236549387}"/>
    <cellStyle name="Normal 4 4 2 2 9" xfId="4755" xr:uid="{00000000-0005-0000-0000-00006D3D0000}"/>
    <cellStyle name="Normal 4 4 2 2 9 2" xfId="21625" xr:uid="{00000000-0005-0000-0000-00006E3D0000}"/>
    <cellStyle name="Normal 4 4 2 2 9 2 2" xfId="38493" xr:uid="{FCA87B56-B23C-4EB1-8C6A-7914F4C03D4D}"/>
    <cellStyle name="Normal 4 4 2 2 9 3" xfId="13190" xr:uid="{00000000-0005-0000-0000-00006F3D0000}"/>
    <cellStyle name="Normal 4 4 2 2 9 4" xfId="30059" xr:uid="{77A19C54-8964-4A80-8E81-EE7240AC6C9A}"/>
    <cellStyle name="Normal 4 4 2 3" xfId="384" xr:uid="{00000000-0005-0000-0000-0000703D0000}"/>
    <cellStyle name="Normal 4 4 2 3 10" xfId="8976" xr:uid="{00000000-0005-0000-0000-0000713D0000}"/>
    <cellStyle name="Normal 4 4 2 3 11" xfId="25846" xr:uid="{AB9E09BF-1DE3-489A-886D-9B08D474F260}"/>
    <cellStyle name="Normal 4 4 2 3 2" xfId="385" xr:uid="{00000000-0005-0000-0000-0000723D0000}"/>
    <cellStyle name="Normal 4 4 2 3 2 10" xfId="25847" xr:uid="{FC8AFEFC-E50E-423A-902B-9F878AA0FC22}"/>
    <cellStyle name="Normal 4 4 2 3 2 2" xfId="860" xr:uid="{00000000-0005-0000-0000-0000733D0000}"/>
    <cellStyle name="Normal 4 4 2 3 2 2 2" xfId="3095" xr:uid="{00000000-0005-0000-0000-0000743D0000}"/>
    <cellStyle name="Normal 4 4 2 3 2 2 2 2" xfId="7318" xr:uid="{00000000-0005-0000-0000-0000753D0000}"/>
    <cellStyle name="Normal 4 4 2 3 2 2 2 2 2" xfId="24188" xr:uid="{00000000-0005-0000-0000-0000763D0000}"/>
    <cellStyle name="Normal 4 4 2 3 2 2 2 2 2 2" xfId="41056" xr:uid="{7B5A9CD2-9F93-48B9-9905-9D4D0D424996}"/>
    <cellStyle name="Normal 4 4 2 3 2 2 2 2 3" xfId="15753" xr:uid="{00000000-0005-0000-0000-0000773D0000}"/>
    <cellStyle name="Normal 4 4 2 3 2 2 2 2 4" xfId="32622" xr:uid="{C9EA8484-45A3-443F-A6FB-DC1B0F38F33E}"/>
    <cellStyle name="Normal 4 4 2 3 2 2 2 3" xfId="19970" xr:uid="{00000000-0005-0000-0000-0000783D0000}"/>
    <cellStyle name="Normal 4 4 2 3 2 2 2 3 2" xfId="36839" xr:uid="{3168C0BF-82ED-4F3B-A63E-7B39D105EBDE}"/>
    <cellStyle name="Normal 4 4 2 3 2 2 2 4" xfId="11535" xr:uid="{00000000-0005-0000-0000-0000793D0000}"/>
    <cellStyle name="Normal 4 4 2 3 2 2 2 5" xfId="28405" xr:uid="{DD12946B-11D1-47C1-9F4F-A31C3430F323}"/>
    <cellStyle name="Normal 4 4 2 3 2 2 3" xfId="5173" xr:uid="{00000000-0005-0000-0000-00007A3D0000}"/>
    <cellStyle name="Normal 4 4 2 3 2 2 3 2" xfId="22043" xr:uid="{00000000-0005-0000-0000-00007B3D0000}"/>
    <cellStyle name="Normal 4 4 2 3 2 2 3 2 2" xfId="38911" xr:uid="{0ED6849C-50E4-49E1-BAE5-8AED2571128B}"/>
    <cellStyle name="Normal 4 4 2 3 2 2 3 3" xfId="13608" xr:uid="{00000000-0005-0000-0000-00007C3D0000}"/>
    <cellStyle name="Normal 4 4 2 3 2 2 3 4" xfId="30477" xr:uid="{F39D22DE-28E6-466F-BB8C-F1068D997418}"/>
    <cellStyle name="Normal 4 4 2 3 2 2 4" xfId="17825" xr:uid="{00000000-0005-0000-0000-00007D3D0000}"/>
    <cellStyle name="Normal 4 4 2 3 2 2 4 2" xfId="34694" xr:uid="{301B7346-EEAE-4061-AC43-73338992D806}"/>
    <cellStyle name="Normal 4 4 2 3 2 2 5" xfId="9390" xr:uid="{00000000-0005-0000-0000-00007E3D0000}"/>
    <cellStyle name="Normal 4 4 2 3 2 2 6" xfId="26260" xr:uid="{074E79CB-72AB-4488-958F-E5529C218757}"/>
    <cellStyle name="Normal 4 4 2 3 2 3" xfId="1278" xr:uid="{00000000-0005-0000-0000-00007F3D0000}"/>
    <cellStyle name="Normal 4 4 2 3 2 3 2" xfId="3508" xr:uid="{00000000-0005-0000-0000-0000803D0000}"/>
    <cellStyle name="Normal 4 4 2 3 2 3 2 2" xfId="7731" xr:uid="{00000000-0005-0000-0000-0000813D0000}"/>
    <cellStyle name="Normal 4 4 2 3 2 3 2 2 2" xfId="24601" xr:uid="{00000000-0005-0000-0000-0000823D0000}"/>
    <cellStyle name="Normal 4 4 2 3 2 3 2 2 2 2" xfId="41469" xr:uid="{E81BDABC-D2AC-4558-B352-2B9807C6EECA}"/>
    <cellStyle name="Normal 4 4 2 3 2 3 2 2 3" xfId="16166" xr:uid="{00000000-0005-0000-0000-0000833D0000}"/>
    <cellStyle name="Normal 4 4 2 3 2 3 2 2 4" xfId="33035" xr:uid="{22E7457B-61D7-470E-A702-CF1AC37C68D7}"/>
    <cellStyle name="Normal 4 4 2 3 2 3 2 3" xfId="20383" xr:uid="{00000000-0005-0000-0000-0000843D0000}"/>
    <cellStyle name="Normal 4 4 2 3 2 3 2 3 2" xfId="37252" xr:uid="{461503E7-2D23-4150-8859-80555CB10DB5}"/>
    <cellStyle name="Normal 4 4 2 3 2 3 2 4" xfId="11948" xr:uid="{00000000-0005-0000-0000-0000853D0000}"/>
    <cellStyle name="Normal 4 4 2 3 2 3 2 5" xfId="28818" xr:uid="{43FDBBEB-2B74-4F9A-B64F-CD11E5050A1C}"/>
    <cellStyle name="Normal 4 4 2 3 2 3 3" xfId="5586" xr:uid="{00000000-0005-0000-0000-0000863D0000}"/>
    <cellStyle name="Normal 4 4 2 3 2 3 3 2" xfId="22456" xr:uid="{00000000-0005-0000-0000-0000873D0000}"/>
    <cellStyle name="Normal 4 4 2 3 2 3 3 2 2" xfId="39324" xr:uid="{F9A73D7E-3B61-4EF8-B09F-7501C4F71A27}"/>
    <cellStyle name="Normal 4 4 2 3 2 3 3 3" xfId="14021" xr:uid="{00000000-0005-0000-0000-0000883D0000}"/>
    <cellStyle name="Normal 4 4 2 3 2 3 3 4" xfId="30890" xr:uid="{8676B979-3AB8-44B1-BFAC-5BD936134CBC}"/>
    <cellStyle name="Normal 4 4 2 3 2 3 4" xfId="18238" xr:uid="{00000000-0005-0000-0000-0000893D0000}"/>
    <cellStyle name="Normal 4 4 2 3 2 3 4 2" xfId="35107" xr:uid="{08264477-2BD8-46F4-A8FE-30006A716A6F}"/>
    <cellStyle name="Normal 4 4 2 3 2 3 5" xfId="9803" xr:uid="{00000000-0005-0000-0000-00008A3D0000}"/>
    <cellStyle name="Normal 4 4 2 3 2 3 6" xfId="26673" xr:uid="{0F7809D1-7C15-4088-847E-8C965AC307C7}"/>
    <cellStyle name="Normal 4 4 2 3 2 4" xfId="1691" xr:uid="{00000000-0005-0000-0000-00008B3D0000}"/>
    <cellStyle name="Normal 4 4 2 3 2 4 2" xfId="3921" xr:uid="{00000000-0005-0000-0000-00008C3D0000}"/>
    <cellStyle name="Normal 4 4 2 3 2 4 2 2" xfId="8144" xr:uid="{00000000-0005-0000-0000-00008D3D0000}"/>
    <cellStyle name="Normal 4 4 2 3 2 4 2 2 2" xfId="25014" xr:uid="{00000000-0005-0000-0000-00008E3D0000}"/>
    <cellStyle name="Normal 4 4 2 3 2 4 2 2 2 2" xfId="41882" xr:uid="{E13BC07D-17B8-462D-83AD-560B479D3544}"/>
    <cellStyle name="Normal 4 4 2 3 2 4 2 2 3" xfId="16579" xr:uid="{00000000-0005-0000-0000-00008F3D0000}"/>
    <cellStyle name="Normal 4 4 2 3 2 4 2 2 4" xfId="33448" xr:uid="{7B4DFD4E-290B-4C80-ABCE-D8B4509B0109}"/>
    <cellStyle name="Normal 4 4 2 3 2 4 2 3" xfId="20796" xr:uid="{00000000-0005-0000-0000-0000903D0000}"/>
    <cellStyle name="Normal 4 4 2 3 2 4 2 3 2" xfId="37665" xr:uid="{5F788AE7-9237-4F63-AF72-0C50D52A44A1}"/>
    <cellStyle name="Normal 4 4 2 3 2 4 2 4" xfId="12361" xr:uid="{00000000-0005-0000-0000-0000913D0000}"/>
    <cellStyle name="Normal 4 4 2 3 2 4 2 5" xfId="29231" xr:uid="{7C2976BD-12C0-4B6E-9064-0B22E8F4396E}"/>
    <cellStyle name="Normal 4 4 2 3 2 4 3" xfId="5999" xr:uid="{00000000-0005-0000-0000-0000923D0000}"/>
    <cellStyle name="Normal 4 4 2 3 2 4 3 2" xfId="22869" xr:uid="{00000000-0005-0000-0000-0000933D0000}"/>
    <cellStyle name="Normal 4 4 2 3 2 4 3 2 2" xfId="39737" xr:uid="{4D20677F-69E5-4F46-844C-5A138847FFE3}"/>
    <cellStyle name="Normal 4 4 2 3 2 4 3 3" xfId="14434" xr:uid="{00000000-0005-0000-0000-0000943D0000}"/>
    <cellStyle name="Normal 4 4 2 3 2 4 3 4" xfId="31303" xr:uid="{5CF86B59-A99E-43CF-9BEB-ED7F6CC0B12B}"/>
    <cellStyle name="Normal 4 4 2 3 2 4 4" xfId="18651" xr:uid="{00000000-0005-0000-0000-0000953D0000}"/>
    <cellStyle name="Normal 4 4 2 3 2 4 4 2" xfId="35520" xr:uid="{A5C1B6A9-C343-4E51-934C-81F2A127DECF}"/>
    <cellStyle name="Normal 4 4 2 3 2 4 5" xfId="10216" xr:uid="{00000000-0005-0000-0000-0000963D0000}"/>
    <cellStyle name="Normal 4 4 2 3 2 4 6" xfId="27086" xr:uid="{CDF66CBE-594D-444A-B8D9-633217CF7713}"/>
    <cellStyle name="Normal 4 4 2 3 2 5" xfId="2105" xr:uid="{00000000-0005-0000-0000-0000973D0000}"/>
    <cellStyle name="Normal 4 4 2 3 2 5 2" xfId="4334" xr:uid="{00000000-0005-0000-0000-0000983D0000}"/>
    <cellStyle name="Normal 4 4 2 3 2 5 2 2" xfId="8557" xr:uid="{00000000-0005-0000-0000-0000993D0000}"/>
    <cellStyle name="Normal 4 4 2 3 2 5 2 2 2" xfId="25427" xr:uid="{00000000-0005-0000-0000-00009A3D0000}"/>
    <cellStyle name="Normal 4 4 2 3 2 5 2 2 2 2" xfId="42295" xr:uid="{6C87CBFE-D0DC-41D5-A12D-2693D81BBDF5}"/>
    <cellStyle name="Normal 4 4 2 3 2 5 2 2 3" xfId="16992" xr:uid="{00000000-0005-0000-0000-00009B3D0000}"/>
    <cellStyle name="Normal 4 4 2 3 2 5 2 2 4" xfId="33861" xr:uid="{D6B24485-1EF0-4495-9459-D741B62A0E8C}"/>
    <cellStyle name="Normal 4 4 2 3 2 5 2 3" xfId="21209" xr:uid="{00000000-0005-0000-0000-00009C3D0000}"/>
    <cellStyle name="Normal 4 4 2 3 2 5 2 3 2" xfId="38078" xr:uid="{099D3C97-0126-4A6A-9A67-E194D30D2743}"/>
    <cellStyle name="Normal 4 4 2 3 2 5 2 4" xfId="12774" xr:uid="{00000000-0005-0000-0000-00009D3D0000}"/>
    <cellStyle name="Normal 4 4 2 3 2 5 2 5" xfId="29644" xr:uid="{08A889F6-4EF9-4220-8B69-2A3C651FB2D9}"/>
    <cellStyle name="Normal 4 4 2 3 2 5 3" xfId="6412" xr:uid="{00000000-0005-0000-0000-00009E3D0000}"/>
    <cellStyle name="Normal 4 4 2 3 2 5 3 2" xfId="23282" xr:uid="{00000000-0005-0000-0000-00009F3D0000}"/>
    <cellStyle name="Normal 4 4 2 3 2 5 3 2 2" xfId="40150" xr:uid="{3B6E5576-E5CC-4645-B2FB-6F19AEBABE1C}"/>
    <cellStyle name="Normal 4 4 2 3 2 5 3 3" xfId="14847" xr:uid="{00000000-0005-0000-0000-0000A03D0000}"/>
    <cellStyle name="Normal 4 4 2 3 2 5 3 4" xfId="31716" xr:uid="{E1D4926C-63F4-4F2B-B77D-F453C4C2B9EF}"/>
    <cellStyle name="Normal 4 4 2 3 2 5 4" xfId="19064" xr:uid="{00000000-0005-0000-0000-0000A13D0000}"/>
    <cellStyle name="Normal 4 4 2 3 2 5 4 2" xfId="35933" xr:uid="{406B349C-5BFE-4F65-8612-2B14F2E7E4C5}"/>
    <cellStyle name="Normal 4 4 2 3 2 5 5" xfId="10629" xr:uid="{00000000-0005-0000-0000-0000A23D0000}"/>
    <cellStyle name="Normal 4 4 2 3 2 5 6" xfId="27499" xr:uid="{A3DD2EF4-B87D-431F-BBD6-7ACE62B9FA8A}"/>
    <cellStyle name="Normal 4 4 2 3 2 6" xfId="2541" xr:uid="{00000000-0005-0000-0000-0000A33D0000}"/>
    <cellStyle name="Normal 4 4 2 3 2 6 2" xfId="6825" xr:uid="{00000000-0005-0000-0000-0000A43D0000}"/>
    <cellStyle name="Normal 4 4 2 3 2 6 2 2" xfId="23695" xr:uid="{00000000-0005-0000-0000-0000A53D0000}"/>
    <cellStyle name="Normal 4 4 2 3 2 6 2 2 2" xfId="40563" xr:uid="{0609464B-A45A-4E72-88F2-1A44A651FB69}"/>
    <cellStyle name="Normal 4 4 2 3 2 6 2 3" xfId="15260" xr:uid="{00000000-0005-0000-0000-0000A63D0000}"/>
    <cellStyle name="Normal 4 4 2 3 2 6 2 4" xfId="32129" xr:uid="{CB2CBB94-AB8E-4051-AFDE-8E231D250519}"/>
    <cellStyle name="Normal 4 4 2 3 2 6 3" xfId="19477" xr:uid="{00000000-0005-0000-0000-0000A73D0000}"/>
    <cellStyle name="Normal 4 4 2 3 2 6 3 2" xfId="36346" xr:uid="{7C162E1C-F519-4702-AC9B-2062D26EE9EC}"/>
    <cellStyle name="Normal 4 4 2 3 2 6 4" xfId="11042" xr:uid="{00000000-0005-0000-0000-0000A83D0000}"/>
    <cellStyle name="Normal 4 4 2 3 2 6 5" xfId="27912" xr:uid="{EF521A3E-2804-4068-98BE-FFF1B7CD9013}"/>
    <cellStyle name="Normal 4 4 2 3 2 7" xfId="4760" xr:uid="{00000000-0005-0000-0000-0000A93D0000}"/>
    <cellStyle name="Normal 4 4 2 3 2 7 2" xfId="21630" xr:uid="{00000000-0005-0000-0000-0000AA3D0000}"/>
    <cellStyle name="Normal 4 4 2 3 2 7 2 2" xfId="38498" xr:uid="{F7877AB4-0210-4B0E-B70A-BA7D97781934}"/>
    <cellStyle name="Normal 4 4 2 3 2 7 3" xfId="13195" xr:uid="{00000000-0005-0000-0000-0000AB3D0000}"/>
    <cellStyle name="Normal 4 4 2 3 2 7 4" xfId="30064" xr:uid="{A3D2F96E-6BA2-46FB-9F6F-92163E44B021}"/>
    <cellStyle name="Normal 4 4 2 3 2 8" xfId="17412" xr:uid="{00000000-0005-0000-0000-0000AC3D0000}"/>
    <cellStyle name="Normal 4 4 2 3 2 8 2" xfId="34281" xr:uid="{82675CC7-2E7D-470C-BBF5-2CB2C39F777A}"/>
    <cellStyle name="Normal 4 4 2 3 2 9" xfId="8977" xr:uid="{00000000-0005-0000-0000-0000AD3D0000}"/>
    <cellStyle name="Normal 4 4 2 3 3" xfId="859" xr:uid="{00000000-0005-0000-0000-0000AE3D0000}"/>
    <cellStyle name="Normal 4 4 2 3 3 2" xfId="3094" xr:uid="{00000000-0005-0000-0000-0000AF3D0000}"/>
    <cellStyle name="Normal 4 4 2 3 3 2 2" xfId="7317" xr:uid="{00000000-0005-0000-0000-0000B03D0000}"/>
    <cellStyle name="Normal 4 4 2 3 3 2 2 2" xfId="24187" xr:uid="{00000000-0005-0000-0000-0000B13D0000}"/>
    <cellStyle name="Normal 4 4 2 3 3 2 2 2 2" xfId="41055" xr:uid="{6ABFEFAB-74AE-490C-91F6-5FF79A0C5488}"/>
    <cellStyle name="Normal 4 4 2 3 3 2 2 3" xfId="15752" xr:uid="{00000000-0005-0000-0000-0000B23D0000}"/>
    <cellStyle name="Normal 4 4 2 3 3 2 2 4" xfId="32621" xr:uid="{CB12A668-AAA3-4992-95DA-FEA23A2A7643}"/>
    <cellStyle name="Normal 4 4 2 3 3 2 3" xfId="19969" xr:uid="{00000000-0005-0000-0000-0000B33D0000}"/>
    <cellStyle name="Normal 4 4 2 3 3 2 3 2" xfId="36838" xr:uid="{D03B34AD-283C-4934-BD17-C15CC5358BE1}"/>
    <cellStyle name="Normal 4 4 2 3 3 2 4" xfId="11534" xr:uid="{00000000-0005-0000-0000-0000B43D0000}"/>
    <cellStyle name="Normal 4 4 2 3 3 2 5" xfId="28404" xr:uid="{4D1EB837-DAE3-4B7A-9267-103FA4BB2D76}"/>
    <cellStyle name="Normal 4 4 2 3 3 3" xfId="5172" xr:uid="{00000000-0005-0000-0000-0000B53D0000}"/>
    <cellStyle name="Normal 4 4 2 3 3 3 2" xfId="22042" xr:uid="{00000000-0005-0000-0000-0000B63D0000}"/>
    <cellStyle name="Normal 4 4 2 3 3 3 2 2" xfId="38910" xr:uid="{4413C50D-1682-4FD1-B490-31E2E007FF3A}"/>
    <cellStyle name="Normal 4 4 2 3 3 3 3" xfId="13607" xr:uid="{00000000-0005-0000-0000-0000B73D0000}"/>
    <cellStyle name="Normal 4 4 2 3 3 3 4" xfId="30476" xr:uid="{713DBDB0-7A07-435B-AEC9-B47D8224F3BE}"/>
    <cellStyle name="Normal 4 4 2 3 3 4" xfId="17824" xr:uid="{00000000-0005-0000-0000-0000B83D0000}"/>
    <cellStyle name="Normal 4 4 2 3 3 4 2" xfId="34693" xr:uid="{F1B1E48A-6B3B-4FCD-9F27-AC2113760E5A}"/>
    <cellStyle name="Normal 4 4 2 3 3 5" xfId="9389" xr:uid="{00000000-0005-0000-0000-0000B93D0000}"/>
    <cellStyle name="Normal 4 4 2 3 3 6" xfId="26259" xr:uid="{2E64BEEB-E19E-4319-91BB-6F92A8D32B9A}"/>
    <cellStyle name="Normal 4 4 2 3 4" xfId="1277" xr:uid="{00000000-0005-0000-0000-0000BA3D0000}"/>
    <cellStyle name="Normal 4 4 2 3 4 2" xfId="3507" xr:uid="{00000000-0005-0000-0000-0000BB3D0000}"/>
    <cellStyle name="Normal 4 4 2 3 4 2 2" xfId="7730" xr:uid="{00000000-0005-0000-0000-0000BC3D0000}"/>
    <cellStyle name="Normal 4 4 2 3 4 2 2 2" xfId="24600" xr:uid="{00000000-0005-0000-0000-0000BD3D0000}"/>
    <cellStyle name="Normal 4 4 2 3 4 2 2 2 2" xfId="41468" xr:uid="{62C52589-3F44-4C71-926B-B330AD48FB9C}"/>
    <cellStyle name="Normal 4 4 2 3 4 2 2 3" xfId="16165" xr:uid="{00000000-0005-0000-0000-0000BE3D0000}"/>
    <cellStyle name="Normal 4 4 2 3 4 2 2 4" xfId="33034" xr:uid="{A72EFB02-A395-457D-A4FC-B2134CD0BD4B}"/>
    <cellStyle name="Normal 4 4 2 3 4 2 3" xfId="20382" xr:uid="{00000000-0005-0000-0000-0000BF3D0000}"/>
    <cellStyle name="Normal 4 4 2 3 4 2 3 2" xfId="37251" xr:uid="{F0F4BCC9-33DB-4102-B450-1B25C09E1C1B}"/>
    <cellStyle name="Normal 4 4 2 3 4 2 4" xfId="11947" xr:uid="{00000000-0005-0000-0000-0000C03D0000}"/>
    <cellStyle name="Normal 4 4 2 3 4 2 5" xfId="28817" xr:uid="{799F21B1-8633-4A8E-BBDE-99D75682B7CB}"/>
    <cellStyle name="Normal 4 4 2 3 4 3" xfId="5585" xr:uid="{00000000-0005-0000-0000-0000C13D0000}"/>
    <cellStyle name="Normal 4 4 2 3 4 3 2" xfId="22455" xr:uid="{00000000-0005-0000-0000-0000C23D0000}"/>
    <cellStyle name="Normal 4 4 2 3 4 3 2 2" xfId="39323" xr:uid="{EE842BB9-267D-47D6-A5AA-D606E320D50B}"/>
    <cellStyle name="Normal 4 4 2 3 4 3 3" xfId="14020" xr:uid="{00000000-0005-0000-0000-0000C33D0000}"/>
    <cellStyle name="Normal 4 4 2 3 4 3 4" xfId="30889" xr:uid="{C68A031F-90FF-4972-BFF9-6E5ECA7B681A}"/>
    <cellStyle name="Normal 4 4 2 3 4 4" xfId="18237" xr:uid="{00000000-0005-0000-0000-0000C43D0000}"/>
    <cellStyle name="Normal 4 4 2 3 4 4 2" xfId="35106" xr:uid="{343EEF97-DD89-49DA-AC83-6503E6F7AA83}"/>
    <cellStyle name="Normal 4 4 2 3 4 5" xfId="9802" xr:uid="{00000000-0005-0000-0000-0000C53D0000}"/>
    <cellStyle name="Normal 4 4 2 3 4 6" xfId="26672" xr:uid="{ABB53610-9858-4178-8F41-D6277AC182A4}"/>
    <cellStyle name="Normal 4 4 2 3 5" xfId="1690" xr:uid="{00000000-0005-0000-0000-0000C63D0000}"/>
    <cellStyle name="Normal 4 4 2 3 5 2" xfId="3920" xr:uid="{00000000-0005-0000-0000-0000C73D0000}"/>
    <cellStyle name="Normal 4 4 2 3 5 2 2" xfId="8143" xr:uid="{00000000-0005-0000-0000-0000C83D0000}"/>
    <cellStyle name="Normal 4 4 2 3 5 2 2 2" xfId="25013" xr:uid="{00000000-0005-0000-0000-0000C93D0000}"/>
    <cellStyle name="Normal 4 4 2 3 5 2 2 2 2" xfId="41881" xr:uid="{E55EF77D-F093-49D8-AD8E-DB6513538B4A}"/>
    <cellStyle name="Normal 4 4 2 3 5 2 2 3" xfId="16578" xr:uid="{00000000-0005-0000-0000-0000CA3D0000}"/>
    <cellStyle name="Normal 4 4 2 3 5 2 2 4" xfId="33447" xr:uid="{91D0822A-5519-47AC-9269-DD25BB45BA28}"/>
    <cellStyle name="Normal 4 4 2 3 5 2 3" xfId="20795" xr:uid="{00000000-0005-0000-0000-0000CB3D0000}"/>
    <cellStyle name="Normal 4 4 2 3 5 2 3 2" xfId="37664" xr:uid="{8B8D6DF3-5D45-4C1E-9E05-8360C2B8FEBF}"/>
    <cellStyle name="Normal 4 4 2 3 5 2 4" xfId="12360" xr:uid="{00000000-0005-0000-0000-0000CC3D0000}"/>
    <cellStyle name="Normal 4 4 2 3 5 2 5" xfId="29230" xr:uid="{977BF596-AA87-4764-A491-A56BFFFAACDB}"/>
    <cellStyle name="Normal 4 4 2 3 5 3" xfId="5998" xr:uid="{00000000-0005-0000-0000-0000CD3D0000}"/>
    <cellStyle name="Normal 4 4 2 3 5 3 2" xfId="22868" xr:uid="{00000000-0005-0000-0000-0000CE3D0000}"/>
    <cellStyle name="Normal 4 4 2 3 5 3 2 2" xfId="39736" xr:uid="{B1414A89-69F1-4573-8292-3CBF448D5F3E}"/>
    <cellStyle name="Normal 4 4 2 3 5 3 3" xfId="14433" xr:uid="{00000000-0005-0000-0000-0000CF3D0000}"/>
    <cellStyle name="Normal 4 4 2 3 5 3 4" xfId="31302" xr:uid="{12F03CEB-5266-4282-8A37-833FE0B5EA75}"/>
    <cellStyle name="Normal 4 4 2 3 5 4" xfId="18650" xr:uid="{00000000-0005-0000-0000-0000D03D0000}"/>
    <cellStyle name="Normal 4 4 2 3 5 4 2" xfId="35519" xr:uid="{6E0CA31C-246F-403C-B808-1D40EE6A92BD}"/>
    <cellStyle name="Normal 4 4 2 3 5 5" xfId="10215" xr:uid="{00000000-0005-0000-0000-0000D13D0000}"/>
    <cellStyle name="Normal 4 4 2 3 5 6" xfId="27085" xr:uid="{1D6313D2-85B0-4BB7-827F-41A0C92AC831}"/>
    <cellStyle name="Normal 4 4 2 3 6" xfId="2104" xr:uid="{00000000-0005-0000-0000-0000D23D0000}"/>
    <cellStyle name="Normal 4 4 2 3 6 2" xfId="4333" xr:uid="{00000000-0005-0000-0000-0000D33D0000}"/>
    <cellStyle name="Normal 4 4 2 3 6 2 2" xfId="8556" xr:uid="{00000000-0005-0000-0000-0000D43D0000}"/>
    <cellStyle name="Normal 4 4 2 3 6 2 2 2" xfId="25426" xr:uid="{00000000-0005-0000-0000-0000D53D0000}"/>
    <cellStyle name="Normal 4 4 2 3 6 2 2 2 2" xfId="42294" xr:uid="{101DD81B-6607-409B-8719-EF44E346EA31}"/>
    <cellStyle name="Normal 4 4 2 3 6 2 2 3" xfId="16991" xr:uid="{00000000-0005-0000-0000-0000D63D0000}"/>
    <cellStyle name="Normal 4 4 2 3 6 2 2 4" xfId="33860" xr:uid="{5B2FFA36-8EA1-4645-8FF6-F652C81A857A}"/>
    <cellStyle name="Normal 4 4 2 3 6 2 3" xfId="21208" xr:uid="{00000000-0005-0000-0000-0000D73D0000}"/>
    <cellStyle name="Normal 4 4 2 3 6 2 3 2" xfId="38077" xr:uid="{0D63D30C-CF88-49EA-8008-51CCD0BA472D}"/>
    <cellStyle name="Normal 4 4 2 3 6 2 4" xfId="12773" xr:uid="{00000000-0005-0000-0000-0000D83D0000}"/>
    <cellStyle name="Normal 4 4 2 3 6 2 5" xfId="29643" xr:uid="{F91DDDAC-15EB-442D-A62D-C547A3227775}"/>
    <cellStyle name="Normal 4 4 2 3 6 3" xfId="6411" xr:uid="{00000000-0005-0000-0000-0000D93D0000}"/>
    <cellStyle name="Normal 4 4 2 3 6 3 2" xfId="23281" xr:uid="{00000000-0005-0000-0000-0000DA3D0000}"/>
    <cellStyle name="Normal 4 4 2 3 6 3 2 2" xfId="40149" xr:uid="{3361E5F6-EFC1-47B6-8D0B-75A88B74C9BA}"/>
    <cellStyle name="Normal 4 4 2 3 6 3 3" xfId="14846" xr:uid="{00000000-0005-0000-0000-0000DB3D0000}"/>
    <cellStyle name="Normal 4 4 2 3 6 3 4" xfId="31715" xr:uid="{8BEDF019-42CC-4021-BD1D-23FEB53F24C1}"/>
    <cellStyle name="Normal 4 4 2 3 6 4" xfId="19063" xr:uid="{00000000-0005-0000-0000-0000DC3D0000}"/>
    <cellStyle name="Normal 4 4 2 3 6 4 2" xfId="35932" xr:uid="{2B2A4FFA-CAD9-4F1E-954F-50FDB6891666}"/>
    <cellStyle name="Normal 4 4 2 3 6 5" xfId="10628" xr:uid="{00000000-0005-0000-0000-0000DD3D0000}"/>
    <cellStyle name="Normal 4 4 2 3 6 6" xfId="27498" xr:uid="{31107370-C495-441D-8363-27A62E86BF25}"/>
    <cellStyle name="Normal 4 4 2 3 7" xfId="2540" xr:uid="{00000000-0005-0000-0000-0000DE3D0000}"/>
    <cellStyle name="Normal 4 4 2 3 7 2" xfId="6824" xr:uid="{00000000-0005-0000-0000-0000DF3D0000}"/>
    <cellStyle name="Normal 4 4 2 3 7 2 2" xfId="23694" xr:uid="{00000000-0005-0000-0000-0000E03D0000}"/>
    <cellStyle name="Normal 4 4 2 3 7 2 2 2" xfId="40562" xr:uid="{E440AAB4-02D1-47A4-956E-EEC048B2DE96}"/>
    <cellStyle name="Normal 4 4 2 3 7 2 3" xfId="15259" xr:uid="{00000000-0005-0000-0000-0000E13D0000}"/>
    <cellStyle name="Normal 4 4 2 3 7 2 4" xfId="32128" xr:uid="{104677A4-6696-4957-B28D-BBF0C32260E7}"/>
    <cellStyle name="Normal 4 4 2 3 7 3" xfId="19476" xr:uid="{00000000-0005-0000-0000-0000E23D0000}"/>
    <cellStyle name="Normal 4 4 2 3 7 3 2" xfId="36345" xr:uid="{92235A42-7AF1-41DC-9E26-8150BB849134}"/>
    <cellStyle name="Normal 4 4 2 3 7 4" xfId="11041" xr:uid="{00000000-0005-0000-0000-0000E33D0000}"/>
    <cellStyle name="Normal 4 4 2 3 7 5" xfId="27911" xr:uid="{9C4A6D3F-4EE6-440D-A7EB-E6F65B5727F2}"/>
    <cellStyle name="Normal 4 4 2 3 8" xfId="4759" xr:uid="{00000000-0005-0000-0000-0000E43D0000}"/>
    <cellStyle name="Normal 4 4 2 3 8 2" xfId="21629" xr:uid="{00000000-0005-0000-0000-0000E53D0000}"/>
    <cellStyle name="Normal 4 4 2 3 8 2 2" xfId="38497" xr:uid="{BB4C5A0D-7DF1-468E-8381-9727251904AE}"/>
    <cellStyle name="Normal 4 4 2 3 8 3" xfId="13194" xr:uid="{00000000-0005-0000-0000-0000E63D0000}"/>
    <cellStyle name="Normal 4 4 2 3 8 4" xfId="30063" xr:uid="{3A7F8301-9F49-4E71-9356-0812E976D06D}"/>
    <cellStyle name="Normal 4 4 2 3 9" xfId="17411" xr:uid="{00000000-0005-0000-0000-0000E73D0000}"/>
    <cellStyle name="Normal 4 4 2 3 9 2" xfId="34280" xr:uid="{FA652E08-A837-44DF-ABAF-D77530EEA66A}"/>
    <cellStyle name="Normal 4 4 2 4" xfId="386" xr:uid="{00000000-0005-0000-0000-0000E83D0000}"/>
    <cellStyle name="Normal 4 4 2 4 10" xfId="25848" xr:uid="{64136497-D6F0-4E6F-B275-A7ED3DE5306A}"/>
    <cellStyle name="Normal 4 4 2 4 2" xfId="861" xr:uid="{00000000-0005-0000-0000-0000E93D0000}"/>
    <cellStyle name="Normal 4 4 2 4 2 2" xfId="3096" xr:uid="{00000000-0005-0000-0000-0000EA3D0000}"/>
    <cellStyle name="Normal 4 4 2 4 2 2 2" xfId="7319" xr:uid="{00000000-0005-0000-0000-0000EB3D0000}"/>
    <cellStyle name="Normal 4 4 2 4 2 2 2 2" xfId="24189" xr:uid="{00000000-0005-0000-0000-0000EC3D0000}"/>
    <cellStyle name="Normal 4 4 2 4 2 2 2 2 2" xfId="41057" xr:uid="{864BA620-3A27-40BD-8149-E617AF00F072}"/>
    <cellStyle name="Normal 4 4 2 4 2 2 2 3" xfId="15754" xr:uid="{00000000-0005-0000-0000-0000ED3D0000}"/>
    <cellStyle name="Normal 4 4 2 4 2 2 2 4" xfId="32623" xr:uid="{179B4F21-09B1-46ED-A792-851D411685D9}"/>
    <cellStyle name="Normal 4 4 2 4 2 2 3" xfId="19971" xr:uid="{00000000-0005-0000-0000-0000EE3D0000}"/>
    <cellStyle name="Normal 4 4 2 4 2 2 3 2" xfId="36840" xr:uid="{3FE95996-7824-46F5-A37C-77A955753D46}"/>
    <cellStyle name="Normal 4 4 2 4 2 2 4" xfId="11536" xr:uid="{00000000-0005-0000-0000-0000EF3D0000}"/>
    <cellStyle name="Normal 4 4 2 4 2 2 5" xfId="28406" xr:uid="{7320F49D-F6C2-4F82-8CE9-CB52E84B81E2}"/>
    <cellStyle name="Normal 4 4 2 4 2 3" xfId="5174" xr:uid="{00000000-0005-0000-0000-0000F03D0000}"/>
    <cellStyle name="Normal 4 4 2 4 2 3 2" xfId="22044" xr:uid="{00000000-0005-0000-0000-0000F13D0000}"/>
    <cellStyle name="Normal 4 4 2 4 2 3 2 2" xfId="38912" xr:uid="{C181F328-63A3-455C-B331-68E8BD2EF8F1}"/>
    <cellStyle name="Normal 4 4 2 4 2 3 3" xfId="13609" xr:uid="{00000000-0005-0000-0000-0000F23D0000}"/>
    <cellStyle name="Normal 4 4 2 4 2 3 4" xfId="30478" xr:uid="{C3B32B07-07CB-4388-9280-B1BE5155C123}"/>
    <cellStyle name="Normal 4 4 2 4 2 4" xfId="17826" xr:uid="{00000000-0005-0000-0000-0000F33D0000}"/>
    <cellStyle name="Normal 4 4 2 4 2 4 2" xfId="34695" xr:uid="{0E3F3EE7-6B3D-4BFF-B7B4-B2165EFF3610}"/>
    <cellStyle name="Normal 4 4 2 4 2 5" xfId="9391" xr:uid="{00000000-0005-0000-0000-0000F43D0000}"/>
    <cellStyle name="Normal 4 4 2 4 2 6" xfId="26261" xr:uid="{46973DB9-44A7-4701-8565-E4BA2245CD24}"/>
    <cellStyle name="Normal 4 4 2 4 3" xfId="1279" xr:uid="{00000000-0005-0000-0000-0000F53D0000}"/>
    <cellStyle name="Normal 4 4 2 4 3 2" xfId="3509" xr:uid="{00000000-0005-0000-0000-0000F63D0000}"/>
    <cellStyle name="Normal 4 4 2 4 3 2 2" xfId="7732" xr:uid="{00000000-0005-0000-0000-0000F73D0000}"/>
    <cellStyle name="Normal 4 4 2 4 3 2 2 2" xfId="24602" xr:uid="{00000000-0005-0000-0000-0000F83D0000}"/>
    <cellStyle name="Normal 4 4 2 4 3 2 2 2 2" xfId="41470" xr:uid="{BFA472B9-095A-4DEB-A1C6-5F49E7CA65B4}"/>
    <cellStyle name="Normal 4 4 2 4 3 2 2 3" xfId="16167" xr:uid="{00000000-0005-0000-0000-0000F93D0000}"/>
    <cellStyle name="Normal 4 4 2 4 3 2 2 4" xfId="33036" xr:uid="{2670669D-ECE4-49BF-8D20-D1E61FA3942A}"/>
    <cellStyle name="Normal 4 4 2 4 3 2 3" xfId="20384" xr:uid="{00000000-0005-0000-0000-0000FA3D0000}"/>
    <cellStyle name="Normal 4 4 2 4 3 2 3 2" xfId="37253" xr:uid="{5A10E20D-38E3-4858-9860-B52266160AFA}"/>
    <cellStyle name="Normal 4 4 2 4 3 2 4" xfId="11949" xr:uid="{00000000-0005-0000-0000-0000FB3D0000}"/>
    <cellStyle name="Normal 4 4 2 4 3 2 5" xfId="28819" xr:uid="{D373F462-8D94-4582-8BA1-2F678B5AA4D0}"/>
    <cellStyle name="Normal 4 4 2 4 3 3" xfId="5587" xr:uid="{00000000-0005-0000-0000-0000FC3D0000}"/>
    <cellStyle name="Normal 4 4 2 4 3 3 2" xfId="22457" xr:uid="{00000000-0005-0000-0000-0000FD3D0000}"/>
    <cellStyle name="Normal 4 4 2 4 3 3 2 2" xfId="39325" xr:uid="{5D99C68C-CAEA-4E65-B6C6-AB8B21E67F32}"/>
    <cellStyle name="Normal 4 4 2 4 3 3 3" xfId="14022" xr:uid="{00000000-0005-0000-0000-0000FE3D0000}"/>
    <cellStyle name="Normal 4 4 2 4 3 3 4" xfId="30891" xr:uid="{76DBD663-9A5E-46CE-BECD-4A7F793AC68C}"/>
    <cellStyle name="Normal 4 4 2 4 3 4" xfId="18239" xr:uid="{00000000-0005-0000-0000-0000FF3D0000}"/>
    <cellStyle name="Normal 4 4 2 4 3 4 2" xfId="35108" xr:uid="{B798713C-10ED-4B12-9122-E8F659EE41A8}"/>
    <cellStyle name="Normal 4 4 2 4 3 5" xfId="9804" xr:uid="{00000000-0005-0000-0000-0000003E0000}"/>
    <cellStyle name="Normal 4 4 2 4 3 6" xfId="26674" xr:uid="{FD0CD153-1609-4D6B-B338-71C87E6F12F3}"/>
    <cellStyle name="Normal 4 4 2 4 4" xfId="1692" xr:uid="{00000000-0005-0000-0000-0000013E0000}"/>
    <cellStyle name="Normal 4 4 2 4 4 2" xfId="3922" xr:uid="{00000000-0005-0000-0000-0000023E0000}"/>
    <cellStyle name="Normal 4 4 2 4 4 2 2" xfId="8145" xr:uid="{00000000-0005-0000-0000-0000033E0000}"/>
    <cellStyle name="Normal 4 4 2 4 4 2 2 2" xfId="25015" xr:uid="{00000000-0005-0000-0000-0000043E0000}"/>
    <cellStyle name="Normal 4 4 2 4 4 2 2 2 2" xfId="41883" xr:uid="{D5329075-DC43-4430-861A-963D32829660}"/>
    <cellStyle name="Normal 4 4 2 4 4 2 2 3" xfId="16580" xr:uid="{00000000-0005-0000-0000-0000053E0000}"/>
    <cellStyle name="Normal 4 4 2 4 4 2 2 4" xfId="33449" xr:uid="{41668879-7BA3-4B65-BA8A-21C66121ECFE}"/>
    <cellStyle name="Normal 4 4 2 4 4 2 3" xfId="20797" xr:uid="{00000000-0005-0000-0000-0000063E0000}"/>
    <cellStyle name="Normal 4 4 2 4 4 2 3 2" xfId="37666" xr:uid="{838C94E2-5891-444F-9375-8B52371CAB82}"/>
    <cellStyle name="Normal 4 4 2 4 4 2 4" xfId="12362" xr:uid="{00000000-0005-0000-0000-0000073E0000}"/>
    <cellStyle name="Normal 4 4 2 4 4 2 5" xfId="29232" xr:uid="{643EC584-1F9B-42D8-A7D7-B793E5D9D4A0}"/>
    <cellStyle name="Normal 4 4 2 4 4 3" xfId="6000" xr:uid="{00000000-0005-0000-0000-0000083E0000}"/>
    <cellStyle name="Normal 4 4 2 4 4 3 2" xfId="22870" xr:uid="{00000000-0005-0000-0000-0000093E0000}"/>
    <cellStyle name="Normal 4 4 2 4 4 3 2 2" xfId="39738" xr:uid="{A7A9F1BD-80D0-4AC7-B6E7-3654C29D740F}"/>
    <cellStyle name="Normal 4 4 2 4 4 3 3" xfId="14435" xr:uid="{00000000-0005-0000-0000-00000A3E0000}"/>
    <cellStyle name="Normal 4 4 2 4 4 3 4" xfId="31304" xr:uid="{28527FD9-5C86-46E6-8DE5-AD7CB5AB5EB4}"/>
    <cellStyle name="Normal 4 4 2 4 4 4" xfId="18652" xr:uid="{00000000-0005-0000-0000-00000B3E0000}"/>
    <cellStyle name="Normal 4 4 2 4 4 4 2" xfId="35521" xr:uid="{F8AFF1D1-320E-4CB4-A72F-115A9A421F80}"/>
    <cellStyle name="Normal 4 4 2 4 4 5" xfId="10217" xr:uid="{00000000-0005-0000-0000-00000C3E0000}"/>
    <cellStyle name="Normal 4 4 2 4 4 6" xfId="27087" xr:uid="{3980B954-6FBC-4BEC-8135-36943FE7A730}"/>
    <cellStyle name="Normal 4 4 2 4 5" xfId="2106" xr:uid="{00000000-0005-0000-0000-00000D3E0000}"/>
    <cellStyle name="Normal 4 4 2 4 5 2" xfId="4335" xr:uid="{00000000-0005-0000-0000-00000E3E0000}"/>
    <cellStyle name="Normal 4 4 2 4 5 2 2" xfId="8558" xr:uid="{00000000-0005-0000-0000-00000F3E0000}"/>
    <cellStyle name="Normal 4 4 2 4 5 2 2 2" xfId="25428" xr:uid="{00000000-0005-0000-0000-0000103E0000}"/>
    <cellStyle name="Normal 4 4 2 4 5 2 2 2 2" xfId="42296" xr:uid="{11842EF7-C467-4A04-B5B7-42AB9BA06E25}"/>
    <cellStyle name="Normal 4 4 2 4 5 2 2 3" xfId="16993" xr:uid="{00000000-0005-0000-0000-0000113E0000}"/>
    <cellStyle name="Normal 4 4 2 4 5 2 2 4" xfId="33862" xr:uid="{436EA3AD-6E26-4129-8CA1-88225AC5798B}"/>
    <cellStyle name="Normal 4 4 2 4 5 2 3" xfId="21210" xr:uid="{00000000-0005-0000-0000-0000123E0000}"/>
    <cellStyle name="Normal 4 4 2 4 5 2 3 2" xfId="38079" xr:uid="{59A0FFCA-5CE8-49B6-9515-EBCE133DF853}"/>
    <cellStyle name="Normal 4 4 2 4 5 2 4" xfId="12775" xr:uid="{00000000-0005-0000-0000-0000133E0000}"/>
    <cellStyle name="Normal 4 4 2 4 5 2 5" xfId="29645" xr:uid="{E388B170-1FD9-4028-8D13-5B04E53E9E14}"/>
    <cellStyle name="Normal 4 4 2 4 5 3" xfId="6413" xr:uid="{00000000-0005-0000-0000-0000143E0000}"/>
    <cellStyle name="Normal 4 4 2 4 5 3 2" xfId="23283" xr:uid="{00000000-0005-0000-0000-0000153E0000}"/>
    <cellStyle name="Normal 4 4 2 4 5 3 2 2" xfId="40151" xr:uid="{B9E13C46-4014-4B18-A420-C99F05591747}"/>
    <cellStyle name="Normal 4 4 2 4 5 3 3" xfId="14848" xr:uid="{00000000-0005-0000-0000-0000163E0000}"/>
    <cellStyle name="Normal 4 4 2 4 5 3 4" xfId="31717" xr:uid="{E883951D-C8E7-440F-BA7B-F496258A3B52}"/>
    <cellStyle name="Normal 4 4 2 4 5 4" xfId="19065" xr:uid="{00000000-0005-0000-0000-0000173E0000}"/>
    <cellStyle name="Normal 4 4 2 4 5 4 2" xfId="35934" xr:uid="{A5646270-7794-48D7-ABA1-DCD0063D8F48}"/>
    <cellStyle name="Normal 4 4 2 4 5 5" xfId="10630" xr:uid="{00000000-0005-0000-0000-0000183E0000}"/>
    <cellStyle name="Normal 4 4 2 4 5 6" xfId="27500" xr:uid="{14740BA7-DB55-42FD-8BEE-21C950B12B35}"/>
    <cellStyle name="Normal 4 4 2 4 6" xfId="2542" xr:uid="{00000000-0005-0000-0000-0000193E0000}"/>
    <cellStyle name="Normal 4 4 2 4 6 2" xfId="6826" xr:uid="{00000000-0005-0000-0000-00001A3E0000}"/>
    <cellStyle name="Normal 4 4 2 4 6 2 2" xfId="23696" xr:uid="{00000000-0005-0000-0000-00001B3E0000}"/>
    <cellStyle name="Normal 4 4 2 4 6 2 2 2" xfId="40564" xr:uid="{3FAA3590-8151-42D2-8AB1-E5B583D78A6C}"/>
    <cellStyle name="Normal 4 4 2 4 6 2 3" xfId="15261" xr:uid="{00000000-0005-0000-0000-00001C3E0000}"/>
    <cellStyle name="Normal 4 4 2 4 6 2 4" xfId="32130" xr:uid="{E77DE72E-1F21-4DA3-9C3C-D30F11343143}"/>
    <cellStyle name="Normal 4 4 2 4 6 3" xfId="19478" xr:uid="{00000000-0005-0000-0000-00001D3E0000}"/>
    <cellStyle name="Normal 4 4 2 4 6 3 2" xfId="36347" xr:uid="{C72B899F-44C2-48A4-B2E6-9ECC734116C3}"/>
    <cellStyle name="Normal 4 4 2 4 6 4" xfId="11043" xr:uid="{00000000-0005-0000-0000-00001E3E0000}"/>
    <cellStyle name="Normal 4 4 2 4 6 5" xfId="27913" xr:uid="{0191D589-EBE3-432F-AB76-8D88F27D031B}"/>
    <cellStyle name="Normal 4 4 2 4 7" xfId="4761" xr:uid="{00000000-0005-0000-0000-00001F3E0000}"/>
    <cellStyle name="Normal 4 4 2 4 7 2" xfId="21631" xr:uid="{00000000-0005-0000-0000-0000203E0000}"/>
    <cellStyle name="Normal 4 4 2 4 7 2 2" xfId="38499" xr:uid="{A1287294-7768-47C4-8B26-30A840BE4F06}"/>
    <cellStyle name="Normal 4 4 2 4 7 3" xfId="13196" xr:uid="{00000000-0005-0000-0000-0000213E0000}"/>
    <cellStyle name="Normal 4 4 2 4 7 4" xfId="30065" xr:uid="{DF1183AE-4F4D-42F3-AC79-B97F4E91BFC0}"/>
    <cellStyle name="Normal 4 4 2 4 8" xfId="17413" xr:uid="{00000000-0005-0000-0000-0000223E0000}"/>
    <cellStyle name="Normal 4 4 2 4 8 2" xfId="34282" xr:uid="{5E34E42D-E82C-476B-BF05-F2EDF2255539}"/>
    <cellStyle name="Normal 4 4 2 4 9" xfId="8978" xr:uid="{00000000-0005-0000-0000-0000233E0000}"/>
    <cellStyle name="Normal 4 4 2 5" xfId="854" xr:uid="{00000000-0005-0000-0000-0000243E0000}"/>
    <cellStyle name="Normal 4 4 2 5 2" xfId="3089" xr:uid="{00000000-0005-0000-0000-0000253E0000}"/>
    <cellStyle name="Normal 4 4 2 5 2 2" xfId="7312" xr:uid="{00000000-0005-0000-0000-0000263E0000}"/>
    <cellStyle name="Normal 4 4 2 5 2 2 2" xfId="24182" xr:uid="{00000000-0005-0000-0000-0000273E0000}"/>
    <cellStyle name="Normal 4 4 2 5 2 2 2 2" xfId="41050" xr:uid="{E9D74480-D058-4859-BCA2-AF554133C18C}"/>
    <cellStyle name="Normal 4 4 2 5 2 2 3" xfId="15747" xr:uid="{00000000-0005-0000-0000-0000283E0000}"/>
    <cellStyle name="Normal 4 4 2 5 2 2 4" xfId="32616" xr:uid="{00341285-6A25-4FA1-B362-D1319B5B1B94}"/>
    <cellStyle name="Normal 4 4 2 5 2 3" xfId="19964" xr:uid="{00000000-0005-0000-0000-0000293E0000}"/>
    <cellStyle name="Normal 4 4 2 5 2 3 2" xfId="36833" xr:uid="{00CAE70A-591A-454D-B510-939FBA633C5F}"/>
    <cellStyle name="Normal 4 4 2 5 2 4" xfId="11529" xr:uid="{00000000-0005-0000-0000-00002A3E0000}"/>
    <cellStyle name="Normal 4 4 2 5 2 5" xfId="28399" xr:uid="{A2401A9F-E069-48F3-A049-BDF6C661ABAD}"/>
    <cellStyle name="Normal 4 4 2 5 3" xfId="5167" xr:uid="{00000000-0005-0000-0000-00002B3E0000}"/>
    <cellStyle name="Normal 4 4 2 5 3 2" xfId="22037" xr:uid="{00000000-0005-0000-0000-00002C3E0000}"/>
    <cellStyle name="Normal 4 4 2 5 3 2 2" xfId="38905" xr:uid="{F93BD04A-3422-402D-BD76-4F52EFFE76EC}"/>
    <cellStyle name="Normal 4 4 2 5 3 3" xfId="13602" xr:uid="{00000000-0005-0000-0000-00002D3E0000}"/>
    <cellStyle name="Normal 4 4 2 5 3 4" xfId="30471" xr:uid="{29D75487-8015-4914-8277-A19F1B9E2E1E}"/>
    <cellStyle name="Normal 4 4 2 5 4" xfId="17819" xr:uid="{00000000-0005-0000-0000-00002E3E0000}"/>
    <cellStyle name="Normal 4 4 2 5 4 2" xfId="34688" xr:uid="{4A6EF6A0-EC46-44CC-811A-DDE1E69BD883}"/>
    <cellStyle name="Normal 4 4 2 5 5" xfId="9384" xr:uid="{00000000-0005-0000-0000-00002F3E0000}"/>
    <cellStyle name="Normal 4 4 2 5 6" xfId="26254" xr:uid="{EE997396-ECA0-4DA9-8B3F-8E221E0F62B6}"/>
    <cellStyle name="Normal 4 4 2 6" xfId="1272" xr:uid="{00000000-0005-0000-0000-0000303E0000}"/>
    <cellStyle name="Normal 4 4 2 6 2" xfId="3502" xr:uid="{00000000-0005-0000-0000-0000313E0000}"/>
    <cellStyle name="Normal 4 4 2 6 2 2" xfId="7725" xr:uid="{00000000-0005-0000-0000-0000323E0000}"/>
    <cellStyle name="Normal 4 4 2 6 2 2 2" xfId="24595" xr:uid="{00000000-0005-0000-0000-0000333E0000}"/>
    <cellStyle name="Normal 4 4 2 6 2 2 2 2" xfId="41463" xr:uid="{0BBE9C82-F798-4BAB-8E4F-13435331963D}"/>
    <cellStyle name="Normal 4 4 2 6 2 2 3" xfId="16160" xr:uid="{00000000-0005-0000-0000-0000343E0000}"/>
    <cellStyle name="Normal 4 4 2 6 2 2 4" xfId="33029" xr:uid="{C14C1A5C-298E-4ACA-BB69-A20DDB1B6D3A}"/>
    <cellStyle name="Normal 4 4 2 6 2 3" xfId="20377" xr:uid="{00000000-0005-0000-0000-0000353E0000}"/>
    <cellStyle name="Normal 4 4 2 6 2 3 2" xfId="37246" xr:uid="{CB17CE7E-074C-4AF2-AAA6-FA5C967524F3}"/>
    <cellStyle name="Normal 4 4 2 6 2 4" xfId="11942" xr:uid="{00000000-0005-0000-0000-0000363E0000}"/>
    <cellStyle name="Normal 4 4 2 6 2 5" xfId="28812" xr:uid="{1A9EF65D-E88F-4E63-8756-A43AB0AC30C6}"/>
    <cellStyle name="Normal 4 4 2 6 3" xfId="5580" xr:uid="{00000000-0005-0000-0000-0000373E0000}"/>
    <cellStyle name="Normal 4 4 2 6 3 2" xfId="22450" xr:uid="{00000000-0005-0000-0000-0000383E0000}"/>
    <cellStyle name="Normal 4 4 2 6 3 2 2" xfId="39318" xr:uid="{E037FA4B-3FB8-40C5-8942-2767FFB5CA65}"/>
    <cellStyle name="Normal 4 4 2 6 3 3" xfId="14015" xr:uid="{00000000-0005-0000-0000-0000393E0000}"/>
    <cellStyle name="Normal 4 4 2 6 3 4" xfId="30884" xr:uid="{BD753D56-81AB-491B-9CC3-9D3CB72ACFD2}"/>
    <cellStyle name="Normal 4 4 2 6 4" xfId="18232" xr:uid="{00000000-0005-0000-0000-00003A3E0000}"/>
    <cellStyle name="Normal 4 4 2 6 4 2" xfId="35101" xr:uid="{E7595A9A-1F4C-48A1-B233-A91D0C0F4E9A}"/>
    <cellStyle name="Normal 4 4 2 6 5" xfId="9797" xr:uid="{00000000-0005-0000-0000-00003B3E0000}"/>
    <cellStyle name="Normal 4 4 2 6 6" xfId="26667" xr:uid="{C6CD0EBC-64A6-4AF0-BDB0-ED894B1DE593}"/>
    <cellStyle name="Normal 4 4 2 7" xfId="1685" xr:uid="{00000000-0005-0000-0000-00003C3E0000}"/>
    <cellStyle name="Normal 4 4 2 7 2" xfId="3915" xr:uid="{00000000-0005-0000-0000-00003D3E0000}"/>
    <cellStyle name="Normal 4 4 2 7 2 2" xfId="8138" xr:uid="{00000000-0005-0000-0000-00003E3E0000}"/>
    <cellStyle name="Normal 4 4 2 7 2 2 2" xfId="25008" xr:uid="{00000000-0005-0000-0000-00003F3E0000}"/>
    <cellStyle name="Normal 4 4 2 7 2 2 2 2" xfId="41876" xr:uid="{7851AD47-3C8E-46BD-AD6D-6575763BD4F9}"/>
    <cellStyle name="Normal 4 4 2 7 2 2 3" xfId="16573" xr:uid="{00000000-0005-0000-0000-0000403E0000}"/>
    <cellStyle name="Normal 4 4 2 7 2 2 4" xfId="33442" xr:uid="{927AA653-6F04-45F0-A08B-29A5575ED45C}"/>
    <cellStyle name="Normal 4 4 2 7 2 3" xfId="20790" xr:uid="{00000000-0005-0000-0000-0000413E0000}"/>
    <cellStyle name="Normal 4 4 2 7 2 3 2" xfId="37659" xr:uid="{F3ECB2C3-0539-40F0-BDDC-929C9FD9AFE9}"/>
    <cellStyle name="Normal 4 4 2 7 2 4" xfId="12355" xr:uid="{00000000-0005-0000-0000-0000423E0000}"/>
    <cellStyle name="Normal 4 4 2 7 2 5" xfId="29225" xr:uid="{8ED45C31-42A2-4CFD-A10A-38CB9886FADD}"/>
    <cellStyle name="Normal 4 4 2 7 3" xfId="5993" xr:uid="{00000000-0005-0000-0000-0000433E0000}"/>
    <cellStyle name="Normal 4 4 2 7 3 2" xfId="22863" xr:uid="{00000000-0005-0000-0000-0000443E0000}"/>
    <cellStyle name="Normal 4 4 2 7 3 2 2" xfId="39731" xr:uid="{4D0C3F46-01D4-4980-B615-C8EAB0F02A3D}"/>
    <cellStyle name="Normal 4 4 2 7 3 3" xfId="14428" xr:uid="{00000000-0005-0000-0000-0000453E0000}"/>
    <cellStyle name="Normal 4 4 2 7 3 4" xfId="31297" xr:uid="{7738497D-6B37-4D06-9AE4-0944B886F912}"/>
    <cellStyle name="Normal 4 4 2 7 4" xfId="18645" xr:uid="{00000000-0005-0000-0000-0000463E0000}"/>
    <cellStyle name="Normal 4 4 2 7 4 2" xfId="35514" xr:uid="{88A2C09F-047A-4CF2-8F09-8911AABF99E3}"/>
    <cellStyle name="Normal 4 4 2 7 5" xfId="10210" xr:uid="{00000000-0005-0000-0000-0000473E0000}"/>
    <cellStyle name="Normal 4 4 2 7 6" xfId="27080" xr:uid="{EBFEAE4A-25C8-4DC0-9332-0E4E1096502C}"/>
    <cellStyle name="Normal 4 4 2 8" xfId="2099" xr:uid="{00000000-0005-0000-0000-0000483E0000}"/>
    <cellStyle name="Normal 4 4 2 8 2" xfId="4328" xr:uid="{00000000-0005-0000-0000-0000493E0000}"/>
    <cellStyle name="Normal 4 4 2 8 2 2" xfId="8551" xr:uid="{00000000-0005-0000-0000-00004A3E0000}"/>
    <cellStyle name="Normal 4 4 2 8 2 2 2" xfId="25421" xr:uid="{00000000-0005-0000-0000-00004B3E0000}"/>
    <cellStyle name="Normal 4 4 2 8 2 2 2 2" xfId="42289" xr:uid="{4F7440D5-8B23-4299-B9D0-23EC6CE69D31}"/>
    <cellStyle name="Normal 4 4 2 8 2 2 3" xfId="16986" xr:uid="{00000000-0005-0000-0000-00004C3E0000}"/>
    <cellStyle name="Normal 4 4 2 8 2 2 4" xfId="33855" xr:uid="{CDF42F7D-CCBE-46E0-8165-4F991B97A98A}"/>
    <cellStyle name="Normal 4 4 2 8 2 3" xfId="21203" xr:uid="{00000000-0005-0000-0000-00004D3E0000}"/>
    <cellStyle name="Normal 4 4 2 8 2 3 2" xfId="38072" xr:uid="{22209154-E037-474E-B5F5-4B7E8BF31662}"/>
    <cellStyle name="Normal 4 4 2 8 2 4" xfId="12768" xr:uid="{00000000-0005-0000-0000-00004E3E0000}"/>
    <cellStyle name="Normal 4 4 2 8 2 5" xfId="29638" xr:uid="{B39F73FC-4A50-4743-9D35-8AC5242C4A8D}"/>
    <cellStyle name="Normal 4 4 2 8 3" xfId="6406" xr:uid="{00000000-0005-0000-0000-00004F3E0000}"/>
    <cellStyle name="Normal 4 4 2 8 3 2" xfId="23276" xr:uid="{00000000-0005-0000-0000-0000503E0000}"/>
    <cellStyle name="Normal 4 4 2 8 3 2 2" xfId="40144" xr:uid="{C86C1C7E-53E3-4FBE-AAA1-98E3888321A8}"/>
    <cellStyle name="Normal 4 4 2 8 3 3" xfId="14841" xr:uid="{00000000-0005-0000-0000-0000513E0000}"/>
    <cellStyle name="Normal 4 4 2 8 3 4" xfId="31710" xr:uid="{F80CD030-0155-4C69-9B7F-71CB4C9E3296}"/>
    <cellStyle name="Normal 4 4 2 8 4" xfId="19058" xr:uid="{00000000-0005-0000-0000-0000523E0000}"/>
    <cellStyle name="Normal 4 4 2 8 4 2" xfId="35927" xr:uid="{597A8911-3A6B-4463-8B0F-1129C9F3D4F7}"/>
    <cellStyle name="Normal 4 4 2 8 5" xfId="10623" xr:uid="{00000000-0005-0000-0000-0000533E0000}"/>
    <cellStyle name="Normal 4 4 2 8 6" xfId="27493" xr:uid="{EB523397-A865-46DE-B693-B172F3C3E537}"/>
    <cellStyle name="Normal 4 4 2 9" xfId="2535" xr:uid="{00000000-0005-0000-0000-0000543E0000}"/>
    <cellStyle name="Normal 4 4 2 9 2" xfId="6819" xr:uid="{00000000-0005-0000-0000-0000553E0000}"/>
    <cellStyle name="Normal 4 4 2 9 2 2" xfId="23689" xr:uid="{00000000-0005-0000-0000-0000563E0000}"/>
    <cellStyle name="Normal 4 4 2 9 2 2 2" xfId="40557" xr:uid="{CE15AFD2-F9F8-484C-B21B-8B10E1850076}"/>
    <cellStyle name="Normal 4 4 2 9 2 3" xfId="15254" xr:uid="{00000000-0005-0000-0000-0000573E0000}"/>
    <cellStyle name="Normal 4 4 2 9 2 4" xfId="32123" xr:uid="{54868A58-AFEE-4F8F-B845-B1D23C9E930F}"/>
    <cellStyle name="Normal 4 4 2 9 3" xfId="19471" xr:uid="{00000000-0005-0000-0000-0000583E0000}"/>
    <cellStyle name="Normal 4 4 2 9 3 2" xfId="36340" xr:uid="{B587706C-A968-4314-BC92-A8B271327B80}"/>
    <cellStyle name="Normal 4 4 2 9 4" xfId="11036" xr:uid="{00000000-0005-0000-0000-0000593E0000}"/>
    <cellStyle name="Normal 4 4 2 9 5" xfId="27906" xr:uid="{62F88404-FC54-4B09-B64A-F61EA7DEAA6A}"/>
    <cellStyle name="Normal 4 4 3" xfId="387" xr:uid="{00000000-0005-0000-0000-00005A3E0000}"/>
    <cellStyle name="Normal 4 4 3 10" xfId="17414" xr:uid="{00000000-0005-0000-0000-00005B3E0000}"/>
    <cellStyle name="Normal 4 4 3 10 2" xfId="34283" xr:uid="{D4D356D3-D76B-465B-A09D-F86F5F06F321}"/>
    <cellStyle name="Normal 4 4 3 11" xfId="8979" xr:uid="{00000000-0005-0000-0000-00005C3E0000}"/>
    <cellStyle name="Normal 4 4 3 12" xfId="25849" xr:uid="{32BD9B72-FC31-4CA5-9735-05F40B877D7B}"/>
    <cellStyle name="Normal 4 4 3 2" xfId="388" xr:uid="{00000000-0005-0000-0000-00005D3E0000}"/>
    <cellStyle name="Normal 4 4 3 2 10" xfId="8980" xr:uid="{00000000-0005-0000-0000-00005E3E0000}"/>
    <cellStyle name="Normal 4 4 3 2 11" xfId="25850" xr:uid="{87FF49DC-5EF2-4D02-BE46-F56109B4E2E7}"/>
    <cellStyle name="Normal 4 4 3 2 2" xfId="389" xr:uid="{00000000-0005-0000-0000-00005F3E0000}"/>
    <cellStyle name="Normal 4 4 3 2 2 10" xfId="25851" xr:uid="{D9F7A476-72F6-4A8D-AFC2-0C68401FE95C}"/>
    <cellStyle name="Normal 4 4 3 2 2 2" xfId="864" xr:uid="{00000000-0005-0000-0000-0000603E0000}"/>
    <cellStyle name="Normal 4 4 3 2 2 2 2" xfId="3099" xr:uid="{00000000-0005-0000-0000-0000613E0000}"/>
    <cellStyle name="Normal 4 4 3 2 2 2 2 2" xfId="7322" xr:uid="{00000000-0005-0000-0000-0000623E0000}"/>
    <cellStyle name="Normal 4 4 3 2 2 2 2 2 2" xfId="24192" xr:uid="{00000000-0005-0000-0000-0000633E0000}"/>
    <cellStyle name="Normal 4 4 3 2 2 2 2 2 2 2" xfId="41060" xr:uid="{7C0BBE98-AF71-4DDB-89C5-047828032198}"/>
    <cellStyle name="Normal 4 4 3 2 2 2 2 2 3" xfId="15757" xr:uid="{00000000-0005-0000-0000-0000643E0000}"/>
    <cellStyle name="Normal 4 4 3 2 2 2 2 2 4" xfId="32626" xr:uid="{153D11EF-2A21-4061-B37D-83F52E9615D5}"/>
    <cellStyle name="Normal 4 4 3 2 2 2 2 3" xfId="19974" xr:uid="{00000000-0005-0000-0000-0000653E0000}"/>
    <cellStyle name="Normal 4 4 3 2 2 2 2 3 2" xfId="36843" xr:uid="{0B554099-8E52-48AC-9196-15B23591E995}"/>
    <cellStyle name="Normal 4 4 3 2 2 2 2 4" xfId="11539" xr:uid="{00000000-0005-0000-0000-0000663E0000}"/>
    <cellStyle name="Normal 4 4 3 2 2 2 2 5" xfId="28409" xr:uid="{41A3B4B4-E13B-410F-A245-FCC650026BA2}"/>
    <cellStyle name="Normal 4 4 3 2 2 2 3" xfId="5177" xr:uid="{00000000-0005-0000-0000-0000673E0000}"/>
    <cellStyle name="Normal 4 4 3 2 2 2 3 2" xfId="22047" xr:uid="{00000000-0005-0000-0000-0000683E0000}"/>
    <cellStyle name="Normal 4 4 3 2 2 2 3 2 2" xfId="38915" xr:uid="{42361AA3-495F-46BD-A058-05585FC93172}"/>
    <cellStyle name="Normal 4 4 3 2 2 2 3 3" xfId="13612" xr:uid="{00000000-0005-0000-0000-0000693E0000}"/>
    <cellStyle name="Normal 4 4 3 2 2 2 3 4" xfId="30481" xr:uid="{DB4A7CC0-6AE2-485D-B14A-EEAC76D57C08}"/>
    <cellStyle name="Normal 4 4 3 2 2 2 4" xfId="17829" xr:uid="{00000000-0005-0000-0000-00006A3E0000}"/>
    <cellStyle name="Normal 4 4 3 2 2 2 4 2" xfId="34698" xr:uid="{9C8BBD53-9DED-4E2D-845D-43BBB199C1B8}"/>
    <cellStyle name="Normal 4 4 3 2 2 2 5" xfId="9394" xr:uid="{00000000-0005-0000-0000-00006B3E0000}"/>
    <cellStyle name="Normal 4 4 3 2 2 2 6" xfId="26264" xr:uid="{1387724B-CEE4-4150-A620-7519258ABE5C}"/>
    <cellStyle name="Normal 4 4 3 2 2 3" xfId="1282" xr:uid="{00000000-0005-0000-0000-00006C3E0000}"/>
    <cellStyle name="Normal 4 4 3 2 2 3 2" xfId="3512" xr:uid="{00000000-0005-0000-0000-00006D3E0000}"/>
    <cellStyle name="Normal 4 4 3 2 2 3 2 2" xfId="7735" xr:uid="{00000000-0005-0000-0000-00006E3E0000}"/>
    <cellStyle name="Normal 4 4 3 2 2 3 2 2 2" xfId="24605" xr:uid="{00000000-0005-0000-0000-00006F3E0000}"/>
    <cellStyle name="Normal 4 4 3 2 2 3 2 2 2 2" xfId="41473" xr:uid="{CD926426-A3E4-4E1A-9F6D-7662614C8A6F}"/>
    <cellStyle name="Normal 4 4 3 2 2 3 2 2 3" xfId="16170" xr:uid="{00000000-0005-0000-0000-0000703E0000}"/>
    <cellStyle name="Normal 4 4 3 2 2 3 2 2 4" xfId="33039" xr:uid="{4C0C35E5-02B9-47F8-A408-7C7E27B612E5}"/>
    <cellStyle name="Normal 4 4 3 2 2 3 2 3" xfId="20387" xr:uid="{00000000-0005-0000-0000-0000713E0000}"/>
    <cellStyle name="Normal 4 4 3 2 2 3 2 3 2" xfId="37256" xr:uid="{6BFDD8DD-D28D-4C28-B153-7E98D2DD54BD}"/>
    <cellStyle name="Normal 4 4 3 2 2 3 2 4" xfId="11952" xr:uid="{00000000-0005-0000-0000-0000723E0000}"/>
    <cellStyle name="Normal 4 4 3 2 2 3 2 5" xfId="28822" xr:uid="{4BA939B8-F0D5-4812-9EEC-6266BF1209F5}"/>
    <cellStyle name="Normal 4 4 3 2 2 3 3" xfId="5590" xr:uid="{00000000-0005-0000-0000-0000733E0000}"/>
    <cellStyle name="Normal 4 4 3 2 2 3 3 2" xfId="22460" xr:uid="{00000000-0005-0000-0000-0000743E0000}"/>
    <cellStyle name="Normal 4 4 3 2 2 3 3 2 2" xfId="39328" xr:uid="{0EC54760-69A1-4AFC-B7C7-AA0A9303DB32}"/>
    <cellStyle name="Normal 4 4 3 2 2 3 3 3" xfId="14025" xr:uid="{00000000-0005-0000-0000-0000753E0000}"/>
    <cellStyle name="Normal 4 4 3 2 2 3 3 4" xfId="30894" xr:uid="{7FE5389C-4269-4132-8DC2-A4FF26C4B2D0}"/>
    <cellStyle name="Normal 4 4 3 2 2 3 4" xfId="18242" xr:uid="{00000000-0005-0000-0000-0000763E0000}"/>
    <cellStyle name="Normal 4 4 3 2 2 3 4 2" xfId="35111" xr:uid="{A427ADA9-76BA-4BD8-8618-71B45C3A35A3}"/>
    <cellStyle name="Normal 4 4 3 2 2 3 5" xfId="9807" xr:uid="{00000000-0005-0000-0000-0000773E0000}"/>
    <cellStyle name="Normal 4 4 3 2 2 3 6" xfId="26677" xr:uid="{D72B9A68-F012-421F-A9CA-0591E06B99C3}"/>
    <cellStyle name="Normal 4 4 3 2 2 4" xfId="1695" xr:uid="{00000000-0005-0000-0000-0000783E0000}"/>
    <cellStyle name="Normal 4 4 3 2 2 4 2" xfId="3925" xr:uid="{00000000-0005-0000-0000-0000793E0000}"/>
    <cellStyle name="Normal 4 4 3 2 2 4 2 2" xfId="8148" xr:uid="{00000000-0005-0000-0000-00007A3E0000}"/>
    <cellStyle name="Normal 4 4 3 2 2 4 2 2 2" xfId="25018" xr:uid="{00000000-0005-0000-0000-00007B3E0000}"/>
    <cellStyle name="Normal 4 4 3 2 2 4 2 2 2 2" xfId="41886" xr:uid="{0B55228E-E898-41BC-B122-6B028E12706F}"/>
    <cellStyle name="Normal 4 4 3 2 2 4 2 2 3" xfId="16583" xr:uid="{00000000-0005-0000-0000-00007C3E0000}"/>
    <cellStyle name="Normal 4 4 3 2 2 4 2 2 4" xfId="33452" xr:uid="{4FEEA2BD-53AA-4959-BF29-98EAFD1914D8}"/>
    <cellStyle name="Normal 4 4 3 2 2 4 2 3" xfId="20800" xr:uid="{00000000-0005-0000-0000-00007D3E0000}"/>
    <cellStyle name="Normal 4 4 3 2 2 4 2 3 2" xfId="37669" xr:uid="{D23ED93F-0880-4444-8063-09E1C893A66D}"/>
    <cellStyle name="Normal 4 4 3 2 2 4 2 4" xfId="12365" xr:uid="{00000000-0005-0000-0000-00007E3E0000}"/>
    <cellStyle name="Normal 4 4 3 2 2 4 2 5" xfId="29235" xr:uid="{91C6720E-226A-4AD3-B42E-47B5B5754B07}"/>
    <cellStyle name="Normal 4 4 3 2 2 4 3" xfId="6003" xr:uid="{00000000-0005-0000-0000-00007F3E0000}"/>
    <cellStyle name="Normal 4 4 3 2 2 4 3 2" xfId="22873" xr:uid="{00000000-0005-0000-0000-0000803E0000}"/>
    <cellStyle name="Normal 4 4 3 2 2 4 3 2 2" xfId="39741" xr:uid="{AAB038C1-2813-4A76-A95A-3004A501A1B1}"/>
    <cellStyle name="Normal 4 4 3 2 2 4 3 3" xfId="14438" xr:uid="{00000000-0005-0000-0000-0000813E0000}"/>
    <cellStyle name="Normal 4 4 3 2 2 4 3 4" xfId="31307" xr:uid="{AE306BBC-B855-49D4-9018-35F125357A81}"/>
    <cellStyle name="Normal 4 4 3 2 2 4 4" xfId="18655" xr:uid="{00000000-0005-0000-0000-0000823E0000}"/>
    <cellStyle name="Normal 4 4 3 2 2 4 4 2" xfId="35524" xr:uid="{C66871E3-A48D-4C12-8D46-6CEE534EC247}"/>
    <cellStyle name="Normal 4 4 3 2 2 4 5" xfId="10220" xr:uid="{00000000-0005-0000-0000-0000833E0000}"/>
    <cellStyle name="Normal 4 4 3 2 2 4 6" xfId="27090" xr:uid="{39875FE4-4719-469F-B067-1B58CFEF4687}"/>
    <cellStyle name="Normal 4 4 3 2 2 5" xfId="2109" xr:uid="{00000000-0005-0000-0000-0000843E0000}"/>
    <cellStyle name="Normal 4 4 3 2 2 5 2" xfId="4338" xr:uid="{00000000-0005-0000-0000-0000853E0000}"/>
    <cellStyle name="Normal 4 4 3 2 2 5 2 2" xfId="8561" xr:uid="{00000000-0005-0000-0000-0000863E0000}"/>
    <cellStyle name="Normal 4 4 3 2 2 5 2 2 2" xfId="25431" xr:uid="{00000000-0005-0000-0000-0000873E0000}"/>
    <cellStyle name="Normal 4 4 3 2 2 5 2 2 2 2" xfId="42299" xr:uid="{BACD0947-1EFE-47D2-B769-ECD59BE33B42}"/>
    <cellStyle name="Normal 4 4 3 2 2 5 2 2 3" xfId="16996" xr:uid="{00000000-0005-0000-0000-0000883E0000}"/>
    <cellStyle name="Normal 4 4 3 2 2 5 2 2 4" xfId="33865" xr:uid="{A373C47A-5AC4-41F0-AFFE-97D121F4384F}"/>
    <cellStyle name="Normal 4 4 3 2 2 5 2 3" xfId="21213" xr:uid="{00000000-0005-0000-0000-0000893E0000}"/>
    <cellStyle name="Normal 4 4 3 2 2 5 2 3 2" xfId="38082" xr:uid="{216CB54F-C9E6-412A-AC20-8E757A944011}"/>
    <cellStyle name="Normal 4 4 3 2 2 5 2 4" xfId="12778" xr:uid="{00000000-0005-0000-0000-00008A3E0000}"/>
    <cellStyle name="Normal 4 4 3 2 2 5 2 5" xfId="29648" xr:uid="{F815D3C3-94C2-4327-B529-71481CAF465B}"/>
    <cellStyle name="Normal 4 4 3 2 2 5 3" xfId="6416" xr:uid="{00000000-0005-0000-0000-00008B3E0000}"/>
    <cellStyle name="Normal 4 4 3 2 2 5 3 2" xfId="23286" xr:uid="{00000000-0005-0000-0000-00008C3E0000}"/>
    <cellStyle name="Normal 4 4 3 2 2 5 3 2 2" xfId="40154" xr:uid="{86CE6490-298A-4381-B06F-32DCC566AC80}"/>
    <cellStyle name="Normal 4 4 3 2 2 5 3 3" xfId="14851" xr:uid="{00000000-0005-0000-0000-00008D3E0000}"/>
    <cellStyle name="Normal 4 4 3 2 2 5 3 4" xfId="31720" xr:uid="{45515DFA-B27E-42A1-9A0D-C70B5C5A13D4}"/>
    <cellStyle name="Normal 4 4 3 2 2 5 4" xfId="19068" xr:uid="{00000000-0005-0000-0000-00008E3E0000}"/>
    <cellStyle name="Normal 4 4 3 2 2 5 4 2" xfId="35937" xr:uid="{C3F8A2EB-FADA-4A9D-BE67-2DFB3F315DB4}"/>
    <cellStyle name="Normal 4 4 3 2 2 5 5" xfId="10633" xr:uid="{00000000-0005-0000-0000-00008F3E0000}"/>
    <cellStyle name="Normal 4 4 3 2 2 5 6" xfId="27503" xr:uid="{5D047835-9DF0-481F-A41B-4370AB00F6AD}"/>
    <cellStyle name="Normal 4 4 3 2 2 6" xfId="2545" xr:uid="{00000000-0005-0000-0000-0000903E0000}"/>
    <cellStyle name="Normal 4 4 3 2 2 6 2" xfId="6829" xr:uid="{00000000-0005-0000-0000-0000913E0000}"/>
    <cellStyle name="Normal 4 4 3 2 2 6 2 2" xfId="23699" xr:uid="{00000000-0005-0000-0000-0000923E0000}"/>
    <cellStyle name="Normal 4 4 3 2 2 6 2 2 2" xfId="40567" xr:uid="{89E96FE6-7C82-4A75-8698-9345FB40AC07}"/>
    <cellStyle name="Normal 4 4 3 2 2 6 2 3" xfId="15264" xr:uid="{00000000-0005-0000-0000-0000933E0000}"/>
    <cellStyle name="Normal 4 4 3 2 2 6 2 4" xfId="32133" xr:uid="{D0B559E6-EC2A-4DEC-8BFF-9ADAEA362D26}"/>
    <cellStyle name="Normal 4 4 3 2 2 6 3" xfId="19481" xr:uid="{00000000-0005-0000-0000-0000943E0000}"/>
    <cellStyle name="Normal 4 4 3 2 2 6 3 2" xfId="36350" xr:uid="{62B0021F-CA7E-4A55-9C87-31C68167164B}"/>
    <cellStyle name="Normal 4 4 3 2 2 6 4" xfId="11046" xr:uid="{00000000-0005-0000-0000-0000953E0000}"/>
    <cellStyle name="Normal 4 4 3 2 2 6 5" xfId="27916" xr:uid="{95175A66-451B-446B-AFC2-C7B5B0EC707B}"/>
    <cellStyle name="Normal 4 4 3 2 2 7" xfId="4764" xr:uid="{00000000-0005-0000-0000-0000963E0000}"/>
    <cellStyle name="Normal 4 4 3 2 2 7 2" xfId="21634" xr:uid="{00000000-0005-0000-0000-0000973E0000}"/>
    <cellStyle name="Normal 4 4 3 2 2 7 2 2" xfId="38502" xr:uid="{1B2B31E6-4485-4A03-A7CB-CD8E8F5A3063}"/>
    <cellStyle name="Normal 4 4 3 2 2 7 3" xfId="13199" xr:uid="{00000000-0005-0000-0000-0000983E0000}"/>
    <cellStyle name="Normal 4 4 3 2 2 7 4" xfId="30068" xr:uid="{82354FD2-9F89-42D7-AB2F-7C735A2781EC}"/>
    <cellStyle name="Normal 4 4 3 2 2 8" xfId="17416" xr:uid="{00000000-0005-0000-0000-0000993E0000}"/>
    <cellStyle name="Normal 4 4 3 2 2 8 2" xfId="34285" xr:uid="{1085079A-FE01-4CBA-8D74-E3764E26DE61}"/>
    <cellStyle name="Normal 4 4 3 2 2 9" xfId="8981" xr:uid="{00000000-0005-0000-0000-00009A3E0000}"/>
    <cellStyle name="Normal 4 4 3 2 3" xfId="863" xr:uid="{00000000-0005-0000-0000-00009B3E0000}"/>
    <cellStyle name="Normal 4 4 3 2 3 2" xfId="3098" xr:uid="{00000000-0005-0000-0000-00009C3E0000}"/>
    <cellStyle name="Normal 4 4 3 2 3 2 2" xfId="7321" xr:uid="{00000000-0005-0000-0000-00009D3E0000}"/>
    <cellStyle name="Normal 4 4 3 2 3 2 2 2" xfId="24191" xr:uid="{00000000-0005-0000-0000-00009E3E0000}"/>
    <cellStyle name="Normal 4 4 3 2 3 2 2 2 2" xfId="41059" xr:uid="{60D39021-2DC7-4924-BBD0-9B20A0B9DD4F}"/>
    <cellStyle name="Normal 4 4 3 2 3 2 2 3" xfId="15756" xr:uid="{00000000-0005-0000-0000-00009F3E0000}"/>
    <cellStyle name="Normal 4 4 3 2 3 2 2 4" xfId="32625" xr:uid="{AB885EEA-91A5-4795-9BA6-77BADCF9A19D}"/>
    <cellStyle name="Normal 4 4 3 2 3 2 3" xfId="19973" xr:uid="{00000000-0005-0000-0000-0000A03E0000}"/>
    <cellStyle name="Normal 4 4 3 2 3 2 3 2" xfId="36842" xr:uid="{F35A7C8B-F545-4552-93D5-19F6BDEA67B1}"/>
    <cellStyle name="Normal 4 4 3 2 3 2 4" xfId="11538" xr:uid="{00000000-0005-0000-0000-0000A13E0000}"/>
    <cellStyle name="Normal 4 4 3 2 3 2 5" xfId="28408" xr:uid="{76FCEB7A-BEC4-498E-8304-C64E061D2A97}"/>
    <cellStyle name="Normal 4 4 3 2 3 3" xfId="5176" xr:uid="{00000000-0005-0000-0000-0000A23E0000}"/>
    <cellStyle name="Normal 4 4 3 2 3 3 2" xfId="22046" xr:uid="{00000000-0005-0000-0000-0000A33E0000}"/>
    <cellStyle name="Normal 4 4 3 2 3 3 2 2" xfId="38914" xr:uid="{C4F287BA-EA90-4B37-BC37-154BD588C609}"/>
    <cellStyle name="Normal 4 4 3 2 3 3 3" xfId="13611" xr:uid="{00000000-0005-0000-0000-0000A43E0000}"/>
    <cellStyle name="Normal 4 4 3 2 3 3 4" xfId="30480" xr:uid="{266EBC9E-A5ED-4AC4-B3D0-43B36AE8614B}"/>
    <cellStyle name="Normal 4 4 3 2 3 4" xfId="17828" xr:uid="{00000000-0005-0000-0000-0000A53E0000}"/>
    <cellStyle name="Normal 4 4 3 2 3 4 2" xfId="34697" xr:uid="{993D22C8-5B8A-42E7-94E1-CD111CBE8964}"/>
    <cellStyle name="Normal 4 4 3 2 3 5" xfId="9393" xr:uid="{00000000-0005-0000-0000-0000A63E0000}"/>
    <cellStyle name="Normal 4 4 3 2 3 6" xfId="26263" xr:uid="{718AFB07-740A-4116-A3B6-AE700F64036F}"/>
    <cellStyle name="Normal 4 4 3 2 4" xfId="1281" xr:uid="{00000000-0005-0000-0000-0000A73E0000}"/>
    <cellStyle name="Normal 4 4 3 2 4 2" xfId="3511" xr:uid="{00000000-0005-0000-0000-0000A83E0000}"/>
    <cellStyle name="Normal 4 4 3 2 4 2 2" xfId="7734" xr:uid="{00000000-0005-0000-0000-0000A93E0000}"/>
    <cellStyle name="Normal 4 4 3 2 4 2 2 2" xfId="24604" xr:uid="{00000000-0005-0000-0000-0000AA3E0000}"/>
    <cellStyle name="Normal 4 4 3 2 4 2 2 2 2" xfId="41472" xr:uid="{ADFCB080-613B-49BA-995D-82982377CC00}"/>
    <cellStyle name="Normal 4 4 3 2 4 2 2 3" xfId="16169" xr:uid="{00000000-0005-0000-0000-0000AB3E0000}"/>
    <cellStyle name="Normal 4 4 3 2 4 2 2 4" xfId="33038" xr:uid="{C77677E5-5214-4566-BFA2-770A7AC6289E}"/>
    <cellStyle name="Normal 4 4 3 2 4 2 3" xfId="20386" xr:uid="{00000000-0005-0000-0000-0000AC3E0000}"/>
    <cellStyle name="Normal 4 4 3 2 4 2 3 2" xfId="37255" xr:uid="{0D58A960-31C6-4378-91FA-A8E4F4E9E7D6}"/>
    <cellStyle name="Normal 4 4 3 2 4 2 4" xfId="11951" xr:uid="{00000000-0005-0000-0000-0000AD3E0000}"/>
    <cellStyle name="Normal 4 4 3 2 4 2 5" xfId="28821" xr:uid="{F0C02249-AB0E-425F-8159-A51871E27F8A}"/>
    <cellStyle name="Normal 4 4 3 2 4 3" xfId="5589" xr:uid="{00000000-0005-0000-0000-0000AE3E0000}"/>
    <cellStyle name="Normal 4 4 3 2 4 3 2" xfId="22459" xr:uid="{00000000-0005-0000-0000-0000AF3E0000}"/>
    <cellStyle name="Normal 4 4 3 2 4 3 2 2" xfId="39327" xr:uid="{ACA01E28-B320-4824-9E8F-F8896E1A0564}"/>
    <cellStyle name="Normal 4 4 3 2 4 3 3" xfId="14024" xr:uid="{00000000-0005-0000-0000-0000B03E0000}"/>
    <cellStyle name="Normal 4 4 3 2 4 3 4" xfId="30893" xr:uid="{F44AEB4E-8DD9-4F83-ACD6-563A22C8BABD}"/>
    <cellStyle name="Normal 4 4 3 2 4 4" xfId="18241" xr:uid="{00000000-0005-0000-0000-0000B13E0000}"/>
    <cellStyle name="Normal 4 4 3 2 4 4 2" xfId="35110" xr:uid="{C0A8563B-7FFD-4CD0-B1BE-E5F07F501229}"/>
    <cellStyle name="Normal 4 4 3 2 4 5" xfId="9806" xr:uid="{00000000-0005-0000-0000-0000B23E0000}"/>
    <cellStyle name="Normal 4 4 3 2 4 6" xfId="26676" xr:uid="{7BAEAF4B-7496-4583-8E55-20EE3FEA9030}"/>
    <cellStyle name="Normal 4 4 3 2 5" xfId="1694" xr:uid="{00000000-0005-0000-0000-0000B33E0000}"/>
    <cellStyle name="Normal 4 4 3 2 5 2" xfId="3924" xr:uid="{00000000-0005-0000-0000-0000B43E0000}"/>
    <cellStyle name="Normal 4 4 3 2 5 2 2" xfId="8147" xr:uid="{00000000-0005-0000-0000-0000B53E0000}"/>
    <cellStyle name="Normal 4 4 3 2 5 2 2 2" xfId="25017" xr:uid="{00000000-0005-0000-0000-0000B63E0000}"/>
    <cellStyle name="Normal 4 4 3 2 5 2 2 2 2" xfId="41885" xr:uid="{E29F6201-B008-4ECA-9FB9-02EF3DAF0F68}"/>
    <cellStyle name="Normal 4 4 3 2 5 2 2 3" xfId="16582" xr:uid="{00000000-0005-0000-0000-0000B73E0000}"/>
    <cellStyle name="Normal 4 4 3 2 5 2 2 4" xfId="33451" xr:uid="{E3206F3A-0A3D-4D98-9DB2-FAF32E9A96FB}"/>
    <cellStyle name="Normal 4 4 3 2 5 2 3" xfId="20799" xr:uid="{00000000-0005-0000-0000-0000B83E0000}"/>
    <cellStyle name="Normal 4 4 3 2 5 2 3 2" xfId="37668" xr:uid="{DFAC1ABB-BBAA-4772-AA28-DCBEF9D11BD8}"/>
    <cellStyle name="Normal 4 4 3 2 5 2 4" xfId="12364" xr:uid="{00000000-0005-0000-0000-0000B93E0000}"/>
    <cellStyle name="Normal 4 4 3 2 5 2 5" xfId="29234" xr:uid="{9DE0D897-57C0-455B-8997-587D0BFE56C8}"/>
    <cellStyle name="Normal 4 4 3 2 5 3" xfId="6002" xr:uid="{00000000-0005-0000-0000-0000BA3E0000}"/>
    <cellStyle name="Normal 4 4 3 2 5 3 2" xfId="22872" xr:uid="{00000000-0005-0000-0000-0000BB3E0000}"/>
    <cellStyle name="Normal 4 4 3 2 5 3 2 2" xfId="39740" xr:uid="{34EB4309-E557-4F49-88F5-0A91CDE886CD}"/>
    <cellStyle name="Normal 4 4 3 2 5 3 3" xfId="14437" xr:uid="{00000000-0005-0000-0000-0000BC3E0000}"/>
    <cellStyle name="Normal 4 4 3 2 5 3 4" xfId="31306" xr:uid="{23BA8083-FC09-4E87-99CC-A4FF6C83FA6C}"/>
    <cellStyle name="Normal 4 4 3 2 5 4" xfId="18654" xr:uid="{00000000-0005-0000-0000-0000BD3E0000}"/>
    <cellStyle name="Normal 4 4 3 2 5 4 2" xfId="35523" xr:uid="{54C57BD8-B318-4BBE-879E-86801F21AA99}"/>
    <cellStyle name="Normal 4 4 3 2 5 5" xfId="10219" xr:uid="{00000000-0005-0000-0000-0000BE3E0000}"/>
    <cellStyle name="Normal 4 4 3 2 5 6" xfId="27089" xr:uid="{85524AA9-8E43-4402-BFA5-CFD559FEDA50}"/>
    <cellStyle name="Normal 4 4 3 2 6" xfId="2108" xr:uid="{00000000-0005-0000-0000-0000BF3E0000}"/>
    <cellStyle name="Normal 4 4 3 2 6 2" xfId="4337" xr:uid="{00000000-0005-0000-0000-0000C03E0000}"/>
    <cellStyle name="Normal 4 4 3 2 6 2 2" xfId="8560" xr:uid="{00000000-0005-0000-0000-0000C13E0000}"/>
    <cellStyle name="Normal 4 4 3 2 6 2 2 2" xfId="25430" xr:uid="{00000000-0005-0000-0000-0000C23E0000}"/>
    <cellStyle name="Normal 4 4 3 2 6 2 2 2 2" xfId="42298" xr:uid="{BAF82854-A62D-400C-AA1A-5C87466A3872}"/>
    <cellStyle name="Normal 4 4 3 2 6 2 2 3" xfId="16995" xr:uid="{00000000-0005-0000-0000-0000C33E0000}"/>
    <cellStyle name="Normal 4 4 3 2 6 2 2 4" xfId="33864" xr:uid="{6A6C7ACA-370C-4633-B7EE-A5BCA27471A2}"/>
    <cellStyle name="Normal 4 4 3 2 6 2 3" xfId="21212" xr:uid="{00000000-0005-0000-0000-0000C43E0000}"/>
    <cellStyle name="Normal 4 4 3 2 6 2 3 2" xfId="38081" xr:uid="{93E956C2-E4ED-48AF-BE85-7C377A5498FC}"/>
    <cellStyle name="Normal 4 4 3 2 6 2 4" xfId="12777" xr:uid="{00000000-0005-0000-0000-0000C53E0000}"/>
    <cellStyle name="Normal 4 4 3 2 6 2 5" xfId="29647" xr:uid="{81B784A6-CC75-4F61-B1E6-9A9116013096}"/>
    <cellStyle name="Normal 4 4 3 2 6 3" xfId="6415" xr:uid="{00000000-0005-0000-0000-0000C63E0000}"/>
    <cellStyle name="Normal 4 4 3 2 6 3 2" xfId="23285" xr:uid="{00000000-0005-0000-0000-0000C73E0000}"/>
    <cellStyle name="Normal 4 4 3 2 6 3 2 2" xfId="40153" xr:uid="{3D9E1E71-5329-4BE1-A3DD-9B981FFC005A}"/>
    <cellStyle name="Normal 4 4 3 2 6 3 3" xfId="14850" xr:uid="{00000000-0005-0000-0000-0000C83E0000}"/>
    <cellStyle name="Normal 4 4 3 2 6 3 4" xfId="31719" xr:uid="{EDE4DD48-4896-49A3-B92B-CAD4CAF30CBD}"/>
    <cellStyle name="Normal 4 4 3 2 6 4" xfId="19067" xr:uid="{00000000-0005-0000-0000-0000C93E0000}"/>
    <cellStyle name="Normal 4 4 3 2 6 4 2" xfId="35936" xr:uid="{40D2EE3C-253F-4C30-ADE1-E4E6D55DD56F}"/>
    <cellStyle name="Normal 4 4 3 2 6 5" xfId="10632" xr:uid="{00000000-0005-0000-0000-0000CA3E0000}"/>
    <cellStyle name="Normal 4 4 3 2 6 6" xfId="27502" xr:uid="{AD73147F-5051-4A49-9379-F0AB65D60297}"/>
    <cellStyle name="Normal 4 4 3 2 7" xfId="2544" xr:uid="{00000000-0005-0000-0000-0000CB3E0000}"/>
    <cellStyle name="Normal 4 4 3 2 7 2" xfId="6828" xr:uid="{00000000-0005-0000-0000-0000CC3E0000}"/>
    <cellStyle name="Normal 4 4 3 2 7 2 2" xfId="23698" xr:uid="{00000000-0005-0000-0000-0000CD3E0000}"/>
    <cellStyle name="Normal 4 4 3 2 7 2 2 2" xfId="40566" xr:uid="{142BC88F-EC2C-4699-A69C-664C3A2022D0}"/>
    <cellStyle name="Normal 4 4 3 2 7 2 3" xfId="15263" xr:uid="{00000000-0005-0000-0000-0000CE3E0000}"/>
    <cellStyle name="Normal 4 4 3 2 7 2 4" xfId="32132" xr:uid="{767C2550-F311-4868-82DA-EB2EBABC659C}"/>
    <cellStyle name="Normal 4 4 3 2 7 3" xfId="19480" xr:uid="{00000000-0005-0000-0000-0000CF3E0000}"/>
    <cellStyle name="Normal 4 4 3 2 7 3 2" xfId="36349" xr:uid="{2801A41D-F542-4330-8E2A-768D3A364C1D}"/>
    <cellStyle name="Normal 4 4 3 2 7 4" xfId="11045" xr:uid="{00000000-0005-0000-0000-0000D03E0000}"/>
    <cellStyle name="Normal 4 4 3 2 7 5" xfId="27915" xr:uid="{E2DD9132-1BEF-4B5F-8860-9E91987E170A}"/>
    <cellStyle name="Normal 4 4 3 2 8" xfId="4763" xr:uid="{00000000-0005-0000-0000-0000D13E0000}"/>
    <cellStyle name="Normal 4 4 3 2 8 2" xfId="21633" xr:uid="{00000000-0005-0000-0000-0000D23E0000}"/>
    <cellStyle name="Normal 4 4 3 2 8 2 2" xfId="38501" xr:uid="{27084A80-06BA-495D-9BAF-D874777704FF}"/>
    <cellStyle name="Normal 4 4 3 2 8 3" xfId="13198" xr:uid="{00000000-0005-0000-0000-0000D33E0000}"/>
    <cellStyle name="Normal 4 4 3 2 8 4" xfId="30067" xr:uid="{88BFC773-4E55-40DD-A2F5-02582752A498}"/>
    <cellStyle name="Normal 4 4 3 2 9" xfId="17415" xr:uid="{00000000-0005-0000-0000-0000D43E0000}"/>
    <cellStyle name="Normal 4 4 3 2 9 2" xfId="34284" xr:uid="{26DECC65-98DA-4483-82D9-73E1595E770C}"/>
    <cellStyle name="Normal 4 4 3 3" xfId="390" xr:uid="{00000000-0005-0000-0000-0000D53E0000}"/>
    <cellStyle name="Normal 4 4 3 3 10" xfId="25852" xr:uid="{A738A2E7-151B-4147-B8AE-A8A115D565D3}"/>
    <cellStyle name="Normal 4 4 3 3 2" xfId="865" xr:uid="{00000000-0005-0000-0000-0000D63E0000}"/>
    <cellStyle name="Normal 4 4 3 3 2 2" xfId="3100" xr:uid="{00000000-0005-0000-0000-0000D73E0000}"/>
    <cellStyle name="Normal 4 4 3 3 2 2 2" xfId="7323" xr:uid="{00000000-0005-0000-0000-0000D83E0000}"/>
    <cellStyle name="Normal 4 4 3 3 2 2 2 2" xfId="24193" xr:uid="{00000000-0005-0000-0000-0000D93E0000}"/>
    <cellStyle name="Normal 4 4 3 3 2 2 2 2 2" xfId="41061" xr:uid="{BB479803-D33F-42B7-83E5-DED78213A971}"/>
    <cellStyle name="Normal 4 4 3 3 2 2 2 3" xfId="15758" xr:uid="{00000000-0005-0000-0000-0000DA3E0000}"/>
    <cellStyle name="Normal 4 4 3 3 2 2 2 4" xfId="32627" xr:uid="{4A8220C1-45ED-4CA7-AD3A-62BF89D46F9D}"/>
    <cellStyle name="Normal 4 4 3 3 2 2 3" xfId="19975" xr:uid="{00000000-0005-0000-0000-0000DB3E0000}"/>
    <cellStyle name="Normal 4 4 3 3 2 2 3 2" xfId="36844" xr:uid="{EF76F982-9DD1-46A8-B274-E41F4564DC4D}"/>
    <cellStyle name="Normal 4 4 3 3 2 2 4" xfId="11540" xr:uid="{00000000-0005-0000-0000-0000DC3E0000}"/>
    <cellStyle name="Normal 4 4 3 3 2 2 5" xfId="28410" xr:uid="{146D9A63-0542-4E97-BFE2-66C43FC518E2}"/>
    <cellStyle name="Normal 4 4 3 3 2 3" xfId="5178" xr:uid="{00000000-0005-0000-0000-0000DD3E0000}"/>
    <cellStyle name="Normal 4 4 3 3 2 3 2" xfId="22048" xr:uid="{00000000-0005-0000-0000-0000DE3E0000}"/>
    <cellStyle name="Normal 4 4 3 3 2 3 2 2" xfId="38916" xr:uid="{528319D0-FB61-498E-AECF-290B258FA555}"/>
    <cellStyle name="Normal 4 4 3 3 2 3 3" xfId="13613" xr:uid="{00000000-0005-0000-0000-0000DF3E0000}"/>
    <cellStyle name="Normal 4 4 3 3 2 3 4" xfId="30482" xr:uid="{B3643D25-A489-415B-B1CE-061F66D9217E}"/>
    <cellStyle name="Normal 4 4 3 3 2 4" xfId="17830" xr:uid="{00000000-0005-0000-0000-0000E03E0000}"/>
    <cellStyle name="Normal 4 4 3 3 2 4 2" xfId="34699" xr:uid="{4BB99433-8247-4C7A-A756-6640E9DC32A9}"/>
    <cellStyle name="Normal 4 4 3 3 2 5" xfId="9395" xr:uid="{00000000-0005-0000-0000-0000E13E0000}"/>
    <cellStyle name="Normal 4 4 3 3 2 6" xfId="26265" xr:uid="{5EA82598-031C-424A-8C35-F8CA5BA477F6}"/>
    <cellStyle name="Normal 4 4 3 3 3" xfId="1283" xr:uid="{00000000-0005-0000-0000-0000E23E0000}"/>
    <cellStyle name="Normal 4 4 3 3 3 2" xfId="3513" xr:uid="{00000000-0005-0000-0000-0000E33E0000}"/>
    <cellStyle name="Normal 4 4 3 3 3 2 2" xfId="7736" xr:uid="{00000000-0005-0000-0000-0000E43E0000}"/>
    <cellStyle name="Normal 4 4 3 3 3 2 2 2" xfId="24606" xr:uid="{00000000-0005-0000-0000-0000E53E0000}"/>
    <cellStyle name="Normal 4 4 3 3 3 2 2 2 2" xfId="41474" xr:uid="{B51D7997-32B7-49E5-BB3E-E394AB6F1CAF}"/>
    <cellStyle name="Normal 4 4 3 3 3 2 2 3" xfId="16171" xr:uid="{00000000-0005-0000-0000-0000E63E0000}"/>
    <cellStyle name="Normal 4 4 3 3 3 2 2 4" xfId="33040" xr:uid="{CCBB7AC1-AE8D-431C-BAEB-679DE2FB8770}"/>
    <cellStyle name="Normal 4 4 3 3 3 2 3" xfId="20388" xr:uid="{00000000-0005-0000-0000-0000E73E0000}"/>
    <cellStyle name="Normal 4 4 3 3 3 2 3 2" xfId="37257" xr:uid="{F379DDF2-5DF8-4CEA-8AAB-06F7DCD0BC7B}"/>
    <cellStyle name="Normal 4 4 3 3 3 2 4" xfId="11953" xr:uid="{00000000-0005-0000-0000-0000E83E0000}"/>
    <cellStyle name="Normal 4 4 3 3 3 2 5" xfId="28823" xr:uid="{916CD8F5-FB89-4172-A601-8C7EFE083F5F}"/>
    <cellStyle name="Normal 4 4 3 3 3 3" xfId="5591" xr:uid="{00000000-0005-0000-0000-0000E93E0000}"/>
    <cellStyle name="Normal 4 4 3 3 3 3 2" xfId="22461" xr:uid="{00000000-0005-0000-0000-0000EA3E0000}"/>
    <cellStyle name="Normal 4 4 3 3 3 3 2 2" xfId="39329" xr:uid="{BEF095C6-62F5-4132-81F1-03490F60F352}"/>
    <cellStyle name="Normal 4 4 3 3 3 3 3" xfId="14026" xr:uid="{00000000-0005-0000-0000-0000EB3E0000}"/>
    <cellStyle name="Normal 4 4 3 3 3 3 4" xfId="30895" xr:uid="{A6D53647-ED99-40D4-9533-3077D7EC8F13}"/>
    <cellStyle name="Normal 4 4 3 3 3 4" xfId="18243" xr:uid="{00000000-0005-0000-0000-0000EC3E0000}"/>
    <cellStyle name="Normal 4 4 3 3 3 4 2" xfId="35112" xr:uid="{0D9C7FCA-F815-4F5F-A292-021C9CBF9FC4}"/>
    <cellStyle name="Normal 4 4 3 3 3 5" xfId="9808" xr:uid="{00000000-0005-0000-0000-0000ED3E0000}"/>
    <cellStyle name="Normal 4 4 3 3 3 6" xfId="26678" xr:uid="{73C07AC4-FE65-438D-A0F3-0650DE0041A7}"/>
    <cellStyle name="Normal 4 4 3 3 4" xfId="1696" xr:uid="{00000000-0005-0000-0000-0000EE3E0000}"/>
    <cellStyle name="Normal 4 4 3 3 4 2" xfId="3926" xr:uid="{00000000-0005-0000-0000-0000EF3E0000}"/>
    <cellStyle name="Normal 4 4 3 3 4 2 2" xfId="8149" xr:uid="{00000000-0005-0000-0000-0000F03E0000}"/>
    <cellStyle name="Normal 4 4 3 3 4 2 2 2" xfId="25019" xr:uid="{00000000-0005-0000-0000-0000F13E0000}"/>
    <cellStyle name="Normal 4 4 3 3 4 2 2 2 2" xfId="41887" xr:uid="{C690003C-7B89-468B-91B0-3559DC92AF35}"/>
    <cellStyle name="Normal 4 4 3 3 4 2 2 3" xfId="16584" xr:uid="{00000000-0005-0000-0000-0000F23E0000}"/>
    <cellStyle name="Normal 4 4 3 3 4 2 2 4" xfId="33453" xr:uid="{BB47D04E-D696-4675-B653-31C750406F57}"/>
    <cellStyle name="Normal 4 4 3 3 4 2 3" xfId="20801" xr:uid="{00000000-0005-0000-0000-0000F33E0000}"/>
    <cellStyle name="Normal 4 4 3 3 4 2 3 2" xfId="37670" xr:uid="{C1FA5D40-C7EB-48D6-9F96-41E27CD50CC5}"/>
    <cellStyle name="Normal 4 4 3 3 4 2 4" xfId="12366" xr:uid="{00000000-0005-0000-0000-0000F43E0000}"/>
    <cellStyle name="Normal 4 4 3 3 4 2 5" xfId="29236" xr:uid="{D8FBCBCF-5622-4B84-93A7-59C41C518652}"/>
    <cellStyle name="Normal 4 4 3 3 4 3" xfId="6004" xr:uid="{00000000-0005-0000-0000-0000F53E0000}"/>
    <cellStyle name="Normal 4 4 3 3 4 3 2" xfId="22874" xr:uid="{00000000-0005-0000-0000-0000F63E0000}"/>
    <cellStyle name="Normal 4 4 3 3 4 3 2 2" xfId="39742" xr:uid="{AC37D334-B70C-4543-8EB5-0EEEF0C790C1}"/>
    <cellStyle name="Normal 4 4 3 3 4 3 3" xfId="14439" xr:uid="{00000000-0005-0000-0000-0000F73E0000}"/>
    <cellStyle name="Normal 4 4 3 3 4 3 4" xfId="31308" xr:uid="{BD6B9B79-B9B0-4B54-ACD7-F079494A7A0D}"/>
    <cellStyle name="Normal 4 4 3 3 4 4" xfId="18656" xr:uid="{00000000-0005-0000-0000-0000F83E0000}"/>
    <cellStyle name="Normal 4 4 3 3 4 4 2" xfId="35525" xr:uid="{451D5C83-04AB-4FAA-8017-4908A9913783}"/>
    <cellStyle name="Normal 4 4 3 3 4 5" xfId="10221" xr:uid="{00000000-0005-0000-0000-0000F93E0000}"/>
    <cellStyle name="Normal 4 4 3 3 4 6" xfId="27091" xr:uid="{C6603055-D314-432B-8B38-63A2B22CADC4}"/>
    <cellStyle name="Normal 4 4 3 3 5" xfId="2110" xr:uid="{00000000-0005-0000-0000-0000FA3E0000}"/>
    <cellStyle name="Normal 4 4 3 3 5 2" xfId="4339" xr:uid="{00000000-0005-0000-0000-0000FB3E0000}"/>
    <cellStyle name="Normal 4 4 3 3 5 2 2" xfId="8562" xr:uid="{00000000-0005-0000-0000-0000FC3E0000}"/>
    <cellStyle name="Normal 4 4 3 3 5 2 2 2" xfId="25432" xr:uid="{00000000-0005-0000-0000-0000FD3E0000}"/>
    <cellStyle name="Normal 4 4 3 3 5 2 2 2 2" xfId="42300" xr:uid="{96FBE8A1-0B6D-4B7F-810A-E158A6FA9F23}"/>
    <cellStyle name="Normal 4 4 3 3 5 2 2 3" xfId="16997" xr:uid="{00000000-0005-0000-0000-0000FE3E0000}"/>
    <cellStyle name="Normal 4 4 3 3 5 2 2 4" xfId="33866" xr:uid="{1D4C27BC-B892-4F53-A94F-75B3A3F50226}"/>
    <cellStyle name="Normal 4 4 3 3 5 2 3" xfId="21214" xr:uid="{00000000-0005-0000-0000-0000FF3E0000}"/>
    <cellStyle name="Normal 4 4 3 3 5 2 3 2" xfId="38083" xr:uid="{57B922D2-51AC-4AB0-BE5A-22770492C115}"/>
    <cellStyle name="Normal 4 4 3 3 5 2 4" xfId="12779" xr:uid="{00000000-0005-0000-0000-0000003F0000}"/>
    <cellStyle name="Normal 4 4 3 3 5 2 5" xfId="29649" xr:uid="{8D1BDC4A-05FF-4BD9-A0B8-ABD952445860}"/>
    <cellStyle name="Normal 4 4 3 3 5 3" xfId="6417" xr:uid="{00000000-0005-0000-0000-0000013F0000}"/>
    <cellStyle name="Normal 4 4 3 3 5 3 2" xfId="23287" xr:uid="{00000000-0005-0000-0000-0000023F0000}"/>
    <cellStyle name="Normal 4 4 3 3 5 3 2 2" xfId="40155" xr:uid="{9E4F4A22-9988-4DDC-BAFF-CA210AEC4B39}"/>
    <cellStyle name="Normal 4 4 3 3 5 3 3" xfId="14852" xr:uid="{00000000-0005-0000-0000-0000033F0000}"/>
    <cellStyle name="Normal 4 4 3 3 5 3 4" xfId="31721" xr:uid="{05A58132-42EC-452C-B694-240B563BF498}"/>
    <cellStyle name="Normal 4 4 3 3 5 4" xfId="19069" xr:uid="{00000000-0005-0000-0000-0000043F0000}"/>
    <cellStyle name="Normal 4 4 3 3 5 4 2" xfId="35938" xr:uid="{BCF44406-314D-4A36-B2AB-DED818449F17}"/>
    <cellStyle name="Normal 4 4 3 3 5 5" xfId="10634" xr:uid="{00000000-0005-0000-0000-0000053F0000}"/>
    <cellStyle name="Normal 4 4 3 3 5 6" xfId="27504" xr:uid="{8A194B9D-A93B-43AF-BF7F-B55788F9B43E}"/>
    <cellStyle name="Normal 4 4 3 3 6" xfId="2546" xr:uid="{00000000-0005-0000-0000-0000063F0000}"/>
    <cellStyle name="Normal 4 4 3 3 6 2" xfId="6830" xr:uid="{00000000-0005-0000-0000-0000073F0000}"/>
    <cellStyle name="Normal 4 4 3 3 6 2 2" xfId="23700" xr:uid="{00000000-0005-0000-0000-0000083F0000}"/>
    <cellStyle name="Normal 4 4 3 3 6 2 2 2" xfId="40568" xr:uid="{40B0966F-1E54-4BF7-97B1-A8CCC88B6AA8}"/>
    <cellStyle name="Normal 4 4 3 3 6 2 3" xfId="15265" xr:uid="{00000000-0005-0000-0000-0000093F0000}"/>
    <cellStyle name="Normal 4 4 3 3 6 2 4" xfId="32134" xr:uid="{957DC744-5547-4A61-97D7-C99202811A59}"/>
    <cellStyle name="Normal 4 4 3 3 6 3" xfId="19482" xr:uid="{00000000-0005-0000-0000-00000A3F0000}"/>
    <cellStyle name="Normal 4 4 3 3 6 3 2" xfId="36351" xr:uid="{328764E7-1EC1-4E78-8EF5-A42D82CF9EA7}"/>
    <cellStyle name="Normal 4 4 3 3 6 4" xfId="11047" xr:uid="{00000000-0005-0000-0000-00000B3F0000}"/>
    <cellStyle name="Normal 4 4 3 3 6 5" xfId="27917" xr:uid="{874EBCA6-AF10-4A48-B434-0A8A8F2FEBF3}"/>
    <cellStyle name="Normal 4 4 3 3 7" xfId="4765" xr:uid="{00000000-0005-0000-0000-00000C3F0000}"/>
    <cellStyle name="Normal 4 4 3 3 7 2" xfId="21635" xr:uid="{00000000-0005-0000-0000-00000D3F0000}"/>
    <cellStyle name="Normal 4 4 3 3 7 2 2" xfId="38503" xr:uid="{EAAACF6B-3E18-4B5D-8ED6-5FDE6E254E6E}"/>
    <cellStyle name="Normal 4 4 3 3 7 3" xfId="13200" xr:uid="{00000000-0005-0000-0000-00000E3F0000}"/>
    <cellStyle name="Normal 4 4 3 3 7 4" xfId="30069" xr:uid="{35AD0C71-EF52-4320-BB2B-54EC002FA1C5}"/>
    <cellStyle name="Normal 4 4 3 3 8" xfId="17417" xr:uid="{00000000-0005-0000-0000-00000F3F0000}"/>
    <cellStyle name="Normal 4 4 3 3 8 2" xfId="34286" xr:uid="{078350FA-2A80-497A-B4EE-AD79B4B8FFD5}"/>
    <cellStyle name="Normal 4 4 3 3 9" xfId="8982" xr:uid="{00000000-0005-0000-0000-0000103F0000}"/>
    <cellStyle name="Normal 4 4 3 4" xfId="862" xr:uid="{00000000-0005-0000-0000-0000113F0000}"/>
    <cellStyle name="Normal 4 4 3 4 2" xfId="3097" xr:uid="{00000000-0005-0000-0000-0000123F0000}"/>
    <cellStyle name="Normal 4 4 3 4 2 2" xfId="7320" xr:uid="{00000000-0005-0000-0000-0000133F0000}"/>
    <cellStyle name="Normal 4 4 3 4 2 2 2" xfId="24190" xr:uid="{00000000-0005-0000-0000-0000143F0000}"/>
    <cellStyle name="Normal 4 4 3 4 2 2 2 2" xfId="41058" xr:uid="{C005B22E-5FE8-460E-9F8C-FE1A7920131E}"/>
    <cellStyle name="Normal 4 4 3 4 2 2 3" xfId="15755" xr:uid="{00000000-0005-0000-0000-0000153F0000}"/>
    <cellStyle name="Normal 4 4 3 4 2 2 4" xfId="32624" xr:uid="{A2C24968-D74F-4A0C-B1D8-6DBD37749B8F}"/>
    <cellStyle name="Normal 4 4 3 4 2 3" xfId="19972" xr:uid="{00000000-0005-0000-0000-0000163F0000}"/>
    <cellStyle name="Normal 4 4 3 4 2 3 2" xfId="36841" xr:uid="{D12795BB-3383-4CA5-85CD-86DE706811FF}"/>
    <cellStyle name="Normal 4 4 3 4 2 4" xfId="11537" xr:uid="{00000000-0005-0000-0000-0000173F0000}"/>
    <cellStyle name="Normal 4 4 3 4 2 5" xfId="28407" xr:uid="{C9FFEA3D-6412-4FFA-8351-E9BA9A97928D}"/>
    <cellStyle name="Normal 4 4 3 4 3" xfId="5175" xr:uid="{00000000-0005-0000-0000-0000183F0000}"/>
    <cellStyle name="Normal 4 4 3 4 3 2" xfId="22045" xr:uid="{00000000-0005-0000-0000-0000193F0000}"/>
    <cellStyle name="Normal 4 4 3 4 3 2 2" xfId="38913" xr:uid="{11F5186D-03AE-4814-81EF-309EEFDED401}"/>
    <cellStyle name="Normal 4 4 3 4 3 3" xfId="13610" xr:uid="{00000000-0005-0000-0000-00001A3F0000}"/>
    <cellStyle name="Normal 4 4 3 4 3 4" xfId="30479" xr:uid="{4C297540-93FC-45F6-82ED-91AF926148E1}"/>
    <cellStyle name="Normal 4 4 3 4 4" xfId="17827" xr:uid="{00000000-0005-0000-0000-00001B3F0000}"/>
    <cellStyle name="Normal 4 4 3 4 4 2" xfId="34696" xr:uid="{90284C70-C28C-40CF-94F4-0BDF84D0205A}"/>
    <cellStyle name="Normal 4 4 3 4 5" xfId="9392" xr:uid="{00000000-0005-0000-0000-00001C3F0000}"/>
    <cellStyle name="Normal 4 4 3 4 6" xfId="26262" xr:uid="{213E53DE-306F-4BA0-A603-BF7A9CB45488}"/>
    <cellStyle name="Normal 4 4 3 5" xfId="1280" xr:uid="{00000000-0005-0000-0000-00001D3F0000}"/>
    <cellStyle name="Normal 4 4 3 5 2" xfId="3510" xr:uid="{00000000-0005-0000-0000-00001E3F0000}"/>
    <cellStyle name="Normal 4 4 3 5 2 2" xfId="7733" xr:uid="{00000000-0005-0000-0000-00001F3F0000}"/>
    <cellStyle name="Normal 4 4 3 5 2 2 2" xfId="24603" xr:uid="{00000000-0005-0000-0000-0000203F0000}"/>
    <cellStyle name="Normal 4 4 3 5 2 2 2 2" xfId="41471" xr:uid="{1AF5BF01-E9E9-48FF-808A-BBFADDB4A09D}"/>
    <cellStyle name="Normal 4 4 3 5 2 2 3" xfId="16168" xr:uid="{00000000-0005-0000-0000-0000213F0000}"/>
    <cellStyle name="Normal 4 4 3 5 2 2 4" xfId="33037" xr:uid="{8DEE8111-2625-49E7-9371-CCCFFC4DFF0A}"/>
    <cellStyle name="Normal 4 4 3 5 2 3" xfId="20385" xr:uid="{00000000-0005-0000-0000-0000223F0000}"/>
    <cellStyle name="Normal 4 4 3 5 2 3 2" xfId="37254" xr:uid="{E56AB0BD-2E6D-4DAA-8978-4C8E197F44D1}"/>
    <cellStyle name="Normal 4 4 3 5 2 4" xfId="11950" xr:uid="{00000000-0005-0000-0000-0000233F0000}"/>
    <cellStyle name="Normal 4 4 3 5 2 5" xfId="28820" xr:uid="{5F7F5682-5A63-4958-942F-A581E2EC37AB}"/>
    <cellStyle name="Normal 4 4 3 5 3" xfId="5588" xr:uid="{00000000-0005-0000-0000-0000243F0000}"/>
    <cellStyle name="Normal 4 4 3 5 3 2" xfId="22458" xr:uid="{00000000-0005-0000-0000-0000253F0000}"/>
    <cellStyle name="Normal 4 4 3 5 3 2 2" xfId="39326" xr:uid="{D6385F28-6045-41A1-B5DA-FD6D192D922B}"/>
    <cellStyle name="Normal 4 4 3 5 3 3" xfId="14023" xr:uid="{00000000-0005-0000-0000-0000263F0000}"/>
    <cellStyle name="Normal 4 4 3 5 3 4" xfId="30892" xr:uid="{053018E3-0CF5-4B73-9A46-88343F21007C}"/>
    <cellStyle name="Normal 4 4 3 5 4" xfId="18240" xr:uid="{00000000-0005-0000-0000-0000273F0000}"/>
    <cellStyle name="Normal 4 4 3 5 4 2" xfId="35109" xr:uid="{5D715894-13D4-48AA-BE5F-E1D8ABF0F279}"/>
    <cellStyle name="Normal 4 4 3 5 5" xfId="9805" xr:uid="{00000000-0005-0000-0000-0000283F0000}"/>
    <cellStyle name="Normal 4 4 3 5 6" xfId="26675" xr:uid="{40CC3AFF-971B-4882-90A9-80E502CDC3F7}"/>
    <cellStyle name="Normal 4 4 3 6" xfId="1693" xr:uid="{00000000-0005-0000-0000-0000293F0000}"/>
    <cellStyle name="Normal 4 4 3 6 2" xfId="3923" xr:uid="{00000000-0005-0000-0000-00002A3F0000}"/>
    <cellStyle name="Normal 4 4 3 6 2 2" xfId="8146" xr:uid="{00000000-0005-0000-0000-00002B3F0000}"/>
    <cellStyle name="Normal 4 4 3 6 2 2 2" xfId="25016" xr:uid="{00000000-0005-0000-0000-00002C3F0000}"/>
    <cellStyle name="Normal 4 4 3 6 2 2 2 2" xfId="41884" xr:uid="{1C3C21E1-4080-4368-A948-C0CB1E52FD79}"/>
    <cellStyle name="Normal 4 4 3 6 2 2 3" xfId="16581" xr:uid="{00000000-0005-0000-0000-00002D3F0000}"/>
    <cellStyle name="Normal 4 4 3 6 2 2 4" xfId="33450" xr:uid="{ED5E5A22-82A6-47AD-A1AC-80723E664092}"/>
    <cellStyle name="Normal 4 4 3 6 2 3" xfId="20798" xr:uid="{00000000-0005-0000-0000-00002E3F0000}"/>
    <cellStyle name="Normal 4 4 3 6 2 3 2" xfId="37667" xr:uid="{8C5C464C-C524-43AD-BD5C-0DBBACC75B36}"/>
    <cellStyle name="Normal 4 4 3 6 2 4" xfId="12363" xr:uid="{00000000-0005-0000-0000-00002F3F0000}"/>
    <cellStyle name="Normal 4 4 3 6 2 5" xfId="29233" xr:uid="{F6F57387-5F44-4805-8933-A3DF7761AEA3}"/>
    <cellStyle name="Normal 4 4 3 6 3" xfId="6001" xr:uid="{00000000-0005-0000-0000-0000303F0000}"/>
    <cellStyle name="Normal 4 4 3 6 3 2" xfId="22871" xr:uid="{00000000-0005-0000-0000-0000313F0000}"/>
    <cellStyle name="Normal 4 4 3 6 3 2 2" xfId="39739" xr:uid="{095E28DC-7937-4A55-9936-D138780E2E42}"/>
    <cellStyle name="Normal 4 4 3 6 3 3" xfId="14436" xr:uid="{00000000-0005-0000-0000-0000323F0000}"/>
    <cellStyle name="Normal 4 4 3 6 3 4" xfId="31305" xr:uid="{AC6BAC0D-B9C7-4E99-B83E-9D570BE7AE27}"/>
    <cellStyle name="Normal 4 4 3 6 4" xfId="18653" xr:uid="{00000000-0005-0000-0000-0000333F0000}"/>
    <cellStyle name="Normal 4 4 3 6 4 2" xfId="35522" xr:uid="{DCB4C672-33F3-4223-A32F-13BCA243DBBF}"/>
    <cellStyle name="Normal 4 4 3 6 5" xfId="10218" xr:uid="{00000000-0005-0000-0000-0000343F0000}"/>
    <cellStyle name="Normal 4 4 3 6 6" xfId="27088" xr:uid="{9F372B66-62A0-4524-AFA5-1ED71F8A96A9}"/>
    <cellStyle name="Normal 4 4 3 7" xfId="2107" xr:uid="{00000000-0005-0000-0000-0000353F0000}"/>
    <cellStyle name="Normal 4 4 3 7 2" xfId="4336" xr:uid="{00000000-0005-0000-0000-0000363F0000}"/>
    <cellStyle name="Normal 4 4 3 7 2 2" xfId="8559" xr:uid="{00000000-0005-0000-0000-0000373F0000}"/>
    <cellStyle name="Normal 4 4 3 7 2 2 2" xfId="25429" xr:uid="{00000000-0005-0000-0000-0000383F0000}"/>
    <cellStyle name="Normal 4 4 3 7 2 2 2 2" xfId="42297" xr:uid="{22F77E9A-B30D-48F0-9991-D41177E39E88}"/>
    <cellStyle name="Normal 4 4 3 7 2 2 3" xfId="16994" xr:uid="{00000000-0005-0000-0000-0000393F0000}"/>
    <cellStyle name="Normal 4 4 3 7 2 2 4" xfId="33863" xr:uid="{43B51929-FA43-4DC1-ABB3-A23D23DB35ED}"/>
    <cellStyle name="Normal 4 4 3 7 2 3" xfId="21211" xr:uid="{00000000-0005-0000-0000-00003A3F0000}"/>
    <cellStyle name="Normal 4 4 3 7 2 3 2" xfId="38080" xr:uid="{1F742794-C9F2-416F-ABEE-95300B030869}"/>
    <cellStyle name="Normal 4 4 3 7 2 4" xfId="12776" xr:uid="{00000000-0005-0000-0000-00003B3F0000}"/>
    <cellStyle name="Normal 4 4 3 7 2 5" xfId="29646" xr:uid="{66EDAFE7-1DF8-41B8-B56E-06C7C899D68E}"/>
    <cellStyle name="Normal 4 4 3 7 3" xfId="6414" xr:uid="{00000000-0005-0000-0000-00003C3F0000}"/>
    <cellStyle name="Normal 4 4 3 7 3 2" xfId="23284" xr:uid="{00000000-0005-0000-0000-00003D3F0000}"/>
    <cellStyle name="Normal 4 4 3 7 3 2 2" xfId="40152" xr:uid="{9EBD6CDF-8973-49AB-BAA8-91604012D1DD}"/>
    <cellStyle name="Normal 4 4 3 7 3 3" xfId="14849" xr:uid="{00000000-0005-0000-0000-00003E3F0000}"/>
    <cellStyle name="Normal 4 4 3 7 3 4" xfId="31718" xr:uid="{D96C1C2E-C5C4-4F60-A4AD-A6E98C7CDB00}"/>
    <cellStyle name="Normal 4 4 3 7 4" xfId="19066" xr:uid="{00000000-0005-0000-0000-00003F3F0000}"/>
    <cellStyle name="Normal 4 4 3 7 4 2" xfId="35935" xr:uid="{24CA79AE-B074-42B2-B4FF-F9875B5EF602}"/>
    <cellStyle name="Normal 4 4 3 7 5" xfId="10631" xr:uid="{00000000-0005-0000-0000-0000403F0000}"/>
    <cellStyle name="Normal 4 4 3 7 6" xfId="27501" xr:uid="{3180C0FF-D120-43DB-A277-6223E490168F}"/>
    <cellStyle name="Normal 4 4 3 8" xfId="2543" xr:uid="{00000000-0005-0000-0000-0000413F0000}"/>
    <cellStyle name="Normal 4 4 3 8 2" xfId="6827" xr:uid="{00000000-0005-0000-0000-0000423F0000}"/>
    <cellStyle name="Normal 4 4 3 8 2 2" xfId="23697" xr:uid="{00000000-0005-0000-0000-0000433F0000}"/>
    <cellStyle name="Normal 4 4 3 8 2 2 2" xfId="40565" xr:uid="{A5B24281-E4DD-415E-9EEF-AB6466CEB30D}"/>
    <cellStyle name="Normal 4 4 3 8 2 3" xfId="15262" xr:uid="{00000000-0005-0000-0000-0000443F0000}"/>
    <cellStyle name="Normal 4 4 3 8 2 4" xfId="32131" xr:uid="{882B331B-1EAB-4DCF-AB50-8E27FD09F0DA}"/>
    <cellStyle name="Normal 4 4 3 8 3" xfId="19479" xr:uid="{00000000-0005-0000-0000-0000453F0000}"/>
    <cellStyle name="Normal 4 4 3 8 3 2" xfId="36348" xr:uid="{A15BAF14-97F8-4976-B8E8-2C67369B12ED}"/>
    <cellStyle name="Normal 4 4 3 8 4" xfId="11044" xr:uid="{00000000-0005-0000-0000-0000463F0000}"/>
    <cellStyle name="Normal 4 4 3 8 5" xfId="27914" xr:uid="{8E5178B2-6702-4EE8-BB7E-47F5B9F54FFE}"/>
    <cellStyle name="Normal 4 4 3 9" xfId="4762" xr:uid="{00000000-0005-0000-0000-0000473F0000}"/>
    <cellStyle name="Normal 4 4 3 9 2" xfId="21632" xr:uid="{00000000-0005-0000-0000-0000483F0000}"/>
    <cellStyle name="Normal 4 4 3 9 2 2" xfId="38500" xr:uid="{D219092C-E6BA-4222-B0AE-2DBE878A89A6}"/>
    <cellStyle name="Normal 4 4 3 9 3" xfId="13197" xr:uid="{00000000-0005-0000-0000-0000493F0000}"/>
    <cellStyle name="Normal 4 4 3 9 4" xfId="30066" xr:uid="{20ACD1AD-683B-4A3C-8C2B-0BAFE2A53113}"/>
    <cellStyle name="Normal 4 4 4" xfId="391" xr:uid="{00000000-0005-0000-0000-00004A3F0000}"/>
    <cellStyle name="Normal 4 4 4 10" xfId="8983" xr:uid="{00000000-0005-0000-0000-00004B3F0000}"/>
    <cellStyle name="Normal 4 4 4 11" xfId="25853" xr:uid="{2FF1358D-C8B4-484D-AB66-4543EFD33D4C}"/>
    <cellStyle name="Normal 4 4 4 2" xfId="392" xr:uid="{00000000-0005-0000-0000-00004C3F0000}"/>
    <cellStyle name="Normal 4 4 4 2 10" xfId="25854" xr:uid="{25D78742-6776-4D42-9CE5-5CC719E7E382}"/>
    <cellStyle name="Normal 4 4 4 2 2" xfId="867" xr:uid="{00000000-0005-0000-0000-00004D3F0000}"/>
    <cellStyle name="Normal 4 4 4 2 2 2" xfId="3102" xr:uid="{00000000-0005-0000-0000-00004E3F0000}"/>
    <cellStyle name="Normal 4 4 4 2 2 2 2" xfId="7325" xr:uid="{00000000-0005-0000-0000-00004F3F0000}"/>
    <cellStyle name="Normal 4 4 4 2 2 2 2 2" xfId="24195" xr:uid="{00000000-0005-0000-0000-0000503F0000}"/>
    <cellStyle name="Normal 4 4 4 2 2 2 2 2 2" xfId="41063" xr:uid="{1175188C-077E-4122-9E5C-C3B88B01A4A1}"/>
    <cellStyle name="Normal 4 4 4 2 2 2 2 3" xfId="15760" xr:uid="{00000000-0005-0000-0000-0000513F0000}"/>
    <cellStyle name="Normal 4 4 4 2 2 2 2 4" xfId="32629" xr:uid="{C3DEDD32-1BD5-4ABA-AA3B-8FF21751339E}"/>
    <cellStyle name="Normal 4 4 4 2 2 2 3" xfId="19977" xr:uid="{00000000-0005-0000-0000-0000523F0000}"/>
    <cellStyle name="Normal 4 4 4 2 2 2 3 2" xfId="36846" xr:uid="{2C63F3B1-9590-44CE-A641-463F69D0A09A}"/>
    <cellStyle name="Normal 4 4 4 2 2 2 4" xfId="11542" xr:uid="{00000000-0005-0000-0000-0000533F0000}"/>
    <cellStyle name="Normal 4 4 4 2 2 2 5" xfId="28412" xr:uid="{39FE337B-2619-4295-9355-19308D6D5B47}"/>
    <cellStyle name="Normal 4 4 4 2 2 3" xfId="5180" xr:uid="{00000000-0005-0000-0000-0000543F0000}"/>
    <cellStyle name="Normal 4 4 4 2 2 3 2" xfId="22050" xr:uid="{00000000-0005-0000-0000-0000553F0000}"/>
    <cellStyle name="Normal 4 4 4 2 2 3 2 2" xfId="38918" xr:uid="{641D49B1-0680-4A85-9F6C-0D2629183FBB}"/>
    <cellStyle name="Normal 4 4 4 2 2 3 3" xfId="13615" xr:uid="{00000000-0005-0000-0000-0000563F0000}"/>
    <cellStyle name="Normal 4 4 4 2 2 3 4" xfId="30484" xr:uid="{FED41CA9-E36D-452D-A264-C4E467902C7E}"/>
    <cellStyle name="Normal 4 4 4 2 2 4" xfId="17832" xr:uid="{00000000-0005-0000-0000-0000573F0000}"/>
    <cellStyle name="Normal 4 4 4 2 2 4 2" xfId="34701" xr:uid="{DBF6B886-53E9-4D4A-BEC4-C627833C90AF}"/>
    <cellStyle name="Normal 4 4 4 2 2 5" xfId="9397" xr:uid="{00000000-0005-0000-0000-0000583F0000}"/>
    <cellStyle name="Normal 4 4 4 2 2 6" xfId="26267" xr:uid="{7330CC27-510B-45C3-8058-72F24A490864}"/>
    <cellStyle name="Normal 4 4 4 2 3" xfId="1285" xr:uid="{00000000-0005-0000-0000-0000593F0000}"/>
    <cellStyle name="Normal 4 4 4 2 3 2" xfId="3515" xr:uid="{00000000-0005-0000-0000-00005A3F0000}"/>
    <cellStyle name="Normal 4 4 4 2 3 2 2" xfId="7738" xr:uid="{00000000-0005-0000-0000-00005B3F0000}"/>
    <cellStyle name="Normal 4 4 4 2 3 2 2 2" xfId="24608" xr:uid="{00000000-0005-0000-0000-00005C3F0000}"/>
    <cellStyle name="Normal 4 4 4 2 3 2 2 2 2" xfId="41476" xr:uid="{928622C7-2A4C-43B1-AC2C-97866ACEC1E3}"/>
    <cellStyle name="Normal 4 4 4 2 3 2 2 3" xfId="16173" xr:uid="{00000000-0005-0000-0000-00005D3F0000}"/>
    <cellStyle name="Normal 4 4 4 2 3 2 2 4" xfId="33042" xr:uid="{F2B690AC-18FD-4BA7-B260-509D16B08E6F}"/>
    <cellStyle name="Normal 4 4 4 2 3 2 3" xfId="20390" xr:uid="{00000000-0005-0000-0000-00005E3F0000}"/>
    <cellStyle name="Normal 4 4 4 2 3 2 3 2" xfId="37259" xr:uid="{45565E83-4B2C-44AB-A95F-75B50C461175}"/>
    <cellStyle name="Normal 4 4 4 2 3 2 4" xfId="11955" xr:uid="{00000000-0005-0000-0000-00005F3F0000}"/>
    <cellStyle name="Normal 4 4 4 2 3 2 5" xfId="28825" xr:uid="{6EF05CE4-30D9-4791-A04E-77D9EBCD978B}"/>
    <cellStyle name="Normal 4 4 4 2 3 3" xfId="5593" xr:uid="{00000000-0005-0000-0000-0000603F0000}"/>
    <cellStyle name="Normal 4 4 4 2 3 3 2" xfId="22463" xr:uid="{00000000-0005-0000-0000-0000613F0000}"/>
    <cellStyle name="Normal 4 4 4 2 3 3 2 2" xfId="39331" xr:uid="{DE3D80E8-3C93-4BBD-B1D9-D96FDFA35CDA}"/>
    <cellStyle name="Normal 4 4 4 2 3 3 3" xfId="14028" xr:uid="{00000000-0005-0000-0000-0000623F0000}"/>
    <cellStyle name="Normal 4 4 4 2 3 3 4" xfId="30897" xr:uid="{CF2FED57-6223-48CC-8FD4-4DB375A7641A}"/>
    <cellStyle name="Normal 4 4 4 2 3 4" xfId="18245" xr:uid="{00000000-0005-0000-0000-0000633F0000}"/>
    <cellStyle name="Normal 4 4 4 2 3 4 2" xfId="35114" xr:uid="{FAC442C7-A81A-4B06-9D3A-BF7907E93868}"/>
    <cellStyle name="Normal 4 4 4 2 3 5" xfId="9810" xr:uid="{00000000-0005-0000-0000-0000643F0000}"/>
    <cellStyle name="Normal 4 4 4 2 3 6" xfId="26680" xr:uid="{1C4476DB-7B63-488E-9B49-74466E5EF537}"/>
    <cellStyle name="Normal 4 4 4 2 4" xfId="1698" xr:uid="{00000000-0005-0000-0000-0000653F0000}"/>
    <cellStyle name="Normal 4 4 4 2 4 2" xfId="3928" xr:uid="{00000000-0005-0000-0000-0000663F0000}"/>
    <cellStyle name="Normal 4 4 4 2 4 2 2" xfId="8151" xr:uid="{00000000-0005-0000-0000-0000673F0000}"/>
    <cellStyle name="Normal 4 4 4 2 4 2 2 2" xfId="25021" xr:uid="{00000000-0005-0000-0000-0000683F0000}"/>
    <cellStyle name="Normal 4 4 4 2 4 2 2 2 2" xfId="41889" xr:uid="{3AA367B1-7C0C-4444-8336-5E982C4E3316}"/>
    <cellStyle name="Normal 4 4 4 2 4 2 2 3" xfId="16586" xr:uid="{00000000-0005-0000-0000-0000693F0000}"/>
    <cellStyle name="Normal 4 4 4 2 4 2 2 4" xfId="33455" xr:uid="{4383C712-5101-48FE-B285-5941302C74A6}"/>
    <cellStyle name="Normal 4 4 4 2 4 2 3" xfId="20803" xr:uid="{00000000-0005-0000-0000-00006A3F0000}"/>
    <cellStyle name="Normal 4 4 4 2 4 2 3 2" xfId="37672" xr:uid="{02E7DC0E-6002-4B01-9BFB-5CB4461BDDB4}"/>
    <cellStyle name="Normal 4 4 4 2 4 2 4" xfId="12368" xr:uid="{00000000-0005-0000-0000-00006B3F0000}"/>
    <cellStyle name="Normal 4 4 4 2 4 2 5" xfId="29238" xr:uid="{253998AB-F007-4071-8873-DC1A1A8436D7}"/>
    <cellStyle name="Normal 4 4 4 2 4 3" xfId="6006" xr:uid="{00000000-0005-0000-0000-00006C3F0000}"/>
    <cellStyle name="Normal 4 4 4 2 4 3 2" xfId="22876" xr:uid="{00000000-0005-0000-0000-00006D3F0000}"/>
    <cellStyle name="Normal 4 4 4 2 4 3 2 2" xfId="39744" xr:uid="{AFCC5D36-2580-45E2-9FE3-B016EA44E045}"/>
    <cellStyle name="Normal 4 4 4 2 4 3 3" xfId="14441" xr:uid="{00000000-0005-0000-0000-00006E3F0000}"/>
    <cellStyle name="Normal 4 4 4 2 4 3 4" xfId="31310" xr:uid="{1BF996B8-2657-4A9A-8D63-D3D2E5A507DB}"/>
    <cellStyle name="Normal 4 4 4 2 4 4" xfId="18658" xr:uid="{00000000-0005-0000-0000-00006F3F0000}"/>
    <cellStyle name="Normal 4 4 4 2 4 4 2" xfId="35527" xr:uid="{D741F113-3620-4C54-840A-E8EA1CEB54B4}"/>
    <cellStyle name="Normal 4 4 4 2 4 5" xfId="10223" xr:uid="{00000000-0005-0000-0000-0000703F0000}"/>
    <cellStyle name="Normal 4 4 4 2 4 6" xfId="27093" xr:uid="{9D064EA9-FDC5-408C-B6D9-6EF786F30DD5}"/>
    <cellStyle name="Normal 4 4 4 2 5" xfId="2112" xr:uid="{00000000-0005-0000-0000-0000713F0000}"/>
    <cellStyle name="Normal 4 4 4 2 5 2" xfId="4341" xr:uid="{00000000-0005-0000-0000-0000723F0000}"/>
    <cellStyle name="Normal 4 4 4 2 5 2 2" xfId="8564" xr:uid="{00000000-0005-0000-0000-0000733F0000}"/>
    <cellStyle name="Normal 4 4 4 2 5 2 2 2" xfId="25434" xr:uid="{00000000-0005-0000-0000-0000743F0000}"/>
    <cellStyle name="Normal 4 4 4 2 5 2 2 2 2" xfId="42302" xr:uid="{2829DF64-F0BE-4EF6-AAF9-F7EBD6B39F61}"/>
    <cellStyle name="Normal 4 4 4 2 5 2 2 3" xfId="16999" xr:uid="{00000000-0005-0000-0000-0000753F0000}"/>
    <cellStyle name="Normal 4 4 4 2 5 2 2 4" xfId="33868" xr:uid="{F9BE61DA-2A89-48B5-887E-90D6879BB0BA}"/>
    <cellStyle name="Normal 4 4 4 2 5 2 3" xfId="21216" xr:uid="{00000000-0005-0000-0000-0000763F0000}"/>
    <cellStyle name="Normal 4 4 4 2 5 2 3 2" xfId="38085" xr:uid="{DF9D36B2-89BC-418C-80F0-7E378421EE8C}"/>
    <cellStyle name="Normal 4 4 4 2 5 2 4" xfId="12781" xr:uid="{00000000-0005-0000-0000-0000773F0000}"/>
    <cellStyle name="Normal 4 4 4 2 5 2 5" xfId="29651" xr:uid="{0205BDF3-0B5A-44C9-9631-9553E07E3AB5}"/>
    <cellStyle name="Normal 4 4 4 2 5 3" xfId="6419" xr:uid="{00000000-0005-0000-0000-0000783F0000}"/>
    <cellStyle name="Normal 4 4 4 2 5 3 2" xfId="23289" xr:uid="{00000000-0005-0000-0000-0000793F0000}"/>
    <cellStyle name="Normal 4 4 4 2 5 3 2 2" xfId="40157" xr:uid="{E676C44A-648F-47AA-84BB-AAA9ABA4C458}"/>
    <cellStyle name="Normal 4 4 4 2 5 3 3" xfId="14854" xr:uid="{00000000-0005-0000-0000-00007A3F0000}"/>
    <cellStyle name="Normal 4 4 4 2 5 3 4" xfId="31723" xr:uid="{57514B18-FF82-4ACD-B915-5E43501F52AF}"/>
    <cellStyle name="Normal 4 4 4 2 5 4" xfId="19071" xr:uid="{00000000-0005-0000-0000-00007B3F0000}"/>
    <cellStyle name="Normal 4 4 4 2 5 4 2" xfId="35940" xr:uid="{41439D2A-7455-4D8F-9A89-AC6A147EDA1B}"/>
    <cellStyle name="Normal 4 4 4 2 5 5" xfId="10636" xr:uid="{00000000-0005-0000-0000-00007C3F0000}"/>
    <cellStyle name="Normal 4 4 4 2 5 6" xfId="27506" xr:uid="{104702AC-F2B0-417C-83AD-F5FC5B328C57}"/>
    <cellStyle name="Normal 4 4 4 2 6" xfId="2548" xr:uid="{00000000-0005-0000-0000-00007D3F0000}"/>
    <cellStyle name="Normal 4 4 4 2 6 2" xfId="6832" xr:uid="{00000000-0005-0000-0000-00007E3F0000}"/>
    <cellStyle name="Normal 4 4 4 2 6 2 2" xfId="23702" xr:uid="{00000000-0005-0000-0000-00007F3F0000}"/>
    <cellStyle name="Normal 4 4 4 2 6 2 2 2" xfId="40570" xr:uid="{C1C7D56D-9390-4BB8-A650-CDD0D84C319E}"/>
    <cellStyle name="Normal 4 4 4 2 6 2 3" xfId="15267" xr:uid="{00000000-0005-0000-0000-0000803F0000}"/>
    <cellStyle name="Normal 4 4 4 2 6 2 4" xfId="32136" xr:uid="{E9F54540-2D65-4696-831C-B938C206CFE8}"/>
    <cellStyle name="Normal 4 4 4 2 6 3" xfId="19484" xr:uid="{00000000-0005-0000-0000-0000813F0000}"/>
    <cellStyle name="Normal 4 4 4 2 6 3 2" xfId="36353" xr:uid="{D635E805-BC74-43DE-BE34-03628C970069}"/>
    <cellStyle name="Normal 4 4 4 2 6 4" xfId="11049" xr:uid="{00000000-0005-0000-0000-0000823F0000}"/>
    <cellStyle name="Normal 4 4 4 2 6 5" xfId="27919" xr:uid="{820A290B-6585-4BBC-9D8B-71B5E20B65BD}"/>
    <cellStyle name="Normal 4 4 4 2 7" xfId="4767" xr:uid="{00000000-0005-0000-0000-0000833F0000}"/>
    <cellStyle name="Normal 4 4 4 2 7 2" xfId="21637" xr:uid="{00000000-0005-0000-0000-0000843F0000}"/>
    <cellStyle name="Normal 4 4 4 2 7 2 2" xfId="38505" xr:uid="{F36507D3-F34F-40AA-A8A5-FE4F943CA198}"/>
    <cellStyle name="Normal 4 4 4 2 7 3" xfId="13202" xr:uid="{00000000-0005-0000-0000-0000853F0000}"/>
    <cellStyle name="Normal 4 4 4 2 7 4" xfId="30071" xr:uid="{D4187959-7BA3-4883-A2AA-EB24C0A05031}"/>
    <cellStyle name="Normal 4 4 4 2 8" xfId="17419" xr:uid="{00000000-0005-0000-0000-0000863F0000}"/>
    <cellStyle name="Normal 4 4 4 2 8 2" xfId="34288" xr:uid="{47FC917A-48D0-43E7-B736-D72541BE57FF}"/>
    <cellStyle name="Normal 4 4 4 2 9" xfId="8984" xr:uid="{00000000-0005-0000-0000-0000873F0000}"/>
    <cellStyle name="Normal 4 4 4 3" xfId="866" xr:uid="{00000000-0005-0000-0000-0000883F0000}"/>
    <cellStyle name="Normal 4 4 4 3 2" xfId="3101" xr:uid="{00000000-0005-0000-0000-0000893F0000}"/>
    <cellStyle name="Normal 4 4 4 3 2 2" xfId="7324" xr:uid="{00000000-0005-0000-0000-00008A3F0000}"/>
    <cellStyle name="Normal 4 4 4 3 2 2 2" xfId="24194" xr:uid="{00000000-0005-0000-0000-00008B3F0000}"/>
    <cellStyle name="Normal 4 4 4 3 2 2 2 2" xfId="41062" xr:uid="{90E327F2-A02C-44D8-949D-099CD6C796EA}"/>
    <cellStyle name="Normal 4 4 4 3 2 2 3" xfId="15759" xr:uid="{00000000-0005-0000-0000-00008C3F0000}"/>
    <cellStyle name="Normal 4 4 4 3 2 2 4" xfId="32628" xr:uid="{AA8227D9-8DA4-4819-9FA4-BBBC9BECE804}"/>
    <cellStyle name="Normal 4 4 4 3 2 3" xfId="19976" xr:uid="{00000000-0005-0000-0000-00008D3F0000}"/>
    <cellStyle name="Normal 4 4 4 3 2 3 2" xfId="36845" xr:uid="{6FDAFEAF-8819-4B39-A8B6-B7FB518C0BB1}"/>
    <cellStyle name="Normal 4 4 4 3 2 4" xfId="11541" xr:uid="{00000000-0005-0000-0000-00008E3F0000}"/>
    <cellStyle name="Normal 4 4 4 3 2 5" xfId="28411" xr:uid="{C4A5BF5F-EF50-43D1-AFC8-84D1ECE0EBEC}"/>
    <cellStyle name="Normal 4 4 4 3 3" xfId="5179" xr:uid="{00000000-0005-0000-0000-00008F3F0000}"/>
    <cellStyle name="Normal 4 4 4 3 3 2" xfId="22049" xr:uid="{00000000-0005-0000-0000-0000903F0000}"/>
    <cellStyle name="Normal 4 4 4 3 3 2 2" xfId="38917" xr:uid="{DA8AFF0F-586D-440F-94E1-FDE785B32954}"/>
    <cellStyle name="Normal 4 4 4 3 3 3" xfId="13614" xr:uid="{00000000-0005-0000-0000-0000913F0000}"/>
    <cellStyle name="Normal 4 4 4 3 3 4" xfId="30483" xr:uid="{494DD49B-D43F-4185-AC97-8DB5C2C342C1}"/>
    <cellStyle name="Normal 4 4 4 3 4" xfId="17831" xr:uid="{00000000-0005-0000-0000-0000923F0000}"/>
    <cellStyle name="Normal 4 4 4 3 4 2" xfId="34700" xr:uid="{A39CBB24-3026-4303-B448-748A7FD3DE91}"/>
    <cellStyle name="Normal 4 4 4 3 5" xfId="9396" xr:uid="{00000000-0005-0000-0000-0000933F0000}"/>
    <cellStyle name="Normal 4 4 4 3 6" xfId="26266" xr:uid="{BFB48BDC-BE9C-46A8-98FF-6A2F838FD31F}"/>
    <cellStyle name="Normal 4 4 4 4" xfId="1284" xr:uid="{00000000-0005-0000-0000-0000943F0000}"/>
    <cellStyle name="Normal 4 4 4 4 2" xfId="3514" xr:uid="{00000000-0005-0000-0000-0000953F0000}"/>
    <cellStyle name="Normal 4 4 4 4 2 2" xfId="7737" xr:uid="{00000000-0005-0000-0000-0000963F0000}"/>
    <cellStyle name="Normal 4 4 4 4 2 2 2" xfId="24607" xr:uid="{00000000-0005-0000-0000-0000973F0000}"/>
    <cellStyle name="Normal 4 4 4 4 2 2 2 2" xfId="41475" xr:uid="{9724F049-F108-41C9-A9D6-11CB6688EE81}"/>
    <cellStyle name="Normal 4 4 4 4 2 2 3" xfId="16172" xr:uid="{00000000-0005-0000-0000-0000983F0000}"/>
    <cellStyle name="Normal 4 4 4 4 2 2 4" xfId="33041" xr:uid="{0EEA9B73-A833-4AF3-A3F7-8EB36E18B4C9}"/>
    <cellStyle name="Normal 4 4 4 4 2 3" xfId="20389" xr:uid="{00000000-0005-0000-0000-0000993F0000}"/>
    <cellStyle name="Normal 4 4 4 4 2 3 2" xfId="37258" xr:uid="{44A9273E-B465-4850-946D-BC3C2F569049}"/>
    <cellStyle name="Normal 4 4 4 4 2 4" xfId="11954" xr:uid="{00000000-0005-0000-0000-00009A3F0000}"/>
    <cellStyle name="Normal 4 4 4 4 2 5" xfId="28824" xr:uid="{A1A734FC-5142-4A0D-8D1F-BBCD25038342}"/>
    <cellStyle name="Normal 4 4 4 4 3" xfId="5592" xr:uid="{00000000-0005-0000-0000-00009B3F0000}"/>
    <cellStyle name="Normal 4 4 4 4 3 2" xfId="22462" xr:uid="{00000000-0005-0000-0000-00009C3F0000}"/>
    <cellStyle name="Normal 4 4 4 4 3 2 2" xfId="39330" xr:uid="{45EFB93A-64F9-402B-A374-6F2902DBEAD5}"/>
    <cellStyle name="Normal 4 4 4 4 3 3" xfId="14027" xr:uid="{00000000-0005-0000-0000-00009D3F0000}"/>
    <cellStyle name="Normal 4 4 4 4 3 4" xfId="30896" xr:uid="{4A6C9626-4DF9-4A7D-8B67-ACFA6BE5F589}"/>
    <cellStyle name="Normal 4 4 4 4 4" xfId="18244" xr:uid="{00000000-0005-0000-0000-00009E3F0000}"/>
    <cellStyle name="Normal 4 4 4 4 4 2" xfId="35113" xr:uid="{EDC543B2-EDD8-49C2-8B10-B86BB2C3DA52}"/>
    <cellStyle name="Normal 4 4 4 4 5" xfId="9809" xr:uid="{00000000-0005-0000-0000-00009F3F0000}"/>
    <cellStyle name="Normal 4 4 4 4 6" xfId="26679" xr:uid="{58AF66AE-29D2-4CC0-A6B2-F06EB3AF9EE0}"/>
    <cellStyle name="Normal 4 4 4 5" xfId="1697" xr:uid="{00000000-0005-0000-0000-0000A03F0000}"/>
    <cellStyle name="Normal 4 4 4 5 2" xfId="3927" xr:uid="{00000000-0005-0000-0000-0000A13F0000}"/>
    <cellStyle name="Normal 4 4 4 5 2 2" xfId="8150" xr:uid="{00000000-0005-0000-0000-0000A23F0000}"/>
    <cellStyle name="Normal 4 4 4 5 2 2 2" xfId="25020" xr:uid="{00000000-0005-0000-0000-0000A33F0000}"/>
    <cellStyle name="Normal 4 4 4 5 2 2 2 2" xfId="41888" xr:uid="{C532ADC6-E449-456E-9D9A-7E24403DB547}"/>
    <cellStyle name="Normal 4 4 4 5 2 2 3" xfId="16585" xr:uid="{00000000-0005-0000-0000-0000A43F0000}"/>
    <cellStyle name="Normal 4 4 4 5 2 2 4" xfId="33454" xr:uid="{4C1DCF0B-580F-4A85-A261-3F8353833B49}"/>
    <cellStyle name="Normal 4 4 4 5 2 3" xfId="20802" xr:uid="{00000000-0005-0000-0000-0000A53F0000}"/>
    <cellStyle name="Normal 4 4 4 5 2 3 2" xfId="37671" xr:uid="{EBF12711-028E-4148-B11A-77D201F65B69}"/>
    <cellStyle name="Normal 4 4 4 5 2 4" xfId="12367" xr:uid="{00000000-0005-0000-0000-0000A63F0000}"/>
    <cellStyle name="Normal 4 4 4 5 2 5" xfId="29237" xr:uid="{08326AE8-147A-4DEC-AA28-390734A6E55C}"/>
    <cellStyle name="Normal 4 4 4 5 3" xfId="6005" xr:uid="{00000000-0005-0000-0000-0000A73F0000}"/>
    <cellStyle name="Normal 4 4 4 5 3 2" xfId="22875" xr:uid="{00000000-0005-0000-0000-0000A83F0000}"/>
    <cellStyle name="Normal 4 4 4 5 3 2 2" xfId="39743" xr:uid="{46D9B5C3-FE35-4E2A-B602-EE6723440E37}"/>
    <cellStyle name="Normal 4 4 4 5 3 3" xfId="14440" xr:uid="{00000000-0005-0000-0000-0000A93F0000}"/>
    <cellStyle name="Normal 4 4 4 5 3 4" xfId="31309" xr:uid="{E0FBBBBF-C2F6-44F4-8834-E0FF672C38A8}"/>
    <cellStyle name="Normal 4 4 4 5 4" xfId="18657" xr:uid="{00000000-0005-0000-0000-0000AA3F0000}"/>
    <cellStyle name="Normal 4 4 4 5 4 2" xfId="35526" xr:uid="{5CAF3A32-9AF2-4B47-A834-DDD07291B33B}"/>
    <cellStyle name="Normal 4 4 4 5 5" xfId="10222" xr:uid="{00000000-0005-0000-0000-0000AB3F0000}"/>
    <cellStyle name="Normal 4 4 4 5 6" xfId="27092" xr:uid="{3EAC2E82-0B36-4440-8D3D-BF5FFE759F10}"/>
    <cellStyle name="Normal 4 4 4 6" xfId="2111" xr:uid="{00000000-0005-0000-0000-0000AC3F0000}"/>
    <cellStyle name="Normal 4 4 4 6 2" xfId="4340" xr:uid="{00000000-0005-0000-0000-0000AD3F0000}"/>
    <cellStyle name="Normal 4 4 4 6 2 2" xfId="8563" xr:uid="{00000000-0005-0000-0000-0000AE3F0000}"/>
    <cellStyle name="Normal 4 4 4 6 2 2 2" xfId="25433" xr:uid="{00000000-0005-0000-0000-0000AF3F0000}"/>
    <cellStyle name="Normal 4 4 4 6 2 2 2 2" xfId="42301" xr:uid="{72AADAA1-D3F9-4D05-A786-09304B25DD60}"/>
    <cellStyle name="Normal 4 4 4 6 2 2 3" xfId="16998" xr:uid="{00000000-0005-0000-0000-0000B03F0000}"/>
    <cellStyle name="Normal 4 4 4 6 2 2 4" xfId="33867" xr:uid="{BF9D571C-BE0A-49D1-B4BC-FA436689921C}"/>
    <cellStyle name="Normal 4 4 4 6 2 3" xfId="21215" xr:uid="{00000000-0005-0000-0000-0000B13F0000}"/>
    <cellStyle name="Normal 4 4 4 6 2 3 2" xfId="38084" xr:uid="{2D8283ED-4649-43B8-81A4-A384D1A88090}"/>
    <cellStyle name="Normal 4 4 4 6 2 4" xfId="12780" xr:uid="{00000000-0005-0000-0000-0000B23F0000}"/>
    <cellStyle name="Normal 4 4 4 6 2 5" xfId="29650" xr:uid="{1EEABBB5-8605-485E-B0F2-7C651D2B72A0}"/>
    <cellStyle name="Normal 4 4 4 6 3" xfId="6418" xr:uid="{00000000-0005-0000-0000-0000B33F0000}"/>
    <cellStyle name="Normal 4 4 4 6 3 2" xfId="23288" xr:uid="{00000000-0005-0000-0000-0000B43F0000}"/>
    <cellStyle name="Normal 4 4 4 6 3 2 2" xfId="40156" xr:uid="{24336AF1-8625-40FC-AB8A-F02B0E1E9453}"/>
    <cellStyle name="Normal 4 4 4 6 3 3" xfId="14853" xr:uid="{00000000-0005-0000-0000-0000B53F0000}"/>
    <cellStyle name="Normal 4 4 4 6 3 4" xfId="31722" xr:uid="{E9E0F20B-A5ED-4F69-AD4F-350E940D3331}"/>
    <cellStyle name="Normal 4 4 4 6 4" xfId="19070" xr:uid="{00000000-0005-0000-0000-0000B63F0000}"/>
    <cellStyle name="Normal 4 4 4 6 4 2" xfId="35939" xr:uid="{FDE3BF78-F175-41CD-8373-8174EFAB34D1}"/>
    <cellStyle name="Normal 4 4 4 6 5" xfId="10635" xr:uid="{00000000-0005-0000-0000-0000B73F0000}"/>
    <cellStyle name="Normal 4 4 4 6 6" xfId="27505" xr:uid="{88E40F3F-5B04-4266-9276-F775107FAC30}"/>
    <cellStyle name="Normal 4 4 4 7" xfId="2547" xr:uid="{00000000-0005-0000-0000-0000B83F0000}"/>
    <cellStyle name="Normal 4 4 4 7 2" xfId="6831" xr:uid="{00000000-0005-0000-0000-0000B93F0000}"/>
    <cellStyle name="Normal 4 4 4 7 2 2" xfId="23701" xr:uid="{00000000-0005-0000-0000-0000BA3F0000}"/>
    <cellStyle name="Normal 4 4 4 7 2 2 2" xfId="40569" xr:uid="{8C7E45CE-3113-4851-AB0B-AA157CB0C5E2}"/>
    <cellStyle name="Normal 4 4 4 7 2 3" xfId="15266" xr:uid="{00000000-0005-0000-0000-0000BB3F0000}"/>
    <cellStyle name="Normal 4 4 4 7 2 4" xfId="32135" xr:uid="{0069F6A0-4F57-4AB6-BAC9-D2838B15AFD8}"/>
    <cellStyle name="Normal 4 4 4 7 3" xfId="19483" xr:uid="{00000000-0005-0000-0000-0000BC3F0000}"/>
    <cellStyle name="Normal 4 4 4 7 3 2" xfId="36352" xr:uid="{449BB934-17A3-40A2-BB57-84B8528B014C}"/>
    <cellStyle name="Normal 4 4 4 7 4" xfId="11048" xr:uid="{00000000-0005-0000-0000-0000BD3F0000}"/>
    <cellStyle name="Normal 4 4 4 7 5" xfId="27918" xr:uid="{5B4D61D5-0855-4BC7-AE88-F3B825A3B7B1}"/>
    <cellStyle name="Normal 4 4 4 8" xfId="4766" xr:uid="{00000000-0005-0000-0000-0000BE3F0000}"/>
    <cellStyle name="Normal 4 4 4 8 2" xfId="21636" xr:uid="{00000000-0005-0000-0000-0000BF3F0000}"/>
    <cellStyle name="Normal 4 4 4 8 2 2" xfId="38504" xr:uid="{49C97DDE-3014-4EE1-BF00-CA9A7FDC4495}"/>
    <cellStyle name="Normal 4 4 4 8 3" xfId="13201" xr:uid="{00000000-0005-0000-0000-0000C03F0000}"/>
    <cellStyle name="Normal 4 4 4 8 4" xfId="30070" xr:uid="{C0DE7389-0E43-48B1-8478-21A03E122CA7}"/>
    <cellStyle name="Normal 4 4 4 9" xfId="17418" xr:uid="{00000000-0005-0000-0000-0000C13F0000}"/>
    <cellStyle name="Normal 4 4 4 9 2" xfId="34287" xr:uid="{CDFF8C2D-6552-442F-B20D-DFA7F8A54D36}"/>
    <cellStyle name="Normal 4 4 5" xfId="393" xr:uid="{00000000-0005-0000-0000-0000C23F0000}"/>
    <cellStyle name="Normal 4 4 5 10" xfId="25855" xr:uid="{1E92FD76-F125-483D-BB2D-90C100FB47FF}"/>
    <cellStyle name="Normal 4 4 5 2" xfId="868" xr:uid="{00000000-0005-0000-0000-0000C33F0000}"/>
    <cellStyle name="Normal 4 4 5 2 2" xfId="3103" xr:uid="{00000000-0005-0000-0000-0000C43F0000}"/>
    <cellStyle name="Normal 4 4 5 2 2 2" xfId="7326" xr:uid="{00000000-0005-0000-0000-0000C53F0000}"/>
    <cellStyle name="Normal 4 4 5 2 2 2 2" xfId="24196" xr:uid="{00000000-0005-0000-0000-0000C63F0000}"/>
    <cellStyle name="Normal 4 4 5 2 2 2 2 2" xfId="41064" xr:uid="{15FC4B35-AA61-400A-B896-49A2EAE3B3E8}"/>
    <cellStyle name="Normal 4 4 5 2 2 2 3" xfId="15761" xr:uid="{00000000-0005-0000-0000-0000C73F0000}"/>
    <cellStyle name="Normal 4 4 5 2 2 2 4" xfId="32630" xr:uid="{BF0C8617-32F6-4C84-ADD7-69D4DF26F104}"/>
    <cellStyle name="Normal 4 4 5 2 2 3" xfId="19978" xr:uid="{00000000-0005-0000-0000-0000C83F0000}"/>
    <cellStyle name="Normal 4 4 5 2 2 3 2" xfId="36847" xr:uid="{E11BA81C-5639-4965-B69D-D2FF8B48F188}"/>
    <cellStyle name="Normal 4 4 5 2 2 4" xfId="11543" xr:uid="{00000000-0005-0000-0000-0000C93F0000}"/>
    <cellStyle name="Normal 4 4 5 2 2 5" xfId="28413" xr:uid="{319E70F8-2EBA-44EC-B62C-5F9BF18643D1}"/>
    <cellStyle name="Normal 4 4 5 2 3" xfId="5181" xr:uid="{00000000-0005-0000-0000-0000CA3F0000}"/>
    <cellStyle name="Normal 4 4 5 2 3 2" xfId="22051" xr:uid="{00000000-0005-0000-0000-0000CB3F0000}"/>
    <cellStyle name="Normal 4 4 5 2 3 2 2" xfId="38919" xr:uid="{34A99894-B7AA-41DE-82FA-86B674173091}"/>
    <cellStyle name="Normal 4 4 5 2 3 3" xfId="13616" xr:uid="{00000000-0005-0000-0000-0000CC3F0000}"/>
    <cellStyle name="Normal 4 4 5 2 3 4" xfId="30485" xr:uid="{01B95AF7-2D41-4182-AFA8-82696270421E}"/>
    <cellStyle name="Normal 4 4 5 2 4" xfId="17833" xr:uid="{00000000-0005-0000-0000-0000CD3F0000}"/>
    <cellStyle name="Normal 4 4 5 2 4 2" xfId="34702" xr:uid="{B2A5B9B6-8D53-4BBB-B9E4-A15E3684F681}"/>
    <cellStyle name="Normal 4 4 5 2 5" xfId="9398" xr:uid="{00000000-0005-0000-0000-0000CE3F0000}"/>
    <cellStyle name="Normal 4 4 5 2 6" xfId="26268" xr:uid="{E875B342-A80E-4649-B633-7FC5DEEB6C49}"/>
    <cellStyle name="Normal 4 4 5 3" xfId="1286" xr:uid="{00000000-0005-0000-0000-0000CF3F0000}"/>
    <cellStyle name="Normal 4 4 5 3 2" xfId="3516" xr:uid="{00000000-0005-0000-0000-0000D03F0000}"/>
    <cellStyle name="Normal 4 4 5 3 2 2" xfId="7739" xr:uid="{00000000-0005-0000-0000-0000D13F0000}"/>
    <cellStyle name="Normal 4 4 5 3 2 2 2" xfId="24609" xr:uid="{00000000-0005-0000-0000-0000D23F0000}"/>
    <cellStyle name="Normal 4 4 5 3 2 2 2 2" xfId="41477" xr:uid="{80E8BD40-F25E-4BB0-8C81-81D14A93B2C1}"/>
    <cellStyle name="Normal 4 4 5 3 2 2 3" xfId="16174" xr:uid="{00000000-0005-0000-0000-0000D33F0000}"/>
    <cellStyle name="Normal 4 4 5 3 2 2 4" xfId="33043" xr:uid="{123AA225-2F28-4CEE-BBBC-AAAAF1D93D23}"/>
    <cellStyle name="Normal 4 4 5 3 2 3" xfId="20391" xr:uid="{00000000-0005-0000-0000-0000D43F0000}"/>
    <cellStyle name="Normal 4 4 5 3 2 3 2" xfId="37260" xr:uid="{0449578E-F951-46B3-BDC9-859C3D5CE2AA}"/>
    <cellStyle name="Normal 4 4 5 3 2 4" xfId="11956" xr:uid="{00000000-0005-0000-0000-0000D53F0000}"/>
    <cellStyle name="Normal 4 4 5 3 2 5" xfId="28826" xr:uid="{D0761D2B-2186-4C2C-A87D-C71E9D6910A6}"/>
    <cellStyle name="Normal 4 4 5 3 3" xfId="5594" xr:uid="{00000000-0005-0000-0000-0000D63F0000}"/>
    <cellStyle name="Normal 4 4 5 3 3 2" xfId="22464" xr:uid="{00000000-0005-0000-0000-0000D73F0000}"/>
    <cellStyle name="Normal 4 4 5 3 3 2 2" xfId="39332" xr:uid="{E2B4AEAD-BFEE-4017-93B2-56E76E924B95}"/>
    <cellStyle name="Normal 4 4 5 3 3 3" xfId="14029" xr:uid="{00000000-0005-0000-0000-0000D83F0000}"/>
    <cellStyle name="Normal 4 4 5 3 3 4" xfId="30898" xr:uid="{CBEEB586-1819-4E1B-9BE1-80E739E4FAB3}"/>
    <cellStyle name="Normal 4 4 5 3 4" xfId="18246" xr:uid="{00000000-0005-0000-0000-0000D93F0000}"/>
    <cellStyle name="Normal 4 4 5 3 4 2" xfId="35115" xr:uid="{9D265031-8339-4CF2-8029-DD5CF80D38D3}"/>
    <cellStyle name="Normal 4 4 5 3 5" xfId="9811" xr:uid="{00000000-0005-0000-0000-0000DA3F0000}"/>
    <cellStyle name="Normal 4 4 5 3 6" xfId="26681" xr:uid="{DD61CBDD-92B0-4C19-B8DA-FF5D77B17736}"/>
    <cellStyle name="Normal 4 4 5 4" xfId="1699" xr:uid="{00000000-0005-0000-0000-0000DB3F0000}"/>
    <cellStyle name="Normal 4 4 5 4 2" xfId="3929" xr:uid="{00000000-0005-0000-0000-0000DC3F0000}"/>
    <cellStyle name="Normal 4 4 5 4 2 2" xfId="8152" xr:uid="{00000000-0005-0000-0000-0000DD3F0000}"/>
    <cellStyle name="Normal 4 4 5 4 2 2 2" xfId="25022" xr:uid="{00000000-0005-0000-0000-0000DE3F0000}"/>
    <cellStyle name="Normal 4 4 5 4 2 2 2 2" xfId="41890" xr:uid="{81688F93-9F2B-4F2D-8DAB-AB0763695AF3}"/>
    <cellStyle name="Normal 4 4 5 4 2 2 3" xfId="16587" xr:uid="{00000000-0005-0000-0000-0000DF3F0000}"/>
    <cellStyle name="Normal 4 4 5 4 2 2 4" xfId="33456" xr:uid="{2171F1AF-2723-4C74-9018-96500C813A18}"/>
    <cellStyle name="Normal 4 4 5 4 2 3" xfId="20804" xr:uid="{00000000-0005-0000-0000-0000E03F0000}"/>
    <cellStyle name="Normal 4 4 5 4 2 3 2" xfId="37673" xr:uid="{4BDDAB79-5929-4453-8CC2-3F09A180FD2C}"/>
    <cellStyle name="Normal 4 4 5 4 2 4" xfId="12369" xr:uid="{00000000-0005-0000-0000-0000E13F0000}"/>
    <cellStyle name="Normal 4 4 5 4 2 5" xfId="29239" xr:uid="{0849E804-EDA2-46C7-9782-7BB01B06135A}"/>
    <cellStyle name="Normal 4 4 5 4 3" xfId="6007" xr:uid="{00000000-0005-0000-0000-0000E23F0000}"/>
    <cellStyle name="Normal 4 4 5 4 3 2" xfId="22877" xr:uid="{00000000-0005-0000-0000-0000E33F0000}"/>
    <cellStyle name="Normal 4 4 5 4 3 2 2" xfId="39745" xr:uid="{DEDE6D4B-7A72-4FB5-9203-638FB98F6B9F}"/>
    <cellStyle name="Normal 4 4 5 4 3 3" xfId="14442" xr:uid="{00000000-0005-0000-0000-0000E43F0000}"/>
    <cellStyle name="Normal 4 4 5 4 3 4" xfId="31311" xr:uid="{03132B5D-3F34-47CD-BBF0-647D1E1ACC9D}"/>
    <cellStyle name="Normal 4 4 5 4 4" xfId="18659" xr:uid="{00000000-0005-0000-0000-0000E53F0000}"/>
    <cellStyle name="Normal 4 4 5 4 4 2" xfId="35528" xr:uid="{5C5FA43D-E333-4F5C-9843-8E9EEC69CA36}"/>
    <cellStyle name="Normal 4 4 5 4 5" xfId="10224" xr:uid="{00000000-0005-0000-0000-0000E63F0000}"/>
    <cellStyle name="Normal 4 4 5 4 6" xfId="27094" xr:uid="{87F66FA9-627B-4898-9BA0-56B25D63A177}"/>
    <cellStyle name="Normal 4 4 5 5" xfId="2113" xr:uid="{00000000-0005-0000-0000-0000E73F0000}"/>
    <cellStyle name="Normal 4 4 5 5 2" xfId="4342" xr:uid="{00000000-0005-0000-0000-0000E83F0000}"/>
    <cellStyle name="Normal 4 4 5 5 2 2" xfId="8565" xr:uid="{00000000-0005-0000-0000-0000E93F0000}"/>
    <cellStyle name="Normal 4 4 5 5 2 2 2" xfId="25435" xr:uid="{00000000-0005-0000-0000-0000EA3F0000}"/>
    <cellStyle name="Normal 4 4 5 5 2 2 2 2" xfId="42303" xr:uid="{E4E4C165-ECCC-428E-A3FB-1E414B25E9B3}"/>
    <cellStyle name="Normal 4 4 5 5 2 2 3" xfId="17000" xr:uid="{00000000-0005-0000-0000-0000EB3F0000}"/>
    <cellStyle name="Normal 4 4 5 5 2 2 4" xfId="33869" xr:uid="{EDE9294B-C6BE-4A73-9C55-1880D2661E68}"/>
    <cellStyle name="Normal 4 4 5 5 2 3" xfId="21217" xr:uid="{00000000-0005-0000-0000-0000EC3F0000}"/>
    <cellStyle name="Normal 4 4 5 5 2 3 2" xfId="38086" xr:uid="{8DC60AD9-BB89-4900-9979-56010DEB0CB4}"/>
    <cellStyle name="Normal 4 4 5 5 2 4" xfId="12782" xr:uid="{00000000-0005-0000-0000-0000ED3F0000}"/>
    <cellStyle name="Normal 4 4 5 5 2 5" xfId="29652" xr:uid="{92AC9EBC-FA4E-4BFD-9170-9C8707A8A134}"/>
    <cellStyle name="Normal 4 4 5 5 3" xfId="6420" xr:uid="{00000000-0005-0000-0000-0000EE3F0000}"/>
    <cellStyle name="Normal 4 4 5 5 3 2" xfId="23290" xr:uid="{00000000-0005-0000-0000-0000EF3F0000}"/>
    <cellStyle name="Normal 4 4 5 5 3 2 2" xfId="40158" xr:uid="{8F38CFF2-0F9F-40B3-B48E-B960BC6CBE45}"/>
    <cellStyle name="Normal 4 4 5 5 3 3" xfId="14855" xr:uid="{00000000-0005-0000-0000-0000F03F0000}"/>
    <cellStyle name="Normal 4 4 5 5 3 4" xfId="31724" xr:uid="{68A722C0-EDF1-486E-ABA3-F6F478C3AAFC}"/>
    <cellStyle name="Normal 4 4 5 5 4" xfId="19072" xr:uid="{00000000-0005-0000-0000-0000F13F0000}"/>
    <cellStyle name="Normal 4 4 5 5 4 2" xfId="35941" xr:uid="{C514D64A-4C58-4409-A414-C79C43412145}"/>
    <cellStyle name="Normal 4 4 5 5 5" xfId="10637" xr:uid="{00000000-0005-0000-0000-0000F23F0000}"/>
    <cellStyle name="Normal 4 4 5 5 6" xfId="27507" xr:uid="{A82052B8-97BB-422C-A93C-BF38C391B4B4}"/>
    <cellStyle name="Normal 4 4 5 6" xfId="2549" xr:uid="{00000000-0005-0000-0000-0000F33F0000}"/>
    <cellStyle name="Normal 4 4 5 6 2" xfId="6833" xr:uid="{00000000-0005-0000-0000-0000F43F0000}"/>
    <cellStyle name="Normal 4 4 5 6 2 2" xfId="23703" xr:uid="{00000000-0005-0000-0000-0000F53F0000}"/>
    <cellStyle name="Normal 4 4 5 6 2 2 2" xfId="40571" xr:uid="{5D96EB66-7D28-4FB5-90D2-7E0226DC8A8E}"/>
    <cellStyle name="Normal 4 4 5 6 2 3" xfId="15268" xr:uid="{00000000-0005-0000-0000-0000F63F0000}"/>
    <cellStyle name="Normal 4 4 5 6 2 4" xfId="32137" xr:uid="{815C8C25-F979-41EE-84E1-457A00B770B1}"/>
    <cellStyle name="Normal 4 4 5 6 3" xfId="19485" xr:uid="{00000000-0005-0000-0000-0000F73F0000}"/>
    <cellStyle name="Normal 4 4 5 6 3 2" xfId="36354" xr:uid="{09E8F88F-3C8F-479F-87B9-13C68A092A33}"/>
    <cellStyle name="Normal 4 4 5 6 4" xfId="11050" xr:uid="{00000000-0005-0000-0000-0000F83F0000}"/>
    <cellStyle name="Normal 4 4 5 6 5" xfId="27920" xr:uid="{70AE3623-FB27-4EE5-A378-29A0A6CC7FCA}"/>
    <cellStyle name="Normal 4 4 5 7" xfId="4768" xr:uid="{00000000-0005-0000-0000-0000F93F0000}"/>
    <cellStyle name="Normal 4 4 5 7 2" xfId="21638" xr:uid="{00000000-0005-0000-0000-0000FA3F0000}"/>
    <cellStyle name="Normal 4 4 5 7 2 2" xfId="38506" xr:uid="{3F05BD3F-C4F1-4A2A-AD5E-078E5FC227ED}"/>
    <cellStyle name="Normal 4 4 5 7 3" xfId="13203" xr:uid="{00000000-0005-0000-0000-0000FB3F0000}"/>
    <cellStyle name="Normal 4 4 5 7 4" xfId="30072" xr:uid="{274B4310-AE6C-45C6-BBC0-EF8433E2AE8C}"/>
    <cellStyle name="Normal 4 4 5 8" xfId="17420" xr:uid="{00000000-0005-0000-0000-0000FC3F0000}"/>
    <cellStyle name="Normal 4 4 5 8 2" xfId="34289" xr:uid="{F702119C-620A-4E2F-96E4-A00BE6706251}"/>
    <cellStyle name="Normal 4 4 5 9" xfId="8985" xr:uid="{00000000-0005-0000-0000-0000FD3F0000}"/>
    <cellStyle name="Normal 4 4 6" xfId="853" xr:uid="{00000000-0005-0000-0000-0000FE3F0000}"/>
    <cellStyle name="Normal 4 4 6 2" xfId="3088" xr:uid="{00000000-0005-0000-0000-0000FF3F0000}"/>
    <cellStyle name="Normal 4 4 6 2 2" xfId="7311" xr:uid="{00000000-0005-0000-0000-000000400000}"/>
    <cellStyle name="Normal 4 4 6 2 2 2" xfId="24181" xr:uid="{00000000-0005-0000-0000-000001400000}"/>
    <cellStyle name="Normal 4 4 6 2 2 2 2" xfId="41049" xr:uid="{28871988-E2B8-412B-8E84-F66B5A5C0286}"/>
    <cellStyle name="Normal 4 4 6 2 2 3" xfId="15746" xr:uid="{00000000-0005-0000-0000-000002400000}"/>
    <cellStyle name="Normal 4 4 6 2 2 4" xfId="32615" xr:uid="{8F01E058-511E-41B0-9D0D-9CA9A6F89B44}"/>
    <cellStyle name="Normal 4 4 6 2 3" xfId="19963" xr:uid="{00000000-0005-0000-0000-000003400000}"/>
    <cellStyle name="Normal 4 4 6 2 3 2" xfId="36832" xr:uid="{524C235A-5611-40AA-AEDC-32E3DCE88A62}"/>
    <cellStyle name="Normal 4 4 6 2 4" xfId="11528" xr:uid="{00000000-0005-0000-0000-000004400000}"/>
    <cellStyle name="Normal 4 4 6 2 5" xfId="28398" xr:uid="{E3A1B0B7-4491-4086-8CCA-FEFA4B514902}"/>
    <cellStyle name="Normal 4 4 6 3" xfId="5166" xr:uid="{00000000-0005-0000-0000-000005400000}"/>
    <cellStyle name="Normal 4 4 6 3 2" xfId="22036" xr:uid="{00000000-0005-0000-0000-000006400000}"/>
    <cellStyle name="Normal 4 4 6 3 2 2" xfId="38904" xr:uid="{74FC91E7-93F3-4811-B719-D72335EC5D67}"/>
    <cellStyle name="Normal 4 4 6 3 3" xfId="13601" xr:uid="{00000000-0005-0000-0000-000007400000}"/>
    <cellStyle name="Normal 4 4 6 3 4" xfId="30470" xr:uid="{4F051FD9-8D94-40C9-90AA-5DF2E3B84B0A}"/>
    <cellStyle name="Normal 4 4 6 4" xfId="17818" xr:uid="{00000000-0005-0000-0000-000008400000}"/>
    <cellStyle name="Normal 4 4 6 4 2" xfId="34687" xr:uid="{0F514588-C603-462C-BA29-B689ADD369A0}"/>
    <cellStyle name="Normal 4 4 6 5" xfId="9383" xr:uid="{00000000-0005-0000-0000-000009400000}"/>
    <cellStyle name="Normal 4 4 6 6" xfId="26253" xr:uid="{506B6670-4B6E-4351-8E7D-92FD0C4B40F9}"/>
    <cellStyle name="Normal 4 4 7" xfId="1271" xr:uid="{00000000-0005-0000-0000-00000A400000}"/>
    <cellStyle name="Normal 4 4 7 2" xfId="3501" xr:uid="{00000000-0005-0000-0000-00000B400000}"/>
    <cellStyle name="Normal 4 4 7 2 2" xfId="7724" xr:uid="{00000000-0005-0000-0000-00000C400000}"/>
    <cellStyle name="Normal 4 4 7 2 2 2" xfId="24594" xr:uid="{00000000-0005-0000-0000-00000D400000}"/>
    <cellStyle name="Normal 4 4 7 2 2 2 2" xfId="41462" xr:uid="{A7644FAE-520F-47D4-A506-1144A79D56A3}"/>
    <cellStyle name="Normal 4 4 7 2 2 3" xfId="16159" xr:uid="{00000000-0005-0000-0000-00000E400000}"/>
    <cellStyle name="Normal 4 4 7 2 2 4" xfId="33028" xr:uid="{EE0353CC-4D05-4E52-A699-505AFF20FCD5}"/>
    <cellStyle name="Normal 4 4 7 2 3" xfId="20376" xr:uid="{00000000-0005-0000-0000-00000F400000}"/>
    <cellStyle name="Normal 4 4 7 2 3 2" xfId="37245" xr:uid="{B076452A-69D4-4D6A-BBF9-FE89171E1AEC}"/>
    <cellStyle name="Normal 4 4 7 2 4" xfId="11941" xr:uid="{00000000-0005-0000-0000-000010400000}"/>
    <cellStyle name="Normal 4 4 7 2 5" xfId="28811" xr:uid="{53A01629-4DB1-4D26-9CA3-BBE4782672C7}"/>
    <cellStyle name="Normal 4 4 7 3" xfId="5579" xr:uid="{00000000-0005-0000-0000-000011400000}"/>
    <cellStyle name="Normal 4 4 7 3 2" xfId="22449" xr:uid="{00000000-0005-0000-0000-000012400000}"/>
    <cellStyle name="Normal 4 4 7 3 2 2" xfId="39317" xr:uid="{0EDB7775-8DEF-4649-B6E2-D99BA3B4830E}"/>
    <cellStyle name="Normal 4 4 7 3 3" xfId="14014" xr:uid="{00000000-0005-0000-0000-000013400000}"/>
    <cellStyle name="Normal 4 4 7 3 4" xfId="30883" xr:uid="{DDDE4395-9689-4139-8562-04EE59E4F546}"/>
    <cellStyle name="Normal 4 4 7 4" xfId="18231" xr:uid="{00000000-0005-0000-0000-000014400000}"/>
    <cellStyle name="Normal 4 4 7 4 2" xfId="35100" xr:uid="{497A2A23-1015-4D19-8414-1B1AFD5DE204}"/>
    <cellStyle name="Normal 4 4 7 5" xfId="9796" xr:uid="{00000000-0005-0000-0000-000015400000}"/>
    <cellStyle name="Normal 4 4 7 6" xfId="26666" xr:uid="{CA69BA43-7477-4421-9F4F-90E20A780ED7}"/>
    <cellStyle name="Normal 4 4 8" xfId="1684" xr:uid="{00000000-0005-0000-0000-000016400000}"/>
    <cellStyle name="Normal 4 4 8 2" xfId="3914" xr:uid="{00000000-0005-0000-0000-000017400000}"/>
    <cellStyle name="Normal 4 4 8 2 2" xfId="8137" xr:uid="{00000000-0005-0000-0000-000018400000}"/>
    <cellStyle name="Normal 4 4 8 2 2 2" xfId="25007" xr:uid="{00000000-0005-0000-0000-000019400000}"/>
    <cellStyle name="Normal 4 4 8 2 2 2 2" xfId="41875" xr:uid="{028F64E8-E949-4A99-9DDE-22018FC668F4}"/>
    <cellStyle name="Normal 4 4 8 2 2 3" xfId="16572" xr:uid="{00000000-0005-0000-0000-00001A400000}"/>
    <cellStyle name="Normal 4 4 8 2 2 4" xfId="33441" xr:uid="{DA3BE25F-56CB-4494-8451-A86192EFCCFB}"/>
    <cellStyle name="Normal 4 4 8 2 3" xfId="20789" xr:uid="{00000000-0005-0000-0000-00001B400000}"/>
    <cellStyle name="Normal 4 4 8 2 3 2" xfId="37658" xr:uid="{4B6CD2BA-AC4F-4DC3-902B-DBA61B53D48B}"/>
    <cellStyle name="Normal 4 4 8 2 4" xfId="12354" xr:uid="{00000000-0005-0000-0000-00001C400000}"/>
    <cellStyle name="Normal 4 4 8 2 5" xfId="29224" xr:uid="{D8E1F967-1B08-4155-9059-6ED25787F7CD}"/>
    <cellStyle name="Normal 4 4 8 3" xfId="5992" xr:uid="{00000000-0005-0000-0000-00001D400000}"/>
    <cellStyle name="Normal 4 4 8 3 2" xfId="22862" xr:uid="{00000000-0005-0000-0000-00001E400000}"/>
    <cellStyle name="Normal 4 4 8 3 2 2" xfId="39730" xr:uid="{3795DC67-D6A8-4A88-BAA0-7317F8CA476F}"/>
    <cellStyle name="Normal 4 4 8 3 3" xfId="14427" xr:uid="{00000000-0005-0000-0000-00001F400000}"/>
    <cellStyle name="Normal 4 4 8 3 4" xfId="31296" xr:uid="{9A641370-4D2A-4779-A99C-FE6C7B5F562A}"/>
    <cellStyle name="Normal 4 4 8 4" xfId="18644" xr:uid="{00000000-0005-0000-0000-000020400000}"/>
    <cellStyle name="Normal 4 4 8 4 2" xfId="35513" xr:uid="{A601A913-C3F6-4424-B53A-02497C193FB2}"/>
    <cellStyle name="Normal 4 4 8 5" xfId="10209" xr:uid="{00000000-0005-0000-0000-000021400000}"/>
    <cellStyle name="Normal 4 4 8 6" xfId="27079" xr:uid="{582FB7FE-4889-42BA-9BEF-4CA114AE1030}"/>
    <cellStyle name="Normal 4 4 9" xfId="2098" xr:uid="{00000000-0005-0000-0000-000022400000}"/>
    <cellStyle name="Normal 4 4 9 2" xfId="4327" xr:uid="{00000000-0005-0000-0000-000023400000}"/>
    <cellStyle name="Normal 4 4 9 2 2" xfId="8550" xr:uid="{00000000-0005-0000-0000-000024400000}"/>
    <cellStyle name="Normal 4 4 9 2 2 2" xfId="25420" xr:uid="{00000000-0005-0000-0000-000025400000}"/>
    <cellStyle name="Normal 4 4 9 2 2 2 2" xfId="42288" xr:uid="{A19C5A78-F3DD-41E5-8507-1C8791979548}"/>
    <cellStyle name="Normal 4 4 9 2 2 3" xfId="16985" xr:uid="{00000000-0005-0000-0000-000026400000}"/>
    <cellStyle name="Normal 4 4 9 2 2 4" xfId="33854" xr:uid="{2C9CFF32-8C40-4AF3-93D6-C80D71B277A7}"/>
    <cellStyle name="Normal 4 4 9 2 3" xfId="21202" xr:uid="{00000000-0005-0000-0000-000027400000}"/>
    <cellStyle name="Normal 4 4 9 2 3 2" xfId="38071" xr:uid="{7C881105-01FC-475E-B170-A40F7972D896}"/>
    <cellStyle name="Normal 4 4 9 2 4" xfId="12767" xr:uid="{00000000-0005-0000-0000-000028400000}"/>
    <cellStyle name="Normal 4 4 9 2 5" xfId="29637" xr:uid="{DAF284D8-3ADE-4052-AA33-9B377616655D}"/>
    <cellStyle name="Normal 4 4 9 3" xfId="6405" xr:uid="{00000000-0005-0000-0000-000029400000}"/>
    <cellStyle name="Normal 4 4 9 3 2" xfId="23275" xr:uid="{00000000-0005-0000-0000-00002A400000}"/>
    <cellStyle name="Normal 4 4 9 3 2 2" xfId="40143" xr:uid="{37F35CC3-037C-4760-BA82-FDF34E0FC647}"/>
    <cellStyle name="Normal 4 4 9 3 3" xfId="14840" xr:uid="{00000000-0005-0000-0000-00002B400000}"/>
    <cellStyle name="Normal 4 4 9 3 4" xfId="31709" xr:uid="{2F78B812-1CB4-49FC-87F4-FD577EFC71A7}"/>
    <cellStyle name="Normal 4 4 9 4" xfId="19057" xr:uid="{00000000-0005-0000-0000-00002C400000}"/>
    <cellStyle name="Normal 4 4 9 4 2" xfId="35926" xr:uid="{A3447160-F660-4456-A492-5030E436268A}"/>
    <cellStyle name="Normal 4 4 9 5" xfId="10622" xr:uid="{00000000-0005-0000-0000-00002D400000}"/>
    <cellStyle name="Normal 4 4 9 6" xfId="27492" xr:uid="{E1D70B2F-C902-42C5-B4B0-0C8618750702}"/>
    <cellStyle name="Normal 4 5" xfId="394" xr:uid="{00000000-0005-0000-0000-00002E400000}"/>
    <cellStyle name="Normal 4 6" xfId="395" xr:uid="{00000000-0005-0000-0000-00002F400000}"/>
    <cellStyle name="Normal 4 6 10" xfId="4769" xr:uid="{00000000-0005-0000-0000-000030400000}"/>
    <cellStyle name="Normal 4 6 10 2" xfId="21639" xr:uid="{00000000-0005-0000-0000-000031400000}"/>
    <cellStyle name="Normal 4 6 10 2 2" xfId="38507" xr:uid="{4BBE1923-C2EC-4B3A-BB5F-2372F9685686}"/>
    <cellStyle name="Normal 4 6 10 3" xfId="13204" xr:uid="{00000000-0005-0000-0000-000032400000}"/>
    <cellStyle name="Normal 4 6 10 4" xfId="30073" xr:uid="{631595A9-813C-4B0A-A2D9-127185AFD53C}"/>
    <cellStyle name="Normal 4 6 11" xfId="17421" xr:uid="{00000000-0005-0000-0000-000033400000}"/>
    <cellStyle name="Normal 4 6 11 2" xfId="34290" xr:uid="{D3433A65-8F57-4E9A-BF40-E96B3AC920D6}"/>
    <cellStyle name="Normal 4 6 12" xfId="8986" xr:uid="{00000000-0005-0000-0000-000034400000}"/>
    <cellStyle name="Normal 4 6 13" xfId="25856" xr:uid="{76515A8E-230D-4258-9CCF-E3231A563C3F}"/>
    <cellStyle name="Normal 4 6 2" xfId="396" xr:uid="{00000000-0005-0000-0000-000035400000}"/>
    <cellStyle name="Normal 4 6 2 10" xfId="17422" xr:uid="{00000000-0005-0000-0000-000036400000}"/>
    <cellStyle name="Normal 4 6 2 10 2" xfId="34291" xr:uid="{08CEDFA6-4483-48F8-8F2D-39DD4163A409}"/>
    <cellStyle name="Normal 4 6 2 11" xfId="8987" xr:uid="{00000000-0005-0000-0000-000037400000}"/>
    <cellStyle name="Normal 4 6 2 12" xfId="25857" xr:uid="{9B4792E4-A2DC-4CAD-B717-964FCDF4B667}"/>
    <cellStyle name="Normal 4 6 2 2" xfId="397" xr:uid="{00000000-0005-0000-0000-000038400000}"/>
    <cellStyle name="Normal 4 6 2 2 10" xfId="8988" xr:uid="{00000000-0005-0000-0000-000039400000}"/>
    <cellStyle name="Normal 4 6 2 2 11" xfId="25858" xr:uid="{D3D4AAE1-CE34-43F6-A6A9-33FB5852AD7C}"/>
    <cellStyle name="Normal 4 6 2 2 2" xfId="398" xr:uid="{00000000-0005-0000-0000-00003A400000}"/>
    <cellStyle name="Normal 4 6 2 2 2 10" xfId="25859" xr:uid="{4D277D15-2F6C-4EBB-8FDC-E09A1E7ED186}"/>
    <cellStyle name="Normal 4 6 2 2 2 2" xfId="872" xr:uid="{00000000-0005-0000-0000-00003B400000}"/>
    <cellStyle name="Normal 4 6 2 2 2 2 2" xfId="3107" xr:uid="{00000000-0005-0000-0000-00003C400000}"/>
    <cellStyle name="Normal 4 6 2 2 2 2 2 2" xfId="7330" xr:uid="{00000000-0005-0000-0000-00003D400000}"/>
    <cellStyle name="Normal 4 6 2 2 2 2 2 2 2" xfId="24200" xr:uid="{00000000-0005-0000-0000-00003E400000}"/>
    <cellStyle name="Normal 4 6 2 2 2 2 2 2 2 2" xfId="41068" xr:uid="{AB2805DB-7207-4986-ADA6-3DA970F26F32}"/>
    <cellStyle name="Normal 4 6 2 2 2 2 2 2 3" xfId="15765" xr:uid="{00000000-0005-0000-0000-00003F400000}"/>
    <cellStyle name="Normal 4 6 2 2 2 2 2 2 4" xfId="32634" xr:uid="{8E817BF9-4345-4555-8A40-6CD82021B4D2}"/>
    <cellStyle name="Normal 4 6 2 2 2 2 2 3" xfId="19982" xr:uid="{00000000-0005-0000-0000-000040400000}"/>
    <cellStyle name="Normal 4 6 2 2 2 2 2 3 2" xfId="36851" xr:uid="{1166A76B-5C90-4354-9E01-F361355EB025}"/>
    <cellStyle name="Normal 4 6 2 2 2 2 2 4" xfId="11547" xr:uid="{00000000-0005-0000-0000-000041400000}"/>
    <cellStyle name="Normal 4 6 2 2 2 2 2 5" xfId="28417" xr:uid="{93D05E0C-6E7F-4E1F-A95D-D0742EBFAF63}"/>
    <cellStyle name="Normal 4 6 2 2 2 2 3" xfId="5185" xr:uid="{00000000-0005-0000-0000-000042400000}"/>
    <cellStyle name="Normal 4 6 2 2 2 2 3 2" xfId="22055" xr:uid="{00000000-0005-0000-0000-000043400000}"/>
    <cellStyle name="Normal 4 6 2 2 2 2 3 2 2" xfId="38923" xr:uid="{12B666B4-0EEB-422C-94A7-0A0D76454E1D}"/>
    <cellStyle name="Normal 4 6 2 2 2 2 3 3" xfId="13620" xr:uid="{00000000-0005-0000-0000-000044400000}"/>
    <cellStyle name="Normal 4 6 2 2 2 2 3 4" xfId="30489" xr:uid="{F0041A70-3CFE-4681-B873-25DA54E58A59}"/>
    <cellStyle name="Normal 4 6 2 2 2 2 4" xfId="17837" xr:uid="{00000000-0005-0000-0000-000045400000}"/>
    <cellStyle name="Normal 4 6 2 2 2 2 4 2" xfId="34706" xr:uid="{7EA8BC67-BBD0-48AB-AAF4-B4B3DE421C76}"/>
    <cellStyle name="Normal 4 6 2 2 2 2 5" xfId="9402" xr:uid="{00000000-0005-0000-0000-000046400000}"/>
    <cellStyle name="Normal 4 6 2 2 2 2 6" xfId="26272" xr:uid="{95DE1E7C-6EF3-4089-AECA-C4D25D17E1D3}"/>
    <cellStyle name="Normal 4 6 2 2 2 3" xfId="1290" xr:uid="{00000000-0005-0000-0000-000047400000}"/>
    <cellStyle name="Normal 4 6 2 2 2 3 2" xfId="3520" xr:uid="{00000000-0005-0000-0000-000048400000}"/>
    <cellStyle name="Normal 4 6 2 2 2 3 2 2" xfId="7743" xr:uid="{00000000-0005-0000-0000-000049400000}"/>
    <cellStyle name="Normal 4 6 2 2 2 3 2 2 2" xfId="24613" xr:uid="{00000000-0005-0000-0000-00004A400000}"/>
    <cellStyle name="Normal 4 6 2 2 2 3 2 2 2 2" xfId="41481" xr:uid="{877BFFB7-A01C-4CE3-AF73-FA7801C2F8C8}"/>
    <cellStyle name="Normal 4 6 2 2 2 3 2 2 3" xfId="16178" xr:uid="{00000000-0005-0000-0000-00004B400000}"/>
    <cellStyle name="Normal 4 6 2 2 2 3 2 2 4" xfId="33047" xr:uid="{CAE5899D-0B4B-4F5E-8887-BCEC65B9FAAC}"/>
    <cellStyle name="Normal 4 6 2 2 2 3 2 3" xfId="20395" xr:uid="{00000000-0005-0000-0000-00004C400000}"/>
    <cellStyle name="Normal 4 6 2 2 2 3 2 3 2" xfId="37264" xr:uid="{82C84C92-D651-4C1E-9D84-1ED0388E7F1A}"/>
    <cellStyle name="Normal 4 6 2 2 2 3 2 4" xfId="11960" xr:uid="{00000000-0005-0000-0000-00004D400000}"/>
    <cellStyle name="Normal 4 6 2 2 2 3 2 5" xfId="28830" xr:uid="{A39936E6-DB08-4CB9-9BAA-7FC1861DA035}"/>
    <cellStyle name="Normal 4 6 2 2 2 3 3" xfId="5598" xr:uid="{00000000-0005-0000-0000-00004E400000}"/>
    <cellStyle name="Normal 4 6 2 2 2 3 3 2" xfId="22468" xr:uid="{00000000-0005-0000-0000-00004F400000}"/>
    <cellStyle name="Normal 4 6 2 2 2 3 3 2 2" xfId="39336" xr:uid="{D05C0B23-8D40-4083-9CDC-8B0FDB4F7F6B}"/>
    <cellStyle name="Normal 4 6 2 2 2 3 3 3" xfId="14033" xr:uid="{00000000-0005-0000-0000-000050400000}"/>
    <cellStyle name="Normal 4 6 2 2 2 3 3 4" xfId="30902" xr:uid="{6062A57C-587C-4ACD-BA42-0879EF92708E}"/>
    <cellStyle name="Normal 4 6 2 2 2 3 4" xfId="18250" xr:uid="{00000000-0005-0000-0000-000051400000}"/>
    <cellStyle name="Normal 4 6 2 2 2 3 4 2" xfId="35119" xr:uid="{D0507B7C-6FAF-4AD7-93A3-6BE2465A0D59}"/>
    <cellStyle name="Normal 4 6 2 2 2 3 5" xfId="9815" xr:uid="{00000000-0005-0000-0000-000052400000}"/>
    <cellStyle name="Normal 4 6 2 2 2 3 6" xfId="26685" xr:uid="{AE111964-3F03-4BE4-9977-090AB1210A7A}"/>
    <cellStyle name="Normal 4 6 2 2 2 4" xfId="1703" xr:uid="{00000000-0005-0000-0000-000053400000}"/>
    <cellStyle name="Normal 4 6 2 2 2 4 2" xfId="3933" xr:uid="{00000000-0005-0000-0000-000054400000}"/>
    <cellStyle name="Normal 4 6 2 2 2 4 2 2" xfId="8156" xr:uid="{00000000-0005-0000-0000-000055400000}"/>
    <cellStyle name="Normal 4 6 2 2 2 4 2 2 2" xfId="25026" xr:uid="{00000000-0005-0000-0000-000056400000}"/>
    <cellStyle name="Normal 4 6 2 2 2 4 2 2 2 2" xfId="41894" xr:uid="{DA196854-2391-459D-AE5D-9B91F72DAB58}"/>
    <cellStyle name="Normal 4 6 2 2 2 4 2 2 3" xfId="16591" xr:uid="{00000000-0005-0000-0000-000057400000}"/>
    <cellStyle name="Normal 4 6 2 2 2 4 2 2 4" xfId="33460" xr:uid="{C2F58DED-B6A6-4072-95CB-43A05B758900}"/>
    <cellStyle name="Normal 4 6 2 2 2 4 2 3" xfId="20808" xr:uid="{00000000-0005-0000-0000-000058400000}"/>
    <cellStyle name="Normal 4 6 2 2 2 4 2 3 2" xfId="37677" xr:uid="{6A5DE00D-0AAB-4723-B1D6-B75D722BC468}"/>
    <cellStyle name="Normal 4 6 2 2 2 4 2 4" xfId="12373" xr:uid="{00000000-0005-0000-0000-000059400000}"/>
    <cellStyle name="Normal 4 6 2 2 2 4 2 5" xfId="29243" xr:uid="{2D80B082-6CF0-4942-8A5F-A28A50977247}"/>
    <cellStyle name="Normal 4 6 2 2 2 4 3" xfId="6011" xr:uid="{00000000-0005-0000-0000-00005A400000}"/>
    <cellStyle name="Normal 4 6 2 2 2 4 3 2" xfId="22881" xr:uid="{00000000-0005-0000-0000-00005B400000}"/>
    <cellStyle name="Normal 4 6 2 2 2 4 3 2 2" xfId="39749" xr:uid="{16989F76-3BF9-405D-9A22-86088BA6B9A6}"/>
    <cellStyle name="Normal 4 6 2 2 2 4 3 3" xfId="14446" xr:uid="{00000000-0005-0000-0000-00005C400000}"/>
    <cellStyle name="Normal 4 6 2 2 2 4 3 4" xfId="31315" xr:uid="{4F487DE3-8B43-443B-9BF4-A38E73872B54}"/>
    <cellStyle name="Normal 4 6 2 2 2 4 4" xfId="18663" xr:uid="{00000000-0005-0000-0000-00005D400000}"/>
    <cellStyle name="Normal 4 6 2 2 2 4 4 2" xfId="35532" xr:uid="{97D76C68-C09A-48A4-985A-FA351FE8954C}"/>
    <cellStyle name="Normal 4 6 2 2 2 4 5" xfId="10228" xr:uid="{00000000-0005-0000-0000-00005E400000}"/>
    <cellStyle name="Normal 4 6 2 2 2 4 6" xfId="27098" xr:uid="{8D95F677-2F5A-4337-87A7-B55758C8D1B0}"/>
    <cellStyle name="Normal 4 6 2 2 2 5" xfId="2117" xr:uid="{00000000-0005-0000-0000-00005F400000}"/>
    <cellStyle name="Normal 4 6 2 2 2 5 2" xfId="4346" xr:uid="{00000000-0005-0000-0000-000060400000}"/>
    <cellStyle name="Normal 4 6 2 2 2 5 2 2" xfId="8569" xr:uid="{00000000-0005-0000-0000-000061400000}"/>
    <cellStyle name="Normal 4 6 2 2 2 5 2 2 2" xfId="25439" xr:uid="{00000000-0005-0000-0000-000062400000}"/>
    <cellStyle name="Normal 4 6 2 2 2 5 2 2 2 2" xfId="42307" xr:uid="{FAA12AA7-80EE-46DD-8836-DB0C33D020CE}"/>
    <cellStyle name="Normal 4 6 2 2 2 5 2 2 3" xfId="17004" xr:uid="{00000000-0005-0000-0000-000063400000}"/>
    <cellStyle name="Normal 4 6 2 2 2 5 2 2 4" xfId="33873" xr:uid="{52AFC535-0019-4D74-A5B1-004D2183884A}"/>
    <cellStyle name="Normal 4 6 2 2 2 5 2 3" xfId="21221" xr:uid="{00000000-0005-0000-0000-000064400000}"/>
    <cellStyle name="Normal 4 6 2 2 2 5 2 3 2" xfId="38090" xr:uid="{F25628F3-0240-47DF-9B90-DD0AD8B9C857}"/>
    <cellStyle name="Normal 4 6 2 2 2 5 2 4" xfId="12786" xr:uid="{00000000-0005-0000-0000-000065400000}"/>
    <cellStyle name="Normal 4 6 2 2 2 5 2 5" xfId="29656" xr:uid="{A66FCC65-C11F-48A3-A472-E05F7BF08FC9}"/>
    <cellStyle name="Normal 4 6 2 2 2 5 3" xfId="6424" xr:uid="{00000000-0005-0000-0000-000066400000}"/>
    <cellStyle name="Normal 4 6 2 2 2 5 3 2" xfId="23294" xr:uid="{00000000-0005-0000-0000-000067400000}"/>
    <cellStyle name="Normal 4 6 2 2 2 5 3 2 2" xfId="40162" xr:uid="{8FFA4C5A-10BE-435F-B834-93D57A1B95EB}"/>
    <cellStyle name="Normal 4 6 2 2 2 5 3 3" xfId="14859" xr:uid="{00000000-0005-0000-0000-000068400000}"/>
    <cellStyle name="Normal 4 6 2 2 2 5 3 4" xfId="31728" xr:uid="{BB0E756D-AAC9-472B-9109-10BC056AC46C}"/>
    <cellStyle name="Normal 4 6 2 2 2 5 4" xfId="19076" xr:uid="{00000000-0005-0000-0000-000069400000}"/>
    <cellStyle name="Normal 4 6 2 2 2 5 4 2" xfId="35945" xr:uid="{1425F410-0646-4B92-8B26-CCDAE2130B3A}"/>
    <cellStyle name="Normal 4 6 2 2 2 5 5" xfId="10641" xr:uid="{00000000-0005-0000-0000-00006A400000}"/>
    <cellStyle name="Normal 4 6 2 2 2 5 6" xfId="27511" xr:uid="{5EE7FA64-D834-463D-985C-277EE79EE1A2}"/>
    <cellStyle name="Normal 4 6 2 2 2 6" xfId="2553" xr:uid="{00000000-0005-0000-0000-00006B400000}"/>
    <cellStyle name="Normal 4 6 2 2 2 6 2" xfId="6837" xr:uid="{00000000-0005-0000-0000-00006C400000}"/>
    <cellStyle name="Normal 4 6 2 2 2 6 2 2" xfId="23707" xr:uid="{00000000-0005-0000-0000-00006D400000}"/>
    <cellStyle name="Normal 4 6 2 2 2 6 2 2 2" xfId="40575" xr:uid="{F14F0FF3-F6D9-46A1-8357-B81D48A6B689}"/>
    <cellStyle name="Normal 4 6 2 2 2 6 2 3" xfId="15272" xr:uid="{00000000-0005-0000-0000-00006E400000}"/>
    <cellStyle name="Normal 4 6 2 2 2 6 2 4" xfId="32141" xr:uid="{7F5FABE8-A646-4EFC-A675-CA8B1AF93DC9}"/>
    <cellStyle name="Normal 4 6 2 2 2 6 3" xfId="19489" xr:uid="{00000000-0005-0000-0000-00006F400000}"/>
    <cellStyle name="Normal 4 6 2 2 2 6 3 2" xfId="36358" xr:uid="{38AFAD9C-EDB5-4794-8FBC-1DEE0A7E8588}"/>
    <cellStyle name="Normal 4 6 2 2 2 6 4" xfId="11054" xr:uid="{00000000-0005-0000-0000-000070400000}"/>
    <cellStyle name="Normal 4 6 2 2 2 6 5" xfId="27924" xr:uid="{14389F5F-2F8C-44A1-9764-3DCB9ACB0330}"/>
    <cellStyle name="Normal 4 6 2 2 2 7" xfId="4772" xr:uid="{00000000-0005-0000-0000-000071400000}"/>
    <cellStyle name="Normal 4 6 2 2 2 7 2" xfId="21642" xr:uid="{00000000-0005-0000-0000-000072400000}"/>
    <cellStyle name="Normal 4 6 2 2 2 7 2 2" xfId="38510" xr:uid="{1CB86F7D-810E-41C4-A7B6-7100945CFEB2}"/>
    <cellStyle name="Normal 4 6 2 2 2 7 3" xfId="13207" xr:uid="{00000000-0005-0000-0000-000073400000}"/>
    <cellStyle name="Normal 4 6 2 2 2 7 4" xfId="30076" xr:uid="{1DE47BE5-EA24-4644-BAD6-65EC819985F9}"/>
    <cellStyle name="Normal 4 6 2 2 2 8" xfId="17424" xr:uid="{00000000-0005-0000-0000-000074400000}"/>
    <cellStyle name="Normal 4 6 2 2 2 8 2" xfId="34293" xr:uid="{9F58E8DB-F3AA-44C5-97C8-1FF038B36C0C}"/>
    <cellStyle name="Normal 4 6 2 2 2 9" xfId="8989" xr:uid="{00000000-0005-0000-0000-000075400000}"/>
    <cellStyle name="Normal 4 6 2 2 3" xfId="871" xr:uid="{00000000-0005-0000-0000-000076400000}"/>
    <cellStyle name="Normal 4 6 2 2 3 2" xfId="3106" xr:uid="{00000000-0005-0000-0000-000077400000}"/>
    <cellStyle name="Normal 4 6 2 2 3 2 2" xfId="7329" xr:uid="{00000000-0005-0000-0000-000078400000}"/>
    <cellStyle name="Normal 4 6 2 2 3 2 2 2" xfId="24199" xr:uid="{00000000-0005-0000-0000-000079400000}"/>
    <cellStyle name="Normal 4 6 2 2 3 2 2 2 2" xfId="41067" xr:uid="{EFFBD920-F84E-42B6-A7CD-4D1ED63222C4}"/>
    <cellStyle name="Normal 4 6 2 2 3 2 2 3" xfId="15764" xr:uid="{00000000-0005-0000-0000-00007A400000}"/>
    <cellStyle name="Normal 4 6 2 2 3 2 2 4" xfId="32633" xr:uid="{763454D2-033B-4AF8-B93F-4DD237ACA41F}"/>
    <cellStyle name="Normal 4 6 2 2 3 2 3" xfId="19981" xr:uid="{00000000-0005-0000-0000-00007B400000}"/>
    <cellStyle name="Normal 4 6 2 2 3 2 3 2" xfId="36850" xr:uid="{25168581-14FA-44EF-94B1-0B54DE9430E0}"/>
    <cellStyle name="Normal 4 6 2 2 3 2 4" xfId="11546" xr:uid="{00000000-0005-0000-0000-00007C400000}"/>
    <cellStyle name="Normal 4 6 2 2 3 2 5" xfId="28416" xr:uid="{941DC78B-8989-4962-9619-7EA7B96B36AF}"/>
    <cellStyle name="Normal 4 6 2 2 3 3" xfId="5184" xr:uid="{00000000-0005-0000-0000-00007D400000}"/>
    <cellStyle name="Normal 4 6 2 2 3 3 2" xfId="22054" xr:uid="{00000000-0005-0000-0000-00007E400000}"/>
    <cellStyle name="Normal 4 6 2 2 3 3 2 2" xfId="38922" xr:uid="{197F7B8A-495A-4054-B86E-34203D7A30EE}"/>
    <cellStyle name="Normal 4 6 2 2 3 3 3" xfId="13619" xr:uid="{00000000-0005-0000-0000-00007F400000}"/>
    <cellStyle name="Normal 4 6 2 2 3 3 4" xfId="30488" xr:uid="{31A64078-A751-47FE-A2E7-6FD3BC646BBF}"/>
    <cellStyle name="Normal 4 6 2 2 3 4" xfId="17836" xr:uid="{00000000-0005-0000-0000-000080400000}"/>
    <cellStyle name="Normal 4 6 2 2 3 4 2" xfId="34705" xr:uid="{C8EDC0EE-F1D0-4D66-A982-471BAEB547D3}"/>
    <cellStyle name="Normal 4 6 2 2 3 5" xfId="9401" xr:uid="{00000000-0005-0000-0000-000081400000}"/>
    <cellStyle name="Normal 4 6 2 2 3 6" xfId="26271" xr:uid="{32FDB3FE-6BEA-4F75-BD74-2D09671661A3}"/>
    <cellStyle name="Normal 4 6 2 2 4" xfId="1289" xr:uid="{00000000-0005-0000-0000-000082400000}"/>
    <cellStyle name="Normal 4 6 2 2 4 2" xfId="3519" xr:uid="{00000000-0005-0000-0000-000083400000}"/>
    <cellStyle name="Normal 4 6 2 2 4 2 2" xfId="7742" xr:uid="{00000000-0005-0000-0000-000084400000}"/>
    <cellStyle name="Normal 4 6 2 2 4 2 2 2" xfId="24612" xr:uid="{00000000-0005-0000-0000-000085400000}"/>
    <cellStyle name="Normal 4 6 2 2 4 2 2 2 2" xfId="41480" xr:uid="{85186677-293A-45AA-9AD4-63A7389769F3}"/>
    <cellStyle name="Normal 4 6 2 2 4 2 2 3" xfId="16177" xr:uid="{00000000-0005-0000-0000-000086400000}"/>
    <cellStyle name="Normal 4 6 2 2 4 2 2 4" xfId="33046" xr:uid="{2354BB38-1180-45E4-AD99-E0002AB60C4B}"/>
    <cellStyle name="Normal 4 6 2 2 4 2 3" xfId="20394" xr:uid="{00000000-0005-0000-0000-000087400000}"/>
    <cellStyle name="Normal 4 6 2 2 4 2 3 2" xfId="37263" xr:uid="{861052C3-6B28-4C1F-8C71-17194ACD1BDB}"/>
    <cellStyle name="Normal 4 6 2 2 4 2 4" xfId="11959" xr:uid="{00000000-0005-0000-0000-000088400000}"/>
    <cellStyle name="Normal 4 6 2 2 4 2 5" xfId="28829" xr:uid="{093940C4-C341-4CDB-BC02-0A327EE51999}"/>
    <cellStyle name="Normal 4 6 2 2 4 3" xfId="5597" xr:uid="{00000000-0005-0000-0000-000089400000}"/>
    <cellStyle name="Normal 4 6 2 2 4 3 2" xfId="22467" xr:uid="{00000000-0005-0000-0000-00008A400000}"/>
    <cellStyle name="Normal 4 6 2 2 4 3 2 2" xfId="39335" xr:uid="{C9CC46AC-CC3B-4B00-A2ED-9855F945008A}"/>
    <cellStyle name="Normal 4 6 2 2 4 3 3" xfId="14032" xr:uid="{00000000-0005-0000-0000-00008B400000}"/>
    <cellStyle name="Normal 4 6 2 2 4 3 4" xfId="30901" xr:uid="{F4AE3980-B84A-4FA6-B626-4BC92252D2EE}"/>
    <cellStyle name="Normal 4 6 2 2 4 4" xfId="18249" xr:uid="{00000000-0005-0000-0000-00008C400000}"/>
    <cellStyle name="Normal 4 6 2 2 4 4 2" xfId="35118" xr:uid="{31D2D603-ADFA-434B-AA81-1B3FE9D6F675}"/>
    <cellStyle name="Normal 4 6 2 2 4 5" xfId="9814" xr:uid="{00000000-0005-0000-0000-00008D400000}"/>
    <cellStyle name="Normal 4 6 2 2 4 6" xfId="26684" xr:uid="{36311EF5-EB08-4E52-8B79-944FBA531F2C}"/>
    <cellStyle name="Normal 4 6 2 2 5" xfId="1702" xr:uid="{00000000-0005-0000-0000-00008E400000}"/>
    <cellStyle name="Normal 4 6 2 2 5 2" xfId="3932" xr:uid="{00000000-0005-0000-0000-00008F400000}"/>
    <cellStyle name="Normal 4 6 2 2 5 2 2" xfId="8155" xr:uid="{00000000-0005-0000-0000-000090400000}"/>
    <cellStyle name="Normal 4 6 2 2 5 2 2 2" xfId="25025" xr:uid="{00000000-0005-0000-0000-000091400000}"/>
    <cellStyle name="Normal 4 6 2 2 5 2 2 2 2" xfId="41893" xr:uid="{9A44D03F-6C9B-4FFD-8D38-5B9393041591}"/>
    <cellStyle name="Normal 4 6 2 2 5 2 2 3" xfId="16590" xr:uid="{00000000-0005-0000-0000-000092400000}"/>
    <cellStyle name="Normal 4 6 2 2 5 2 2 4" xfId="33459" xr:uid="{F1E62147-F3BF-4F51-BA3A-9D0D4199A026}"/>
    <cellStyle name="Normal 4 6 2 2 5 2 3" xfId="20807" xr:uid="{00000000-0005-0000-0000-000093400000}"/>
    <cellStyle name="Normal 4 6 2 2 5 2 3 2" xfId="37676" xr:uid="{DC0563B6-46FF-4380-9CDE-D675962ABD07}"/>
    <cellStyle name="Normal 4 6 2 2 5 2 4" xfId="12372" xr:uid="{00000000-0005-0000-0000-000094400000}"/>
    <cellStyle name="Normal 4 6 2 2 5 2 5" xfId="29242" xr:uid="{1B17B34A-9CBA-49EE-9D24-1AD228ADBAC3}"/>
    <cellStyle name="Normal 4 6 2 2 5 3" xfId="6010" xr:uid="{00000000-0005-0000-0000-000095400000}"/>
    <cellStyle name="Normal 4 6 2 2 5 3 2" xfId="22880" xr:uid="{00000000-0005-0000-0000-000096400000}"/>
    <cellStyle name="Normal 4 6 2 2 5 3 2 2" xfId="39748" xr:uid="{1E78ABB6-B20E-4543-A898-0B5B81C37A53}"/>
    <cellStyle name="Normal 4 6 2 2 5 3 3" xfId="14445" xr:uid="{00000000-0005-0000-0000-000097400000}"/>
    <cellStyle name="Normal 4 6 2 2 5 3 4" xfId="31314" xr:uid="{9183D710-893E-480A-BC62-CE039237DA85}"/>
    <cellStyle name="Normal 4 6 2 2 5 4" xfId="18662" xr:uid="{00000000-0005-0000-0000-000098400000}"/>
    <cellStyle name="Normal 4 6 2 2 5 4 2" xfId="35531" xr:uid="{21253A68-9F85-410C-8199-D26F7563D2E3}"/>
    <cellStyle name="Normal 4 6 2 2 5 5" xfId="10227" xr:uid="{00000000-0005-0000-0000-000099400000}"/>
    <cellStyle name="Normal 4 6 2 2 5 6" xfId="27097" xr:uid="{6CE302A9-AC90-4DD2-B2E3-05EB49D5ABB4}"/>
    <cellStyle name="Normal 4 6 2 2 6" xfId="2116" xr:uid="{00000000-0005-0000-0000-00009A400000}"/>
    <cellStyle name="Normal 4 6 2 2 6 2" xfId="4345" xr:uid="{00000000-0005-0000-0000-00009B400000}"/>
    <cellStyle name="Normal 4 6 2 2 6 2 2" xfId="8568" xr:uid="{00000000-0005-0000-0000-00009C400000}"/>
    <cellStyle name="Normal 4 6 2 2 6 2 2 2" xfId="25438" xr:uid="{00000000-0005-0000-0000-00009D400000}"/>
    <cellStyle name="Normal 4 6 2 2 6 2 2 2 2" xfId="42306" xr:uid="{1FBAFE98-B6E5-49F2-8B63-99A5D84636A3}"/>
    <cellStyle name="Normal 4 6 2 2 6 2 2 3" xfId="17003" xr:uid="{00000000-0005-0000-0000-00009E400000}"/>
    <cellStyle name="Normal 4 6 2 2 6 2 2 4" xfId="33872" xr:uid="{BE6F8D5D-81E3-459B-B4E0-AB44C5DF595D}"/>
    <cellStyle name="Normal 4 6 2 2 6 2 3" xfId="21220" xr:uid="{00000000-0005-0000-0000-00009F400000}"/>
    <cellStyle name="Normal 4 6 2 2 6 2 3 2" xfId="38089" xr:uid="{DB7AA37A-6A35-4801-B42A-34A765E63CF5}"/>
    <cellStyle name="Normal 4 6 2 2 6 2 4" xfId="12785" xr:uid="{00000000-0005-0000-0000-0000A0400000}"/>
    <cellStyle name="Normal 4 6 2 2 6 2 5" xfId="29655" xr:uid="{5938D718-03E0-415B-A20A-E55A70AA7C14}"/>
    <cellStyle name="Normal 4 6 2 2 6 3" xfId="6423" xr:uid="{00000000-0005-0000-0000-0000A1400000}"/>
    <cellStyle name="Normal 4 6 2 2 6 3 2" xfId="23293" xr:uid="{00000000-0005-0000-0000-0000A2400000}"/>
    <cellStyle name="Normal 4 6 2 2 6 3 2 2" xfId="40161" xr:uid="{748770B4-9CFE-4D01-8084-3240BDFA8738}"/>
    <cellStyle name="Normal 4 6 2 2 6 3 3" xfId="14858" xr:uid="{00000000-0005-0000-0000-0000A3400000}"/>
    <cellStyle name="Normal 4 6 2 2 6 3 4" xfId="31727" xr:uid="{8EC15645-57C0-4FFB-86EA-0ECE3E35B660}"/>
    <cellStyle name="Normal 4 6 2 2 6 4" xfId="19075" xr:uid="{00000000-0005-0000-0000-0000A4400000}"/>
    <cellStyle name="Normal 4 6 2 2 6 4 2" xfId="35944" xr:uid="{9DBCE3FF-0E8E-40EE-B72E-01B3103CE60A}"/>
    <cellStyle name="Normal 4 6 2 2 6 5" xfId="10640" xr:uid="{00000000-0005-0000-0000-0000A5400000}"/>
    <cellStyle name="Normal 4 6 2 2 6 6" xfId="27510" xr:uid="{6624BFD1-5BAA-44E8-870E-B6BC9607AFBC}"/>
    <cellStyle name="Normal 4 6 2 2 7" xfId="2552" xr:uid="{00000000-0005-0000-0000-0000A6400000}"/>
    <cellStyle name="Normal 4 6 2 2 7 2" xfId="6836" xr:uid="{00000000-0005-0000-0000-0000A7400000}"/>
    <cellStyle name="Normal 4 6 2 2 7 2 2" xfId="23706" xr:uid="{00000000-0005-0000-0000-0000A8400000}"/>
    <cellStyle name="Normal 4 6 2 2 7 2 2 2" xfId="40574" xr:uid="{CA6F4A47-F8F8-4222-8C38-33C69B853CD1}"/>
    <cellStyle name="Normal 4 6 2 2 7 2 3" xfId="15271" xr:uid="{00000000-0005-0000-0000-0000A9400000}"/>
    <cellStyle name="Normal 4 6 2 2 7 2 4" xfId="32140" xr:uid="{300C4279-CBD9-4AD7-A750-FC8BED9DBB8B}"/>
    <cellStyle name="Normal 4 6 2 2 7 3" xfId="19488" xr:uid="{00000000-0005-0000-0000-0000AA400000}"/>
    <cellStyle name="Normal 4 6 2 2 7 3 2" xfId="36357" xr:uid="{88BBF527-EF2C-4A19-AE70-960F1898C92D}"/>
    <cellStyle name="Normal 4 6 2 2 7 4" xfId="11053" xr:uid="{00000000-0005-0000-0000-0000AB400000}"/>
    <cellStyle name="Normal 4 6 2 2 7 5" xfId="27923" xr:uid="{03FDDFD3-E3DF-46D3-BC13-F71CCB545C3A}"/>
    <cellStyle name="Normal 4 6 2 2 8" xfId="4771" xr:uid="{00000000-0005-0000-0000-0000AC400000}"/>
    <cellStyle name="Normal 4 6 2 2 8 2" xfId="21641" xr:uid="{00000000-0005-0000-0000-0000AD400000}"/>
    <cellStyle name="Normal 4 6 2 2 8 2 2" xfId="38509" xr:uid="{1BBF654B-9022-40C5-B2BD-B152628F9706}"/>
    <cellStyle name="Normal 4 6 2 2 8 3" xfId="13206" xr:uid="{00000000-0005-0000-0000-0000AE400000}"/>
    <cellStyle name="Normal 4 6 2 2 8 4" xfId="30075" xr:uid="{F1852AF1-D614-4946-A037-B971DBB47F14}"/>
    <cellStyle name="Normal 4 6 2 2 9" xfId="17423" xr:uid="{00000000-0005-0000-0000-0000AF400000}"/>
    <cellStyle name="Normal 4 6 2 2 9 2" xfId="34292" xr:uid="{75BE7414-D8DA-44C8-BD69-BE7E840587CD}"/>
    <cellStyle name="Normal 4 6 2 3" xfId="399" xr:uid="{00000000-0005-0000-0000-0000B0400000}"/>
    <cellStyle name="Normal 4 6 2 3 10" xfId="25860" xr:uid="{5AB3B239-3BD7-4C42-9F0D-E2191831B3F8}"/>
    <cellStyle name="Normal 4 6 2 3 2" xfId="873" xr:uid="{00000000-0005-0000-0000-0000B1400000}"/>
    <cellStyle name="Normal 4 6 2 3 2 2" xfId="3108" xr:uid="{00000000-0005-0000-0000-0000B2400000}"/>
    <cellStyle name="Normal 4 6 2 3 2 2 2" xfId="7331" xr:uid="{00000000-0005-0000-0000-0000B3400000}"/>
    <cellStyle name="Normal 4 6 2 3 2 2 2 2" xfId="24201" xr:uid="{00000000-0005-0000-0000-0000B4400000}"/>
    <cellStyle name="Normal 4 6 2 3 2 2 2 2 2" xfId="41069" xr:uid="{8038D494-C783-4C91-B9DA-A934E8695B75}"/>
    <cellStyle name="Normal 4 6 2 3 2 2 2 3" xfId="15766" xr:uid="{00000000-0005-0000-0000-0000B5400000}"/>
    <cellStyle name="Normal 4 6 2 3 2 2 2 4" xfId="32635" xr:uid="{730F94FB-FEFE-430E-A579-80A1D8D96307}"/>
    <cellStyle name="Normal 4 6 2 3 2 2 3" xfId="19983" xr:uid="{00000000-0005-0000-0000-0000B6400000}"/>
    <cellStyle name="Normal 4 6 2 3 2 2 3 2" xfId="36852" xr:uid="{DFD1B2BF-B58E-4F47-A8DE-DC877C26E2E1}"/>
    <cellStyle name="Normal 4 6 2 3 2 2 4" xfId="11548" xr:uid="{00000000-0005-0000-0000-0000B7400000}"/>
    <cellStyle name="Normal 4 6 2 3 2 2 5" xfId="28418" xr:uid="{04747F1D-55CF-44E3-BD06-A408C9241A35}"/>
    <cellStyle name="Normal 4 6 2 3 2 3" xfId="5186" xr:uid="{00000000-0005-0000-0000-0000B8400000}"/>
    <cellStyle name="Normal 4 6 2 3 2 3 2" xfId="22056" xr:uid="{00000000-0005-0000-0000-0000B9400000}"/>
    <cellStyle name="Normal 4 6 2 3 2 3 2 2" xfId="38924" xr:uid="{89DCE23B-4090-4283-AE23-03355450ECF2}"/>
    <cellStyle name="Normal 4 6 2 3 2 3 3" xfId="13621" xr:uid="{00000000-0005-0000-0000-0000BA400000}"/>
    <cellStyle name="Normal 4 6 2 3 2 3 4" xfId="30490" xr:uid="{6BB1735F-F66B-412D-A60D-31DF5D9E94FB}"/>
    <cellStyle name="Normal 4 6 2 3 2 4" xfId="17838" xr:uid="{00000000-0005-0000-0000-0000BB400000}"/>
    <cellStyle name="Normal 4 6 2 3 2 4 2" xfId="34707" xr:uid="{D5722726-96D8-458C-AF24-AFD33D3343E6}"/>
    <cellStyle name="Normal 4 6 2 3 2 5" xfId="9403" xr:uid="{00000000-0005-0000-0000-0000BC400000}"/>
    <cellStyle name="Normal 4 6 2 3 2 6" xfId="26273" xr:uid="{49018A22-EE95-44C3-9479-9D7C572AA7C7}"/>
    <cellStyle name="Normal 4 6 2 3 3" xfId="1291" xr:uid="{00000000-0005-0000-0000-0000BD400000}"/>
    <cellStyle name="Normal 4 6 2 3 3 2" xfId="3521" xr:uid="{00000000-0005-0000-0000-0000BE400000}"/>
    <cellStyle name="Normal 4 6 2 3 3 2 2" xfId="7744" xr:uid="{00000000-0005-0000-0000-0000BF400000}"/>
    <cellStyle name="Normal 4 6 2 3 3 2 2 2" xfId="24614" xr:uid="{00000000-0005-0000-0000-0000C0400000}"/>
    <cellStyle name="Normal 4 6 2 3 3 2 2 2 2" xfId="41482" xr:uid="{8CD28FDB-1217-4BB1-BC64-A42336994AA5}"/>
    <cellStyle name="Normal 4 6 2 3 3 2 2 3" xfId="16179" xr:uid="{00000000-0005-0000-0000-0000C1400000}"/>
    <cellStyle name="Normal 4 6 2 3 3 2 2 4" xfId="33048" xr:uid="{056B1656-9335-48D6-A850-FFA819F3D74D}"/>
    <cellStyle name="Normal 4 6 2 3 3 2 3" xfId="20396" xr:uid="{00000000-0005-0000-0000-0000C2400000}"/>
    <cellStyle name="Normal 4 6 2 3 3 2 3 2" xfId="37265" xr:uid="{DDC0DDCA-F815-4FE3-B83B-99FF04C43D1A}"/>
    <cellStyle name="Normal 4 6 2 3 3 2 4" xfId="11961" xr:uid="{00000000-0005-0000-0000-0000C3400000}"/>
    <cellStyle name="Normal 4 6 2 3 3 2 5" xfId="28831" xr:uid="{744189B2-9E80-480D-85E2-98CA391B9A8E}"/>
    <cellStyle name="Normal 4 6 2 3 3 3" xfId="5599" xr:uid="{00000000-0005-0000-0000-0000C4400000}"/>
    <cellStyle name="Normal 4 6 2 3 3 3 2" xfId="22469" xr:uid="{00000000-0005-0000-0000-0000C5400000}"/>
    <cellStyle name="Normal 4 6 2 3 3 3 2 2" xfId="39337" xr:uid="{90B4DD0F-97E3-48C0-B9FC-BA1B9E87441C}"/>
    <cellStyle name="Normal 4 6 2 3 3 3 3" xfId="14034" xr:uid="{00000000-0005-0000-0000-0000C6400000}"/>
    <cellStyle name="Normal 4 6 2 3 3 3 4" xfId="30903" xr:uid="{DFEFED91-DDCB-46DA-8C58-793CF9C5A7DF}"/>
    <cellStyle name="Normal 4 6 2 3 3 4" xfId="18251" xr:uid="{00000000-0005-0000-0000-0000C7400000}"/>
    <cellStyle name="Normal 4 6 2 3 3 4 2" xfId="35120" xr:uid="{DDA128D9-3554-4CB9-99EF-C81B8B6FC768}"/>
    <cellStyle name="Normal 4 6 2 3 3 5" xfId="9816" xr:uid="{00000000-0005-0000-0000-0000C8400000}"/>
    <cellStyle name="Normal 4 6 2 3 3 6" xfId="26686" xr:uid="{1948F7B8-FD9F-49B5-AA77-6E8BC2CBCECC}"/>
    <cellStyle name="Normal 4 6 2 3 4" xfId="1704" xr:uid="{00000000-0005-0000-0000-0000C9400000}"/>
    <cellStyle name="Normal 4 6 2 3 4 2" xfId="3934" xr:uid="{00000000-0005-0000-0000-0000CA400000}"/>
    <cellStyle name="Normal 4 6 2 3 4 2 2" xfId="8157" xr:uid="{00000000-0005-0000-0000-0000CB400000}"/>
    <cellStyle name="Normal 4 6 2 3 4 2 2 2" xfId="25027" xr:uid="{00000000-0005-0000-0000-0000CC400000}"/>
    <cellStyle name="Normal 4 6 2 3 4 2 2 2 2" xfId="41895" xr:uid="{F66806D8-1619-4A1D-AE5C-85F52CE5CD31}"/>
    <cellStyle name="Normal 4 6 2 3 4 2 2 3" xfId="16592" xr:uid="{00000000-0005-0000-0000-0000CD400000}"/>
    <cellStyle name="Normal 4 6 2 3 4 2 2 4" xfId="33461" xr:uid="{9EBF1664-7DEA-417D-BBEB-AC7C2DC4275B}"/>
    <cellStyle name="Normal 4 6 2 3 4 2 3" xfId="20809" xr:uid="{00000000-0005-0000-0000-0000CE400000}"/>
    <cellStyle name="Normal 4 6 2 3 4 2 3 2" xfId="37678" xr:uid="{988D62B9-2676-458E-BACB-62CD566D16E2}"/>
    <cellStyle name="Normal 4 6 2 3 4 2 4" xfId="12374" xr:uid="{00000000-0005-0000-0000-0000CF400000}"/>
    <cellStyle name="Normal 4 6 2 3 4 2 5" xfId="29244" xr:uid="{CFD3B4C4-9E08-4181-BC99-697F9B218661}"/>
    <cellStyle name="Normal 4 6 2 3 4 3" xfId="6012" xr:uid="{00000000-0005-0000-0000-0000D0400000}"/>
    <cellStyle name="Normal 4 6 2 3 4 3 2" xfId="22882" xr:uid="{00000000-0005-0000-0000-0000D1400000}"/>
    <cellStyle name="Normal 4 6 2 3 4 3 2 2" xfId="39750" xr:uid="{0A0B194F-0F89-4693-AC21-32815B2144C9}"/>
    <cellStyle name="Normal 4 6 2 3 4 3 3" xfId="14447" xr:uid="{00000000-0005-0000-0000-0000D2400000}"/>
    <cellStyle name="Normal 4 6 2 3 4 3 4" xfId="31316" xr:uid="{734C94F6-F39E-4FD4-8B66-B9B58C002AE7}"/>
    <cellStyle name="Normal 4 6 2 3 4 4" xfId="18664" xr:uid="{00000000-0005-0000-0000-0000D3400000}"/>
    <cellStyle name="Normal 4 6 2 3 4 4 2" xfId="35533" xr:uid="{B6572985-8139-40A0-9211-FE6C20DE92EA}"/>
    <cellStyle name="Normal 4 6 2 3 4 5" xfId="10229" xr:uid="{00000000-0005-0000-0000-0000D4400000}"/>
    <cellStyle name="Normal 4 6 2 3 4 6" xfId="27099" xr:uid="{E5E5A2D2-4278-477D-9A66-5B681A6C0A86}"/>
    <cellStyle name="Normal 4 6 2 3 5" xfId="2118" xr:uid="{00000000-0005-0000-0000-0000D5400000}"/>
    <cellStyle name="Normal 4 6 2 3 5 2" xfId="4347" xr:uid="{00000000-0005-0000-0000-0000D6400000}"/>
    <cellStyle name="Normal 4 6 2 3 5 2 2" xfId="8570" xr:uid="{00000000-0005-0000-0000-0000D7400000}"/>
    <cellStyle name="Normal 4 6 2 3 5 2 2 2" xfId="25440" xr:uid="{00000000-0005-0000-0000-0000D8400000}"/>
    <cellStyle name="Normal 4 6 2 3 5 2 2 2 2" xfId="42308" xr:uid="{2DCC0D1A-3575-4ABD-BFEF-1F6C41B0B537}"/>
    <cellStyle name="Normal 4 6 2 3 5 2 2 3" xfId="17005" xr:uid="{00000000-0005-0000-0000-0000D9400000}"/>
    <cellStyle name="Normal 4 6 2 3 5 2 2 4" xfId="33874" xr:uid="{B6F116B5-14AC-4B87-86D3-0B855F354295}"/>
    <cellStyle name="Normal 4 6 2 3 5 2 3" xfId="21222" xr:uid="{00000000-0005-0000-0000-0000DA400000}"/>
    <cellStyle name="Normal 4 6 2 3 5 2 3 2" xfId="38091" xr:uid="{33156045-2A41-4734-9CC1-42F56EFD72EE}"/>
    <cellStyle name="Normal 4 6 2 3 5 2 4" xfId="12787" xr:uid="{00000000-0005-0000-0000-0000DB400000}"/>
    <cellStyle name="Normal 4 6 2 3 5 2 5" xfId="29657" xr:uid="{0E447D80-E80A-4DF3-A3AD-44701FF02C76}"/>
    <cellStyle name="Normal 4 6 2 3 5 3" xfId="6425" xr:uid="{00000000-0005-0000-0000-0000DC400000}"/>
    <cellStyle name="Normal 4 6 2 3 5 3 2" xfId="23295" xr:uid="{00000000-0005-0000-0000-0000DD400000}"/>
    <cellStyle name="Normal 4 6 2 3 5 3 2 2" xfId="40163" xr:uid="{E5DD3400-47FA-4A5B-A9DC-9739D2965BEE}"/>
    <cellStyle name="Normal 4 6 2 3 5 3 3" xfId="14860" xr:uid="{00000000-0005-0000-0000-0000DE400000}"/>
    <cellStyle name="Normal 4 6 2 3 5 3 4" xfId="31729" xr:uid="{B3EC83BB-57A2-464B-AF95-8C3925BEF26F}"/>
    <cellStyle name="Normal 4 6 2 3 5 4" xfId="19077" xr:uid="{00000000-0005-0000-0000-0000DF400000}"/>
    <cellStyle name="Normal 4 6 2 3 5 4 2" xfId="35946" xr:uid="{6A01B5BC-2FE7-44E2-923A-9235A803F039}"/>
    <cellStyle name="Normal 4 6 2 3 5 5" xfId="10642" xr:uid="{00000000-0005-0000-0000-0000E0400000}"/>
    <cellStyle name="Normal 4 6 2 3 5 6" xfId="27512" xr:uid="{07644811-5D0C-4F6A-9453-6C3BE77FFE89}"/>
    <cellStyle name="Normal 4 6 2 3 6" xfId="2554" xr:uid="{00000000-0005-0000-0000-0000E1400000}"/>
    <cellStyle name="Normal 4 6 2 3 6 2" xfId="6838" xr:uid="{00000000-0005-0000-0000-0000E2400000}"/>
    <cellStyle name="Normal 4 6 2 3 6 2 2" xfId="23708" xr:uid="{00000000-0005-0000-0000-0000E3400000}"/>
    <cellStyle name="Normal 4 6 2 3 6 2 2 2" xfId="40576" xr:uid="{6A05655D-5CDA-47BB-9C17-1732D92F1B1D}"/>
    <cellStyle name="Normal 4 6 2 3 6 2 3" xfId="15273" xr:uid="{00000000-0005-0000-0000-0000E4400000}"/>
    <cellStyle name="Normal 4 6 2 3 6 2 4" xfId="32142" xr:uid="{A3D81306-47FF-4D87-B318-214A82D5F98F}"/>
    <cellStyle name="Normal 4 6 2 3 6 3" xfId="19490" xr:uid="{00000000-0005-0000-0000-0000E5400000}"/>
    <cellStyle name="Normal 4 6 2 3 6 3 2" xfId="36359" xr:uid="{CE40277E-9FA2-41AE-A8B0-D2424AA29F3D}"/>
    <cellStyle name="Normal 4 6 2 3 6 4" xfId="11055" xr:uid="{00000000-0005-0000-0000-0000E6400000}"/>
    <cellStyle name="Normal 4 6 2 3 6 5" xfId="27925" xr:uid="{4FD77623-AC58-4941-856E-77836859D8F6}"/>
    <cellStyle name="Normal 4 6 2 3 7" xfId="4773" xr:uid="{00000000-0005-0000-0000-0000E7400000}"/>
    <cellStyle name="Normal 4 6 2 3 7 2" xfId="21643" xr:uid="{00000000-0005-0000-0000-0000E8400000}"/>
    <cellStyle name="Normal 4 6 2 3 7 2 2" xfId="38511" xr:uid="{3C0B680E-8360-4109-BF6E-FC123DE2A35B}"/>
    <cellStyle name="Normal 4 6 2 3 7 3" xfId="13208" xr:uid="{00000000-0005-0000-0000-0000E9400000}"/>
    <cellStyle name="Normal 4 6 2 3 7 4" xfId="30077" xr:uid="{BFAF5032-104E-4374-8709-003CD6F9F3A7}"/>
    <cellStyle name="Normal 4 6 2 3 8" xfId="17425" xr:uid="{00000000-0005-0000-0000-0000EA400000}"/>
    <cellStyle name="Normal 4 6 2 3 8 2" xfId="34294" xr:uid="{AEBFD3AF-CD0A-4988-ACD0-137563958BCA}"/>
    <cellStyle name="Normal 4 6 2 3 9" xfId="8990" xr:uid="{00000000-0005-0000-0000-0000EB400000}"/>
    <cellStyle name="Normal 4 6 2 4" xfId="870" xr:uid="{00000000-0005-0000-0000-0000EC400000}"/>
    <cellStyle name="Normal 4 6 2 4 2" xfId="3105" xr:uid="{00000000-0005-0000-0000-0000ED400000}"/>
    <cellStyle name="Normal 4 6 2 4 2 2" xfId="7328" xr:uid="{00000000-0005-0000-0000-0000EE400000}"/>
    <cellStyle name="Normal 4 6 2 4 2 2 2" xfId="24198" xr:uid="{00000000-0005-0000-0000-0000EF400000}"/>
    <cellStyle name="Normal 4 6 2 4 2 2 2 2" xfId="41066" xr:uid="{A5604228-9388-4350-891C-1A017C28A6BD}"/>
    <cellStyle name="Normal 4 6 2 4 2 2 3" xfId="15763" xr:uid="{00000000-0005-0000-0000-0000F0400000}"/>
    <cellStyle name="Normal 4 6 2 4 2 2 4" xfId="32632" xr:uid="{003EBFDE-49B8-4E83-852D-FFFC41C80828}"/>
    <cellStyle name="Normal 4 6 2 4 2 3" xfId="19980" xr:uid="{00000000-0005-0000-0000-0000F1400000}"/>
    <cellStyle name="Normal 4 6 2 4 2 3 2" xfId="36849" xr:uid="{CA13B8E1-C0A5-487F-811C-689C290D943D}"/>
    <cellStyle name="Normal 4 6 2 4 2 4" xfId="11545" xr:uid="{00000000-0005-0000-0000-0000F2400000}"/>
    <cellStyle name="Normal 4 6 2 4 2 5" xfId="28415" xr:uid="{6159A731-3BE2-4729-BB44-CBB06399DBF2}"/>
    <cellStyle name="Normal 4 6 2 4 3" xfId="5183" xr:uid="{00000000-0005-0000-0000-0000F3400000}"/>
    <cellStyle name="Normal 4 6 2 4 3 2" xfId="22053" xr:uid="{00000000-0005-0000-0000-0000F4400000}"/>
    <cellStyle name="Normal 4 6 2 4 3 2 2" xfId="38921" xr:uid="{87D3182F-E912-4E6B-AF3B-26CE63D32752}"/>
    <cellStyle name="Normal 4 6 2 4 3 3" xfId="13618" xr:uid="{00000000-0005-0000-0000-0000F5400000}"/>
    <cellStyle name="Normal 4 6 2 4 3 4" xfId="30487" xr:uid="{68FBF35A-DA4B-40B5-B05A-003B7808C2AB}"/>
    <cellStyle name="Normal 4 6 2 4 4" xfId="17835" xr:uid="{00000000-0005-0000-0000-0000F6400000}"/>
    <cellStyle name="Normal 4 6 2 4 4 2" xfId="34704" xr:uid="{BC3E75BB-2554-4633-B9B6-6C66743F74CD}"/>
    <cellStyle name="Normal 4 6 2 4 5" xfId="9400" xr:uid="{00000000-0005-0000-0000-0000F7400000}"/>
    <cellStyle name="Normal 4 6 2 4 6" xfId="26270" xr:uid="{8DF00261-198F-46D4-A91D-B8CF6FFB34EE}"/>
    <cellStyle name="Normal 4 6 2 5" xfId="1288" xr:uid="{00000000-0005-0000-0000-0000F8400000}"/>
    <cellStyle name="Normal 4 6 2 5 2" xfId="3518" xr:uid="{00000000-0005-0000-0000-0000F9400000}"/>
    <cellStyle name="Normal 4 6 2 5 2 2" xfId="7741" xr:uid="{00000000-0005-0000-0000-0000FA400000}"/>
    <cellStyle name="Normal 4 6 2 5 2 2 2" xfId="24611" xr:uid="{00000000-0005-0000-0000-0000FB400000}"/>
    <cellStyle name="Normal 4 6 2 5 2 2 2 2" xfId="41479" xr:uid="{49A2E713-39A0-4611-9E85-C24B0C940D25}"/>
    <cellStyle name="Normal 4 6 2 5 2 2 3" xfId="16176" xr:uid="{00000000-0005-0000-0000-0000FC400000}"/>
    <cellStyle name="Normal 4 6 2 5 2 2 4" xfId="33045" xr:uid="{1FEC8A1E-D340-4777-82F6-B7458DF35659}"/>
    <cellStyle name="Normal 4 6 2 5 2 3" xfId="20393" xr:uid="{00000000-0005-0000-0000-0000FD400000}"/>
    <cellStyle name="Normal 4 6 2 5 2 3 2" xfId="37262" xr:uid="{53FF1C53-1098-4B93-B2EC-1CE571CD493D}"/>
    <cellStyle name="Normal 4 6 2 5 2 4" xfId="11958" xr:uid="{00000000-0005-0000-0000-0000FE400000}"/>
    <cellStyle name="Normal 4 6 2 5 2 5" xfId="28828" xr:uid="{B543AA66-B332-488A-AFA5-78DFC6C3EAD2}"/>
    <cellStyle name="Normal 4 6 2 5 3" xfId="5596" xr:uid="{00000000-0005-0000-0000-0000FF400000}"/>
    <cellStyle name="Normal 4 6 2 5 3 2" xfId="22466" xr:uid="{00000000-0005-0000-0000-000000410000}"/>
    <cellStyle name="Normal 4 6 2 5 3 2 2" xfId="39334" xr:uid="{0550B195-EB9D-41A6-A6AF-0186052EB08F}"/>
    <cellStyle name="Normal 4 6 2 5 3 3" xfId="14031" xr:uid="{00000000-0005-0000-0000-000001410000}"/>
    <cellStyle name="Normal 4 6 2 5 3 4" xfId="30900" xr:uid="{EA49B1FC-C5E4-45C9-B83F-E40C31E7CFDD}"/>
    <cellStyle name="Normal 4 6 2 5 4" xfId="18248" xr:uid="{00000000-0005-0000-0000-000002410000}"/>
    <cellStyle name="Normal 4 6 2 5 4 2" xfId="35117" xr:uid="{408C51A6-4359-4FCC-B4FA-FFDD1D486707}"/>
    <cellStyle name="Normal 4 6 2 5 5" xfId="9813" xr:uid="{00000000-0005-0000-0000-000003410000}"/>
    <cellStyle name="Normal 4 6 2 5 6" xfId="26683" xr:uid="{3F4B0BF6-7AF5-4C56-89EF-496CB12BA659}"/>
    <cellStyle name="Normal 4 6 2 6" xfId="1701" xr:uid="{00000000-0005-0000-0000-000004410000}"/>
    <cellStyle name="Normal 4 6 2 6 2" xfId="3931" xr:uid="{00000000-0005-0000-0000-000005410000}"/>
    <cellStyle name="Normal 4 6 2 6 2 2" xfId="8154" xr:uid="{00000000-0005-0000-0000-000006410000}"/>
    <cellStyle name="Normal 4 6 2 6 2 2 2" xfId="25024" xr:uid="{00000000-0005-0000-0000-000007410000}"/>
    <cellStyle name="Normal 4 6 2 6 2 2 2 2" xfId="41892" xr:uid="{6E4D27D1-D907-4DD6-AC5B-619731AF6A7C}"/>
    <cellStyle name="Normal 4 6 2 6 2 2 3" xfId="16589" xr:uid="{00000000-0005-0000-0000-000008410000}"/>
    <cellStyle name="Normal 4 6 2 6 2 2 4" xfId="33458" xr:uid="{666F2786-135F-4E95-94D3-ABB6052DED3E}"/>
    <cellStyle name="Normal 4 6 2 6 2 3" xfId="20806" xr:uid="{00000000-0005-0000-0000-000009410000}"/>
    <cellStyle name="Normal 4 6 2 6 2 3 2" xfId="37675" xr:uid="{C2A8855B-2848-4BA5-9484-D51273EE9CCB}"/>
    <cellStyle name="Normal 4 6 2 6 2 4" xfId="12371" xr:uid="{00000000-0005-0000-0000-00000A410000}"/>
    <cellStyle name="Normal 4 6 2 6 2 5" xfId="29241" xr:uid="{63A07A08-4E44-491B-8375-C07166BAA964}"/>
    <cellStyle name="Normal 4 6 2 6 3" xfId="6009" xr:uid="{00000000-0005-0000-0000-00000B410000}"/>
    <cellStyle name="Normal 4 6 2 6 3 2" xfId="22879" xr:uid="{00000000-0005-0000-0000-00000C410000}"/>
    <cellStyle name="Normal 4 6 2 6 3 2 2" xfId="39747" xr:uid="{63631CFB-9B64-45BF-9711-EF95A7D3CC81}"/>
    <cellStyle name="Normal 4 6 2 6 3 3" xfId="14444" xr:uid="{00000000-0005-0000-0000-00000D410000}"/>
    <cellStyle name="Normal 4 6 2 6 3 4" xfId="31313" xr:uid="{0C8008E3-CDF6-49B4-82B8-BCADA03094EE}"/>
    <cellStyle name="Normal 4 6 2 6 4" xfId="18661" xr:uid="{00000000-0005-0000-0000-00000E410000}"/>
    <cellStyle name="Normal 4 6 2 6 4 2" xfId="35530" xr:uid="{4CAE2CDC-8262-4AF3-9062-5ADB5A674DB8}"/>
    <cellStyle name="Normal 4 6 2 6 5" xfId="10226" xr:uid="{00000000-0005-0000-0000-00000F410000}"/>
    <cellStyle name="Normal 4 6 2 6 6" xfId="27096" xr:uid="{BF7BEAAB-9F58-4D30-85DC-8A8F50B591D7}"/>
    <cellStyle name="Normal 4 6 2 7" xfId="2115" xr:uid="{00000000-0005-0000-0000-000010410000}"/>
    <cellStyle name="Normal 4 6 2 7 2" xfId="4344" xr:uid="{00000000-0005-0000-0000-000011410000}"/>
    <cellStyle name="Normal 4 6 2 7 2 2" xfId="8567" xr:uid="{00000000-0005-0000-0000-000012410000}"/>
    <cellStyle name="Normal 4 6 2 7 2 2 2" xfId="25437" xr:uid="{00000000-0005-0000-0000-000013410000}"/>
    <cellStyle name="Normal 4 6 2 7 2 2 2 2" xfId="42305" xr:uid="{06F858B3-587A-4B8F-B88B-FF9BC06FD7AB}"/>
    <cellStyle name="Normal 4 6 2 7 2 2 3" xfId="17002" xr:uid="{00000000-0005-0000-0000-000014410000}"/>
    <cellStyle name="Normal 4 6 2 7 2 2 4" xfId="33871" xr:uid="{98CAD252-842F-4B91-B6DC-B21B541D088F}"/>
    <cellStyle name="Normal 4 6 2 7 2 3" xfId="21219" xr:uid="{00000000-0005-0000-0000-000015410000}"/>
    <cellStyle name="Normal 4 6 2 7 2 3 2" xfId="38088" xr:uid="{F5DA7F95-380B-493F-9CA4-6230809C098C}"/>
    <cellStyle name="Normal 4 6 2 7 2 4" xfId="12784" xr:uid="{00000000-0005-0000-0000-000016410000}"/>
    <cellStyle name="Normal 4 6 2 7 2 5" xfId="29654" xr:uid="{DE25431B-D0D0-4920-B63E-5CCCABA3B136}"/>
    <cellStyle name="Normal 4 6 2 7 3" xfId="6422" xr:uid="{00000000-0005-0000-0000-000017410000}"/>
    <cellStyle name="Normal 4 6 2 7 3 2" xfId="23292" xr:uid="{00000000-0005-0000-0000-000018410000}"/>
    <cellStyle name="Normal 4 6 2 7 3 2 2" xfId="40160" xr:uid="{CA626256-7DA2-4548-807B-6E4EEED4A14A}"/>
    <cellStyle name="Normal 4 6 2 7 3 3" xfId="14857" xr:uid="{00000000-0005-0000-0000-000019410000}"/>
    <cellStyle name="Normal 4 6 2 7 3 4" xfId="31726" xr:uid="{6D1D6F4D-3F16-4ED7-9853-66696F3122B7}"/>
    <cellStyle name="Normal 4 6 2 7 4" xfId="19074" xr:uid="{00000000-0005-0000-0000-00001A410000}"/>
    <cellStyle name="Normal 4 6 2 7 4 2" xfId="35943" xr:uid="{E379D3AC-81B3-43E0-92E2-48AC293FE6E3}"/>
    <cellStyle name="Normal 4 6 2 7 5" xfId="10639" xr:uid="{00000000-0005-0000-0000-00001B410000}"/>
    <cellStyle name="Normal 4 6 2 7 6" xfId="27509" xr:uid="{B056A63B-F221-4A2E-AB1B-F5015AC274C2}"/>
    <cellStyle name="Normal 4 6 2 8" xfId="2551" xr:uid="{00000000-0005-0000-0000-00001C410000}"/>
    <cellStyle name="Normal 4 6 2 8 2" xfId="6835" xr:uid="{00000000-0005-0000-0000-00001D410000}"/>
    <cellStyle name="Normal 4 6 2 8 2 2" xfId="23705" xr:uid="{00000000-0005-0000-0000-00001E410000}"/>
    <cellStyle name="Normal 4 6 2 8 2 2 2" xfId="40573" xr:uid="{19452F8D-D088-4A03-88B0-60A80E8706BC}"/>
    <cellStyle name="Normal 4 6 2 8 2 3" xfId="15270" xr:uid="{00000000-0005-0000-0000-00001F410000}"/>
    <cellStyle name="Normal 4 6 2 8 2 4" xfId="32139" xr:uid="{E164C926-B1B9-45E4-9092-B0AD60AECF7B}"/>
    <cellStyle name="Normal 4 6 2 8 3" xfId="19487" xr:uid="{00000000-0005-0000-0000-000020410000}"/>
    <cellStyle name="Normal 4 6 2 8 3 2" xfId="36356" xr:uid="{21D3FE15-43FF-4A08-B19E-9F7541FB8D26}"/>
    <cellStyle name="Normal 4 6 2 8 4" xfId="11052" xr:uid="{00000000-0005-0000-0000-000021410000}"/>
    <cellStyle name="Normal 4 6 2 8 5" xfId="27922" xr:uid="{2C092A29-C791-4632-8BD1-BD0C3F0D62EB}"/>
    <cellStyle name="Normal 4 6 2 9" xfId="4770" xr:uid="{00000000-0005-0000-0000-000022410000}"/>
    <cellStyle name="Normal 4 6 2 9 2" xfId="21640" xr:uid="{00000000-0005-0000-0000-000023410000}"/>
    <cellStyle name="Normal 4 6 2 9 2 2" xfId="38508" xr:uid="{54178928-32D4-43A5-8D4F-79486550EB79}"/>
    <cellStyle name="Normal 4 6 2 9 3" xfId="13205" xr:uid="{00000000-0005-0000-0000-000024410000}"/>
    <cellStyle name="Normal 4 6 2 9 4" xfId="30074" xr:uid="{0669B62E-3DDC-4ABF-A459-354281836F39}"/>
    <cellStyle name="Normal 4 6 3" xfId="400" xr:uid="{00000000-0005-0000-0000-000025410000}"/>
    <cellStyle name="Normal 4 6 3 10" xfId="8991" xr:uid="{00000000-0005-0000-0000-000026410000}"/>
    <cellStyle name="Normal 4 6 3 11" xfId="25861" xr:uid="{0004C50B-8936-4F99-AED9-317DA08E28DE}"/>
    <cellStyle name="Normal 4 6 3 2" xfId="401" xr:uid="{00000000-0005-0000-0000-000027410000}"/>
    <cellStyle name="Normal 4 6 3 2 10" xfId="25862" xr:uid="{5689B851-1558-4275-94F3-6E82C695A4E6}"/>
    <cellStyle name="Normal 4 6 3 2 2" xfId="875" xr:uid="{00000000-0005-0000-0000-000028410000}"/>
    <cellStyle name="Normal 4 6 3 2 2 2" xfId="3110" xr:uid="{00000000-0005-0000-0000-000029410000}"/>
    <cellStyle name="Normal 4 6 3 2 2 2 2" xfId="7333" xr:uid="{00000000-0005-0000-0000-00002A410000}"/>
    <cellStyle name="Normal 4 6 3 2 2 2 2 2" xfId="24203" xr:uid="{00000000-0005-0000-0000-00002B410000}"/>
    <cellStyle name="Normal 4 6 3 2 2 2 2 2 2" xfId="41071" xr:uid="{1809484F-6E61-42B3-9AFB-223C03374E1C}"/>
    <cellStyle name="Normal 4 6 3 2 2 2 2 3" xfId="15768" xr:uid="{00000000-0005-0000-0000-00002C410000}"/>
    <cellStyle name="Normal 4 6 3 2 2 2 2 4" xfId="32637" xr:uid="{08FBB87E-95EC-496B-AAFF-FA1D43240654}"/>
    <cellStyle name="Normal 4 6 3 2 2 2 3" xfId="19985" xr:uid="{00000000-0005-0000-0000-00002D410000}"/>
    <cellStyle name="Normal 4 6 3 2 2 2 3 2" xfId="36854" xr:uid="{20ADF25B-D1AF-44AC-BCE1-2321B7A151B7}"/>
    <cellStyle name="Normal 4 6 3 2 2 2 4" xfId="11550" xr:uid="{00000000-0005-0000-0000-00002E410000}"/>
    <cellStyle name="Normal 4 6 3 2 2 2 5" xfId="28420" xr:uid="{5B68CEAD-D872-4B00-8E71-C619F49EB8E3}"/>
    <cellStyle name="Normal 4 6 3 2 2 3" xfId="5188" xr:uid="{00000000-0005-0000-0000-00002F410000}"/>
    <cellStyle name="Normal 4 6 3 2 2 3 2" xfId="22058" xr:uid="{00000000-0005-0000-0000-000030410000}"/>
    <cellStyle name="Normal 4 6 3 2 2 3 2 2" xfId="38926" xr:uid="{693290C0-F43D-4D1D-87DF-2980A178CDEF}"/>
    <cellStyle name="Normal 4 6 3 2 2 3 3" xfId="13623" xr:uid="{00000000-0005-0000-0000-000031410000}"/>
    <cellStyle name="Normal 4 6 3 2 2 3 4" xfId="30492" xr:uid="{01BEF5CC-8646-45D1-9BF5-EDC6B27051B4}"/>
    <cellStyle name="Normal 4 6 3 2 2 4" xfId="17840" xr:uid="{00000000-0005-0000-0000-000032410000}"/>
    <cellStyle name="Normal 4 6 3 2 2 4 2" xfId="34709" xr:uid="{14C6AF4C-DB11-4ECC-8001-FACC393AE07D}"/>
    <cellStyle name="Normal 4 6 3 2 2 5" xfId="9405" xr:uid="{00000000-0005-0000-0000-000033410000}"/>
    <cellStyle name="Normal 4 6 3 2 2 6" xfId="26275" xr:uid="{5090A861-E882-49A2-8C38-049FFD88DEC2}"/>
    <cellStyle name="Normal 4 6 3 2 3" xfId="1293" xr:uid="{00000000-0005-0000-0000-000034410000}"/>
    <cellStyle name="Normal 4 6 3 2 3 2" xfId="3523" xr:uid="{00000000-0005-0000-0000-000035410000}"/>
    <cellStyle name="Normal 4 6 3 2 3 2 2" xfId="7746" xr:uid="{00000000-0005-0000-0000-000036410000}"/>
    <cellStyle name="Normal 4 6 3 2 3 2 2 2" xfId="24616" xr:uid="{00000000-0005-0000-0000-000037410000}"/>
    <cellStyle name="Normal 4 6 3 2 3 2 2 2 2" xfId="41484" xr:uid="{316855A9-E6BE-41D6-8CD3-1B4BBFD74B97}"/>
    <cellStyle name="Normal 4 6 3 2 3 2 2 3" xfId="16181" xr:uid="{00000000-0005-0000-0000-000038410000}"/>
    <cellStyle name="Normal 4 6 3 2 3 2 2 4" xfId="33050" xr:uid="{321E2847-8867-4B7B-80EB-735F1AF3D57C}"/>
    <cellStyle name="Normal 4 6 3 2 3 2 3" xfId="20398" xr:uid="{00000000-0005-0000-0000-000039410000}"/>
    <cellStyle name="Normal 4 6 3 2 3 2 3 2" xfId="37267" xr:uid="{81A5BA33-285A-4620-B57A-6CAEB365FB05}"/>
    <cellStyle name="Normal 4 6 3 2 3 2 4" xfId="11963" xr:uid="{00000000-0005-0000-0000-00003A410000}"/>
    <cellStyle name="Normal 4 6 3 2 3 2 5" xfId="28833" xr:uid="{FCF6390A-E34A-4EE9-AFF6-E48211D523AB}"/>
    <cellStyle name="Normal 4 6 3 2 3 3" xfId="5601" xr:uid="{00000000-0005-0000-0000-00003B410000}"/>
    <cellStyle name="Normal 4 6 3 2 3 3 2" xfId="22471" xr:uid="{00000000-0005-0000-0000-00003C410000}"/>
    <cellStyle name="Normal 4 6 3 2 3 3 2 2" xfId="39339" xr:uid="{23D9B964-7621-42A2-B2E1-9F62CC6ACAB8}"/>
    <cellStyle name="Normal 4 6 3 2 3 3 3" xfId="14036" xr:uid="{00000000-0005-0000-0000-00003D410000}"/>
    <cellStyle name="Normal 4 6 3 2 3 3 4" xfId="30905" xr:uid="{092D1A6D-3818-40D9-9E1D-9ACB8E0115D3}"/>
    <cellStyle name="Normal 4 6 3 2 3 4" xfId="18253" xr:uid="{00000000-0005-0000-0000-00003E410000}"/>
    <cellStyle name="Normal 4 6 3 2 3 4 2" xfId="35122" xr:uid="{6CA05731-1BCB-492C-9D19-7B850AFDBC0A}"/>
    <cellStyle name="Normal 4 6 3 2 3 5" xfId="9818" xr:uid="{00000000-0005-0000-0000-00003F410000}"/>
    <cellStyle name="Normal 4 6 3 2 3 6" xfId="26688" xr:uid="{C5463C46-3E43-41DF-88FA-2879DBE3BB54}"/>
    <cellStyle name="Normal 4 6 3 2 4" xfId="1706" xr:uid="{00000000-0005-0000-0000-000040410000}"/>
    <cellStyle name="Normal 4 6 3 2 4 2" xfId="3936" xr:uid="{00000000-0005-0000-0000-000041410000}"/>
    <cellStyle name="Normal 4 6 3 2 4 2 2" xfId="8159" xr:uid="{00000000-0005-0000-0000-000042410000}"/>
    <cellStyle name="Normal 4 6 3 2 4 2 2 2" xfId="25029" xr:uid="{00000000-0005-0000-0000-000043410000}"/>
    <cellStyle name="Normal 4 6 3 2 4 2 2 2 2" xfId="41897" xr:uid="{90D72ECB-B973-4DAC-A1BC-EA9A13EABBBF}"/>
    <cellStyle name="Normal 4 6 3 2 4 2 2 3" xfId="16594" xr:uid="{00000000-0005-0000-0000-000044410000}"/>
    <cellStyle name="Normal 4 6 3 2 4 2 2 4" xfId="33463" xr:uid="{606D9ECC-3F5F-4BE7-B2C6-6DD287DB218E}"/>
    <cellStyle name="Normal 4 6 3 2 4 2 3" xfId="20811" xr:uid="{00000000-0005-0000-0000-000045410000}"/>
    <cellStyle name="Normal 4 6 3 2 4 2 3 2" xfId="37680" xr:uid="{EBCEC76E-2B91-4927-ABFF-8D39B5EF8F1D}"/>
    <cellStyle name="Normal 4 6 3 2 4 2 4" xfId="12376" xr:uid="{00000000-0005-0000-0000-000046410000}"/>
    <cellStyle name="Normal 4 6 3 2 4 2 5" xfId="29246" xr:uid="{B68BB46F-C6C4-48E2-A9E7-CED44188D8C3}"/>
    <cellStyle name="Normal 4 6 3 2 4 3" xfId="6014" xr:uid="{00000000-0005-0000-0000-000047410000}"/>
    <cellStyle name="Normal 4 6 3 2 4 3 2" xfId="22884" xr:uid="{00000000-0005-0000-0000-000048410000}"/>
    <cellStyle name="Normal 4 6 3 2 4 3 2 2" xfId="39752" xr:uid="{3FE112E1-08FA-4502-A730-BD9106A1C523}"/>
    <cellStyle name="Normal 4 6 3 2 4 3 3" xfId="14449" xr:uid="{00000000-0005-0000-0000-000049410000}"/>
    <cellStyle name="Normal 4 6 3 2 4 3 4" xfId="31318" xr:uid="{F7A20BED-E363-4875-AB31-5AF6647787B7}"/>
    <cellStyle name="Normal 4 6 3 2 4 4" xfId="18666" xr:uid="{00000000-0005-0000-0000-00004A410000}"/>
    <cellStyle name="Normal 4 6 3 2 4 4 2" xfId="35535" xr:uid="{26B00BA6-6ED7-43B1-B61B-C8A3042D9806}"/>
    <cellStyle name="Normal 4 6 3 2 4 5" xfId="10231" xr:uid="{00000000-0005-0000-0000-00004B410000}"/>
    <cellStyle name="Normal 4 6 3 2 4 6" xfId="27101" xr:uid="{32908E28-9064-45DA-9EA6-1B6759B4BD29}"/>
    <cellStyle name="Normal 4 6 3 2 5" xfId="2120" xr:uid="{00000000-0005-0000-0000-00004C410000}"/>
    <cellStyle name="Normal 4 6 3 2 5 2" xfId="4349" xr:uid="{00000000-0005-0000-0000-00004D410000}"/>
    <cellStyle name="Normal 4 6 3 2 5 2 2" xfId="8572" xr:uid="{00000000-0005-0000-0000-00004E410000}"/>
    <cellStyle name="Normal 4 6 3 2 5 2 2 2" xfId="25442" xr:uid="{00000000-0005-0000-0000-00004F410000}"/>
    <cellStyle name="Normal 4 6 3 2 5 2 2 2 2" xfId="42310" xr:uid="{40F92D61-1679-4AF5-9B19-8B00643BF494}"/>
    <cellStyle name="Normal 4 6 3 2 5 2 2 3" xfId="17007" xr:uid="{00000000-0005-0000-0000-000050410000}"/>
    <cellStyle name="Normal 4 6 3 2 5 2 2 4" xfId="33876" xr:uid="{F49C9577-A24E-486E-8E9B-7907204EB76D}"/>
    <cellStyle name="Normal 4 6 3 2 5 2 3" xfId="21224" xr:uid="{00000000-0005-0000-0000-000051410000}"/>
    <cellStyle name="Normal 4 6 3 2 5 2 3 2" xfId="38093" xr:uid="{44C8F236-C49B-4A09-BEE3-B78A52EA3F3F}"/>
    <cellStyle name="Normal 4 6 3 2 5 2 4" xfId="12789" xr:uid="{00000000-0005-0000-0000-000052410000}"/>
    <cellStyle name="Normal 4 6 3 2 5 2 5" xfId="29659" xr:uid="{B661E93C-7459-470C-B0C4-B97B672CC8C1}"/>
    <cellStyle name="Normal 4 6 3 2 5 3" xfId="6427" xr:uid="{00000000-0005-0000-0000-000053410000}"/>
    <cellStyle name="Normal 4 6 3 2 5 3 2" xfId="23297" xr:uid="{00000000-0005-0000-0000-000054410000}"/>
    <cellStyle name="Normal 4 6 3 2 5 3 2 2" xfId="40165" xr:uid="{44009241-9B2F-442C-A2DC-650ABAAB7618}"/>
    <cellStyle name="Normal 4 6 3 2 5 3 3" xfId="14862" xr:uid="{00000000-0005-0000-0000-000055410000}"/>
    <cellStyle name="Normal 4 6 3 2 5 3 4" xfId="31731" xr:uid="{B315ED10-3FF3-45D4-9F98-7158B523DA1F}"/>
    <cellStyle name="Normal 4 6 3 2 5 4" xfId="19079" xr:uid="{00000000-0005-0000-0000-000056410000}"/>
    <cellStyle name="Normal 4 6 3 2 5 4 2" xfId="35948" xr:uid="{A0D8ADA4-614B-48BB-8CA9-860EB06BBB9B}"/>
    <cellStyle name="Normal 4 6 3 2 5 5" xfId="10644" xr:uid="{00000000-0005-0000-0000-000057410000}"/>
    <cellStyle name="Normal 4 6 3 2 5 6" xfId="27514" xr:uid="{FEF04E64-920D-46A3-A3A1-9629B5D3B118}"/>
    <cellStyle name="Normal 4 6 3 2 6" xfId="2556" xr:uid="{00000000-0005-0000-0000-000058410000}"/>
    <cellStyle name="Normal 4 6 3 2 6 2" xfId="6840" xr:uid="{00000000-0005-0000-0000-000059410000}"/>
    <cellStyle name="Normal 4 6 3 2 6 2 2" xfId="23710" xr:uid="{00000000-0005-0000-0000-00005A410000}"/>
    <cellStyle name="Normal 4 6 3 2 6 2 2 2" xfId="40578" xr:uid="{21BBCFC4-999F-406D-BB18-D655724018FE}"/>
    <cellStyle name="Normal 4 6 3 2 6 2 3" xfId="15275" xr:uid="{00000000-0005-0000-0000-00005B410000}"/>
    <cellStyle name="Normal 4 6 3 2 6 2 4" xfId="32144" xr:uid="{85C5FF1D-B598-4765-93B5-8CB87DB81AF7}"/>
    <cellStyle name="Normal 4 6 3 2 6 3" xfId="19492" xr:uid="{00000000-0005-0000-0000-00005C410000}"/>
    <cellStyle name="Normal 4 6 3 2 6 3 2" xfId="36361" xr:uid="{C441C46F-86F6-47D4-BF78-0D78C4A83F2B}"/>
    <cellStyle name="Normal 4 6 3 2 6 4" xfId="11057" xr:uid="{00000000-0005-0000-0000-00005D410000}"/>
    <cellStyle name="Normal 4 6 3 2 6 5" xfId="27927" xr:uid="{CF8CF4FD-541A-437E-A663-E2E4B08A3BCF}"/>
    <cellStyle name="Normal 4 6 3 2 7" xfId="4775" xr:uid="{00000000-0005-0000-0000-00005E410000}"/>
    <cellStyle name="Normal 4 6 3 2 7 2" xfId="21645" xr:uid="{00000000-0005-0000-0000-00005F410000}"/>
    <cellStyle name="Normal 4 6 3 2 7 2 2" xfId="38513" xr:uid="{958B1359-FCE4-4250-B148-E96E0F511A99}"/>
    <cellStyle name="Normal 4 6 3 2 7 3" xfId="13210" xr:uid="{00000000-0005-0000-0000-000060410000}"/>
    <cellStyle name="Normal 4 6 3 2 7 4" xfId="30079" xr:uid="{FB80CED2-D1A0-4504-B6D4-147C9C4932A3}"/>
    <cellStyle name="Normal 4 6 3 2 8" xfId="17427" xr:uid="{00000000-0005-0000-0000-000061410000}"/>
    <cellStyle name="Normal 4 6 3 2 8 2" xfId="34296" xr:uid="{CB60071D-6843-4680-AB81-E5793C14B90C}"/>
    <cellStyle name="Normal 4 6 3 2 9" xfId="8992" xr:uid="{00000000-0005-0000-0000-000062410000}"/>
    <cellStyle name="Normal 4 6 3 3" xfId="874" xr:uid="{00000000-0005-0000-0000-000063410000}"/>
    <cellStyle name="Normal 4 6 3 3 2" xfId="3109" xr:uid="{00000000-0005-0000-0000-000064410000}"/>
    <cellStyle name="Normal 4 6 3 3 2 2" xfId="7332" xr:uid="{00000000-0005-0000-0000-000065410000}"/>
    <cellStyle name="Normal 4 6 3 3 2 2 2" xfId="24202" xr:uid="{00000000-0005-0000-0000-000066410000}"/>
    <cellStyle name="Normal 4 6 3 3 2 2 2 2" xfId="41070" xr:uid="{84688608-71A0-4F53-BF61-3B6D7C11FB0E}"/>
    <cellStyle name="Normal 4 6 3 3 2 2 3" xfId="15767" xr:uid="{00000000-0005-0000-0000-000067410000}"/>
    <cellStyle name="Normal 4 6 3 3 2 2 4" xfId="32636" xr:uid="{6E42FAAD-51E6-4901-9778-367285119D9A}"/>
    <cellStyle name="Normal 4 6 3 3 2 3" xfId="19984" xr:uid="{00000000-0005-0000-0000-000068410000}"/>
    <cellStyle name="Normal 4 6 3 3 2 3 2" xfId="36853" xr:uid="{EF6CC51D-20FD-410A-9EA0-77DE7EDAE24C}"/>
    <cellStyle name="Normal 4 6 3 3 2 4" xfId="11549" xr:uid="{00000000-0005-0000-0000-000069410000}"/>
    <cellStyle name="Normal 4 6 3 3 2 5" xfId="28419" xr:uid="{662BC35A-C316-47FA-9351-DA4A82C065A4}"/>
    <cellStyle name="Normal 4 6 3 3 3" xfId="5187" xr:uid="{00000000-0005-0000-0000-00006A410000}"/>
    <cellStyle name="Normal 4 6 3 3 3 2" xfId="22057" xr:uid="{00000000-0005-0000-0000-00006B410000}"/>
    <cellStyle name="Normal 4 6 3 3 3 2 2" xfId="38925" xr:uid="{D745C770-E0A7-4EBF-878B-B701F301CE11}"/>
    <cellStyle name="Normal 4 6 3 3 3 3" xfId="13622" xr:uid="{00000000-0005-0000-0000-00006C410000}"/>
    <cellStyle name="Normal 4 6 3 3 3 4" xfId="30491" xr:uid="{9A738A7C-1830-44E2-8D67-D33C61391B61}"/>
    <cellStyle name="Normal 4 6 3 3 4" xfId="17839" xr:uid="{00000000-0005-0000-0000-00006D410000}"/>
    <cellStyle name="Normal 4 6 3 3 4 2" xfId="34708" xr:uid="{429311C0-0927-41D7-B094-74C90F0B3B1B}"/>
    <cellStyle name="Normal 4 6 3 3 5" xfId="9404" xr:uid="{00000000-0005-0000-0000-00006E410000}"/>
    <cellStyle name="Normal 4 6 3 3 6" xfId="26274" xr:uid="{09AA047E-6885-4A9F-99EE-2C6618638ED4}"/>
    <cellStyle name="Normal 4 6 3 4" xfId="1292" xr:uid="{00000000-0005-0000-0000-00006F410000}"/>
    <cellStyle name="Normal 4 6 3 4 2" xfId="3522" xr:uid="{00000000-0005-0000-0000-000070410000}"/>
    <cellStyle name="Normal 4 6 3 4 2 2" xfId="7745" xr:uid="{00000000-0005-0000-0000-000071410000}"/>
    <cellStyle name="Normal 4 6 3 4 2 2 2" xfId="24615" xr:uid="{00000000-0005-0000-0000-000072410000}"/>
    <cellStyle name="Normal 4 6 3 4 2 2 2 2" xfId="41483" xr:uid="{026DA220-E830-49A7-95FC-79A4ACF97309}"/>
    <cellStyle name="Normal 4 6 3 4 2 2 3" xfId="16180" xr:uid="{00000000-0005-0000-0000-000073410000}"/>
    <cellStyle name="Normal 4 6 3 4 2 2 4" xfId="33049" xr:uid="{93F2BBE5-166C-4D08-9968-BAC8687E476F}"/>
    <cellStyle name="Normal 4 6 3 4 2 3" xfId="20397" xr:uid="{00000000-0005-0000-0000-000074410000}"/>
    <cellStyle name="Normal 4 6 3 4 2 3 2" xfId="37266" xr:uid="{781AB68B-70B6-48D9-AC74-E9ED0D6435F4}"/>
    <cellStyle name="Normal 4 6 3 4 2 4" xfId="11962" xr:uid="{00000000-0005-0000-0000-000075410000}"/>
    <cellStyle name="Normal 4 6 3 4 2 5" xfId="28832" xr:uid="{77506B40-B755-41EC-A542-B161021C1C3D}"/>
    <cellStyle name="Normal 4 6 3 4 3" xfId="5600" xr:uid="{00000000-0005-0000-0000-000076410000}"/>
    <cellStyle name="Normal 4 6 3 4 3 2" xfId="22470" xr:uid="{00000000-0005-0000-0000-000077410000}"/>
    <cellStyle name="Normal 4 6 3 4 3 2 2" xfId="39338" xr:uid="{004A8412-32FD-4214-BB9D-E66CE78816E4}"/>
    <cellStyle name="Normal 4 6 3 4 3 3" xfId="14035" xr:uid="{00000000-0005-0000-0000-000078410000}"/>
    <cellStyle name="Normal 4 6 3 4 3 4" xfId="30904" xr:uid="{2C23A0FF-EF67-4238-96EF-8700642C61DC}"/>
    <cellStyle name="Normal 4 6 3 4 4" xfId="18252" xr:uid="{00000000-0005-0000-0000-000079410000}"/>
    <cellStyle name="Normal 4 6 3 4 4 2" xfId="35121" xr:uid="{0EB018E3-238E-46D7-A45D-B9402DA579A6}"/>
    <cellStyle name="Normal 4 6 3 4 5" xfId="9817" xr:uid="{00000000-0005-0000-0000-00007A410000}"/>
    <cellStyle name="Normal 4 6 3 4 6" xfId="26687" xr:uid="{638030CE-3E64-4D9E-84D2-E7B1CFA89CC6}"/>
    <cellStyle name="Normal 4 6 3 5" xfId="1705" xr:uid="{00000000-0005-0000-0000-00007B410000}"/>
    <cellStyle name="Normal 4 6 3 5 2" xfId="3935" xr:uid="{00000000-0005-0000-0000-00007C410000}"/>
    <cellStyle name="Normal 4 6 3 5 2 2" xfId="8158" xr:uid="{00000000-0005-0000-0000-00007D410000}"/>
    <cellStyle name="Normal 4 6 3 5 2 2 2" xfId="25028" xr:uid="{00000000-0005-0000-0000-00007E410000}"/>
    <cellStyle name="Normal 4 6 3 5 2 2 2 2" xfId="41896" xr:uid="{C1F9B830-6675-4699-9DF3-731CB30EE41E}"/>
    <cellStyle name="Normal 4 6 3 5 2 2 3" xfId="16593" xr:uid="{00000000-0005-0000-0000-00007F410000}"/>
    <cellStyle name="Normal 4 6 3 5 2 2 4" xfId="33462" xr:uid="{F494A279-AC42-45C8-AB25-89544E6C68B7}"/>
    <cellStyle name="Normal 4 6 3 5 2 3" xfId="20810" xr:uid="{00000000-0005-0000-0000-000080410000}"/>
    <cellStyle name="Normal 4 6 3 5 2 3 2" xfId="37679" xr:uid="{5DCCC79F-1341-4872-9747-6B711C04599F}"/>
    <cellStyle name="Normal 4 6 3 5 2 4" xfId="12375" xr:uid="{00000000-0005-0000-0000-000081410000}"/>
    <cellStyle name="Normal 4 6 3 5 2 5" xfId="29245" xr:uid="{C0A54B30-D21C-41F3-B5B6-3EFF8B802352}"/>
    <cellStyle name="Normal 4 6 3 5 3" xfId="6013" xr:uid="{00000000-0005-0000-0000-000082410000}"/>
    <cellStyle name="Normal 4 6 3 5 3 2" xfId="22883" xr:uid="{00000000-0005-0000-0000-000083410000}"/>
    <cellStyle name="Normal 4 6 3 5 3 2 2" xfId="39751" xr:uid="{4A11EC09-3F70-42B3-8E80-2A6FC9238F8C}"/>
    <cellStyle name="Normal 4 6 3 5 3 3" xfId="14448" xr:uid="{00000000-0005-0000-0000-000084410000}"/>
    <cellStyle name="Normal 4 6 3 5 3 4" xfId="31317" xr:uid="{9ADE4CEE-BC4F-43E6-B8AE-E24266550C1F}"/>
    <cellStyle name="Normal 4 6 3 5 4" xfId="18665" xr:uid="{00000000-0005-0000-0000-000085410000}"/>
    <cellStyle name="Normal 4 6 3 5 4 2" xfId="35534" xr:uid="{19397A24-CE61-4679-B747-2A48D9D0FC0A}"/>
    <cellStyle name="Normal 4 6 3 5 5" xfId="10230" xr:uid="{00000000-0005-0000-0000-000086410000}"/>
    <cellStyle name="Normal 4 6 3 5 6" xfId="27100" xr:uid="{72B4FA49-23C3-4E71-B135-BC5BC257BBBF}"/>
    <cellStyle name="Normal 4 6 3 6" xfId="2119" xr:uid="{00000000-0005-0000-0000-000087410000}"/>
    <cellStyle name="Normal 4 6 3 6 2" xfId="4348" xr:uid="{00000000-0005-0000-0000-000088410000}"/>
    <cellStyle name="Normal 4 6 3 6 2 2" xfId="8571" xr:uid="{00000000-0005-0000-0000-000089410000}"/>
    <cellStyle name="Normal 4 6 3 6 2 2 2" xfId="25441" xr:uid="{00000000-0005-0000-0000-00008A410000}"/>
    <cellStyle name="Normal 4 6 3 6 2 2 2 2" xfId="42309" xr:uid="{C9C447FB-3C8F-4FFE-A394-B14F31FF680A}"/>
    <cellStyle name="Normal 4 6 3 6 2 2 3" xfId="17006" xr:uid="{00000000-0005-0000-0000-00008B410000}"/>
    <cellStyle name="Normal 4 6 3 6 2 2 4" xfId="33875" xr:uid="{5769B243-4E38-4258-AD4A-A488C21CF03F}"/>
    <cellStyle name="Normal 4 6 3 6 2 3" xfId="21223" xr:uid="{00000000-0005-0000-0000-00008C410000}"/>
    <cellStyle name="Normal 4 6 3 6 2 3 2" xfId="38092" xr:uid="{85FB4968-6126-4FF5-8FE1-987F3DE0FF14}"/>
    <cellStyle name="Normal 4 6 3 6 2 4" xfId="12788" xr:uid="{00000000-0005-0000-0000-00008D410000}"/>
    <cellStyle name="Normal 4 6 3 6 2 5" xfId="29658" xr:uid="{EE54E281-CF35-4C55-BF5C-6EA5C042E742}"/>
    <cellStyle name="Normal 4 6 3 6 3" xfId="6426" xr:uid="{00000000-0005-0000-0000-00008E410000}"/>
    <cellStyle name="Normal 4 6 3 6 3 2" xfId="23296" xr:uid="{00000000-0005-0000-0000-00008F410000}"/>
    <cellStyle name="Normal 4 6 3 6 3 2 2" xfId="40164" xr:uid="{EB8C35C0-42E7-4CD1-BDBD-E1312DBE6A26}"/>
    <cellStyle name="Normal 4 6 3 6 3 3" xfId="14861" xr:uid="{00000000-0005-0000-0000-000090410000}"/>
    <cellStyle name="Normal 4 6 3 6 3 4" xfId="31730" xr:uid="{7AA5A791-444F-4578-8864-7D57EFBF0E1C}"/>
    <cellStyle name="Normal 4 6 3 6 4" xfId="19078" xr:uid="{00000000-0005-0000-0000-000091410000}"/>
    <cellStyle name="Normal 4 6 3 6 4 2" xfId="35947" xr:uid="{3BA6E395-3D17-4D47-AAA5-CD6CE6E606C6}"/>
    <cellStyle name="Normal 4 6 3 6 5" xfId="10643" xr:uid="{00000000-0005-0000-0000-000092410000}"/>
    <cellStyle name="Normal 4 6 3 6 6" xfId="27513" xr:uid="{42A99374-FF01-4E15-B77B-84E454BD1D0F}"/>
    <cellStyle name="Normal 4 6 3 7" xfId="2555" xr:uid="{00000000-0005-0000-0000-000093410000}"/>
    <cellStyle name="Normal 4 6 3 7 2" xfId="6839" xr:uid="{00000000-0005-0000-0000-000094410000}"/>
    <cellStyle name="Normal 4 6 3 7 2 2" xfId="23709" xr:uid="{00000000-0005-0000-0000-000095410000}"/>
    <cellStyle name="Normal 4 6 3 7 2 2 2" xfId="40577" xr:uid="{3FFC694B-C6EC-4559-A48D-A261D8BB045B}"/>
    <cellStyle name="Normal 4 6 3 7 2 3" xfId="15274" xr:uid="{00000000-0005-0000-0000-000096410000}"/>
    <cellStyle name="Normal 4 6 3 7 2 4" xfId="32143" xr:uid="{D763F9ED-5AED-4DDF-BEEA-35987636D4C2}"/>
    <cellStyle name="Normal 4 6 3 7 3" xfId="19491" xr:uid="{00000000-0005-0000-0000-000097410000}"/>
    <cellStyle name="Normal 4 6 3 7 3 2" xfId="36360" xr:uid="{63ECD69B-2FDF-4831-8214-4C8F87E4DF86}"/>
    <cellStyle name="Normal 4 6 3 7 4" xfId="11056" xr:uid="{00000000-0005-0000-0000-000098410000}"/>
    <cellStyle name="Normal 4 6 3 7 5" xfId="27926" xr:uid="{FB1816FB-A5AC-4760-AEFE-767BC880F0F9}"/>
    <cellStyle name="Normal 4 6 3 8" xfId="4774" xr:uid="{00000000-0005-0000-0000-000099410000}"/>
    <cellStyle name="Normal 4 6 3 8 2" xfId="21644" xr:uid="{00000000-0005-0000-0000-00009A410000}"/>
    <cellStyle name="Normal 4 6 3 8 2 2" xfId="38512" xr:uid="{7A33889D-007C-46D7-AD8A-6AA7B06D2309}"/>
    <cellStyle name="Normal 4 6 3 8 3" xfId="13209" xr:uid="{00000000-0005-0000-0000-00009B410000}"/>
    <cellStyle name="Normal 4 6 3 8 4" xfId="30078" xr:uid="{B57E342C-8D48-48AA-B5DC-B67330EED7B8}"/>
    <cellStyle name="Normal 4 6 3 9" xfId="17426" xr:uid="{00000000-0005-0000-0000-00009C410000}"/>
    <cellStyle name="Normal 4 6 3 9 2" xfId="34295" xr:uid="{26FA0E19-4733-4974-9056-82B1E5668C59}"/>
    <cellStyle name="Normal 4 6 4" xfId="402" xr:uid="{00000000-0005-0000-0000-00009D410000}"/>
    <cellStyle name="Normal 4 6 4 10" xfId="25863" xr:uid="{AFFB045E-E53A-4622-82C0-85236F05EEAC}"/>
    <cellStyle name="Normal 4 6 4 2" xfId="876" xr:uid="{00000000-0005-0000-0000-00009E410000}"/>
    <cellStyle name="Normal 4 6 4 2 2" xfId="3111" xr:uid="{00000000-0005-0000-0000-00009F410000}"/>
    <cellStyle name="Normal 4 6 4 2 2 2" xfId="7334" xr:uid="{00000000-0005-0000-0000-0000A0410000}"/>
    <cellStyle name="Normal 4 6 4 2 2 2 2" xfId="24204" xr:uid="{00000000-0005-0000-0000-0000A1410000}"/>
    <cellStyle name="Normal 4 6 4 2 2 2 2 2" xfId="41072" xr:uid="{B875F976-41F1-4CF7-A11F-E683A758965A}"/>
    <cellStyle name="Normal 4 6 4 2 2 2 3" xfId="15769" xr:uid="{00000000-0005-0000-0000-0000A2410000}"/>
    <cellStyle name="Normal 4 6 4 2 2 2 4" xfId="32638" xr:uid="{667C2AE5-FBED-4900-AB5E-66C621515E55}"/>
    <cellStyle name="Normal 4 6 4 2 2 3" xfId="19986" xr:uid="{00000000-0005-0000-0000-0000A3410000}"/>
    <cellStyle name="Normal 4 6 4 2 2 3 2" xfId="36855" xr:uid="{0DE5157E-8588-4F96-9F78-E39DA2D9A339}"/>
    <cellStyle name="Normal 4 6 4 2 2 4" xfId="11551" xr:uid="{00000000-0005-0000-0000-0000A4410000}"/>
    <cellStyle name="Normal 4 6 4 2 2 5" xfId="28421" xr:uid="{FA5D7F32-5D5E-4B0C-8C7E-6B7EF18F5F6C}"/>
    <cellStyle name="Normal 4 6 4 2 3" xfId="5189" xr:uid="{00000000-0005-0000-0000-0000A5410000}"/>
    <cellStyle name="Normal 4 6 4 2 3 2" xfId="22059" xr:uid="{00000000-0005-0000-0000-0000A6410000}"/>
    <cellStyle name="Normal 4 6 4 2 3 2 2" xfId="38927" xr:uid="{16B67AC2-3E1F-4CA2-9A2E-367C7CB57AA3}"/>
    <cellStyle name="Normal 4 6 4 2 3 3" xfId="13624" xr:uid="{00000000-0005-0000-0000-0000A7410000}"/>
    <cellStyle name="Normal 4 6 4 2 3 4" xfId="30493" xr:uid="{5F9BA2DC-2381-45EF-A268-BDCA8D66CB90}"/>
    <cellStyle name="Normal 4 6 4 2 4" xfId="17841" xr:uid="{00000000-0005-0000-0000-0000A8410000}"/>
    <cellStyle name="Normal 4 6 4 2 4 2" xfId="34710" xr:uid="{025CF6F6-F815-4309-AA0B-7F742E7CC1AF}"/>
    <cellStyle name="Normal 4 6 4 2 5" xfId="9406" xr:uid="{00000000-0005-0000-0000-0000A9410000}"/>
    <cellStyle name="Normal 4 6 4 2 6" xfId="26276" xr:uid="{F826C9E2-BB49-4F40-9BF3-108C3B37B535}"/>
    <cellStyle name="Normal 4 6 4 3" xfId="1294" xr:uid="{00000000-0005-0000-0000-0000AA410000}"/>
    <cellStyle name="Normal 4 6 4 3 2" xfId="3524" xr:uid="{00000000-0005-0000-0000-0000AB410000}"/>
    <cellStyle name="Normal 4 6 4 3 2 2" xfId="7747" xr:uid="{00000000-0005-0000-0000-0000AC410000}"/>
    <cellStyle name="Normal 4 6 4 3 2 2 2" xfId="24617" xr:uid="{00000000-0005-0000-0000-0000AD410000}"/>
    <cellStyle name="Normal 4 6 4 3 2 2 2 2" xfId="41485" xr:uid="{3B21E491-AFA3-45A4-AF75-41A2728EC4FA}"/>
    <cellStyle name="Normal 4 6 4 3 2 2 3" xfId="16182" xr:uid="{00000000-0005-0000-0000-0000AE410000}"/>
    <cellStyle name="Normal 4 6 4 3 2 2 4" xfId="33051" xr:uid="{518FA544-FD10-4F4A-9C93-C40E0A94CC25}"/>
    <cellStyle name="Normal 4 6 4 3 2 3" xfId="20399" xr:uid="{00000000-0005-0000-0000-0000AF410000}"/>
    <cellStyle name="Normal 4 6 4 3 2 3 2" xfId="37268" xr:uid="{31BED651-9E2C-4E2E-AACC-19F74736FC67}"/>
    <cellStyle name="Normal 4 6 4 3 2 4" xfId="11964" xr:uid="{00000000-0005-0000-0000-0000B0410000}"/>
    <cellStyle name="Normal 4 6 4 3 2 5" xfId="28834" xr:uid="{A7D3E5D1-6DD4-4711-8638-87F09579FF61}"/>
    <cellStyle name="Normal 4 6 4 3 3" xfId="5602" xr:uid="{00000000-0005-0000-0000-0000B1410000}"/>
    <cellStyle name="Normal 4 6 4 3 3 2" xfId="22472" xr:uid="{00000000-0005-0000-0000-0000B2410000}"/>
    <cellStyle name="Normal 4 6 4 3 3 2 2" xfId="39340" xr:uid="{3DD5BB7B-B778-4A47-911F-F1DA2D148FBA}"/>
    <cellStyle name="Normal 4 6 4 3 3 3" xfId="14037" xr:uid="{00000000-0005-0000-0000-0000B3410000}"/>
    <cellStyle name="Normal 4 6 4 3 3 4" xfId="30906" xr:uid="{09374B26-B21C-46DD-8B4F-D3F4007FD894}"/>
    <cellStyle name="Normal 4 6 4 3 4" xfId="18254" xr:uid="{00000000-0005-0000-0000-0000B4410000}"/>
    <cellStyle name="Normal 4 6 4 3 4 2" xfId="35123" xr:uid="{F5A654C2-614A-474F-A361-162697E4E129}"/>
    <cellStyle name="Normal 4 6 4 3 5" xfId="9819" xr:uid="{00000000-0005-0000-0000-0000B5410000}"/>
    <cellStyle name="Normal 4 6 4 3 6" xfId="26689" xr:uid="{FB10966A-43AF-46F4-B7D0-3303F70C3664}"/>
    <cellStyle name="Normal 4 6 4 4" xfId="1707" xr:uid="{00000000-0005-0000-0000-0000B6410000}"/>
    <cellStyle name="Normal 4 6 4 4 2" xfId="3937" xr:uid="{00000000-0005-0000-0000-0000B7410000}"/>
    <cellStyle name="Normal 4 6 4 4 2 2" xfId="8160" xr:uid="{00000000-0005-0000-0000-0000B8410000}"/>
    <cellStyle name="Normal 4 6 4 4 2 2 2" xfId="25030" xr:uid="{00000000-0005-0000-0000-0000B9410000}"/>
    <cellStyle name="Normal 4 6 4 4 2 2 2 2" xfId="41898" xr:uid="{36754B7C-01C4-4372-9626-5DD590101DFC}"/>
    <cellStyle name="Normal 4 6 4 4 2 2 3" xfId="16595" xr:uid="{00000000-0005-0000-0000-0000BA410000}"/>
    <cellStyle name="Normal 4 6 4 4 2 2 4" xfId="33464" xr:uid="{5581391D-4E6C-4058-BC20-EC6FA937EFF1}"/>
    <cellStyle name="Normal 4 6 4 4 2 3" xfId="20812" xr:uid="{00000000-0005-0000-0000-0000BB410000}"/>
    <cellStyle name="Normal 4 6 4 4 2 3 2" xfId="37681" xr:uid="{A4AF21C2-E90F-45A8-900D-5C37EB04BF72}"/>
    <cellStyle name="Normal 4 6 4 4 2 4" xfId="12377" xr:uid="{00000000-0005-0000-0000-0000BC410000}"/>
    <cellStyle name="Normal 4 6 4 4 2 5" xfId="29247" xr:uid="{763A49A7-35FD-4618-97D3-9A52DE7AF05F}"/>
    <cellStyle name="Normal 4 6 4 4 3" xfId="6015" xr:uid="{00000000-0005-0000-0000-0000BD410000}"/>
    <cellStyle name="Normal 4 6 4 4 3 2" xfId="22885" xr:uid="{00000000-0005-0000-0000-0000BE410000}"/>
    <cellStyle name="Normal 4 6 4 4 3 2 2" xfId="39753" xr:uid="{F5D2BE06-074D-4897-8105-A29D767A000D}"/>
    <cellStyle name="Normal 4 6 4 4 3 3" xfId="14450" xr:uid="{00000000-0005-0000-0000-0000BF410000}"/>
    <cellStyle name="Normal 4 6 4 4 3 4" xfId="31319" xr:uid="{32A7A79A-2A7F-4577-80C7-0486CAD7A7FC}"/>
    <cellStyle name="Normal 4 6 4 4 4" xfId="18667" xr:uid="{00000000-0005-0000-0000-0000C0410000}"/>
    <cellStyle name="Normal 4 6 4 4 4 2" xfId="35536" xr:uid="{DF01DE15-4B22-4AC4-A072-6C0B0166E6CE}"/>
    <cellStyle name="Normal 4 6 4 4 5" xfId="10232" xr:uid="{00000000-0005-0000-0000-0000C1410000}"/>
    <cellStyle name="Normal 4 6 4 4 6" xfId="27102" xr:uid="{3395438A-7AD8-42E4-ACDB-2D4624399778}"/>
    <cellStyle name="Normal 4 6 4 5" xfId="2121" xr:uid="{00000000-0005-0000-0000-0000C2410000}"/>
    <cellStyle name="Normal 4 6 4 5 2" xfId="4350" xr:uid="{00000000-0005-0000-0000-0000C3410000}"/>
    <cellStyle name="Normal 4 6 4 5 2 2" xfId="8573" xr:uid="{00000000-0005-0000-0000-0000C4410000}"/>
    <cellStyle name="Normal 4 6 4 5 2 2 2" xfId="25443" xr:uid="{00000000-0005-0000-0000-0000C5410000}"/>
    <cellStyle name="Normal 4 6 4 5 2 2 2 2" xfId="42311" xr:uid="{F75BC638-1CB9-4EF5-8359-106DEC217E55}"/>
    <cellStyle name="Normal 4 6 4 5 2 2 3" xfId="17008" xr:uid="{00000000-0005-0000-0000-0000C6410000}"/>
    <cellStyle name="Normal 4 6 4 5 2 2 4" xfId="33877" xr:uid="{D03AB337-EE76-4B25-ABAC-8397C390C6DC}"/>
    <cellStyle name="Normal 4 6 4 5 2 3" xfId="21225" xr:uid="{00000000-0005-0000-0000-0000C7410000}"/>
    <cellStyle name="Normal 4 6 4 5 2 3 2" xfId="38094" xr:uid="{A68FC864-1AEC-468E-BFE3-1AE8A766F41E}"/>
    <cellStyle name="Normal 4 6 4 5 2 4" xfId="12790" xr:uid="{00000000-0005-0000-0000-0000C8410000}"/>
    <cellStyle name="Normal 4 6 4 5 2 5" xfId="29660" xr:uid="{7CD7A8D1-E152-4147-837D-326B1013D1B1}"/>
    <cellStyle name="Normal 4 6 4 5 3" xfId="6428" xr:uid="{00000000-0005-0000-0000-0000C9410000}"/>
    <cellStyle name="Normal 4 6 4 5 3 2" xfId="23298" xr:uid="{00000000-0005-0000-0000-0000CA410000}"/>
    <cellStyle name="Normal 4 6 4 5 3 2 2" xfId="40166" xr:uid="{329405DE-A849-4300-8A2A-CC887B85AFE9}"/>
    <cellStyle name="Normal 4 6 4 5 3 3" xfId="14863" xr:uid="{00000000-0005-0000-0000-0000CB410000}"/>
    <cellStyle name="Normal 4 6 4 5 3 4" xfId="31732" xr:uid="{0C652A8A-C9A2-4394-B54E-AA9C0030A209}"/>
    <cellStyle name="Normal 4 6 4 5 4" xfId="19080" xr:uid="{00000000-0005-0000-0000-0000CC410000}"/>
    <cellStyle name="Normal 4 6 4 5 4 2" xfId="35949" xr:uid="{5EF8DB08-3481-4CBD-8950-F3EC9C2F0B2B}"/>
    <cellStyle name="Normal 4 6 4 5 5" xfId="10645" xr:uid="{00000000-0005-0000-0000-0000CD410000}"/>
    <cellStyle name="Normal 4 6 4 5 6" xfId="27515" xr:uid="{63FB7803-9646-407C-AF09-FD2B0F5848D4}"/>
    <cellStyle name="Normal 4 6 4 6" xfId="2557" xr:uid="{00000000-0005-0000-0000-0000CE410000}"/>
    <cellStyle name="Normal 4 6 4 6 2" xfId="6841" xr:uid="{00000000-0005-0000-0000-0000CF410000}"/>
    <cellStyle name="Normal 4 6 4 6 2 2" xfId="23711" xr:uid="{00000000-0005-0000-0000-0000D0410000}"/>
    <cellStyle name="Normal 4 6 4 6 2 2 2" xfId="40579" xr:uid="{7FCE25C1-A166-49B2-9646-63B91F712E29}"/>
    <cellStyle name="Normal 4 6 4 6 2 3" xfId="15276" xr:uid="{00000000-0005-0000-0000-0000D1410000}"/>
    <cellStyle name="Normal 4 6 4 6 2 4" xfId="32145" xr:uid="{118B99DF-5BE4-4207-B9CF-AC9DB590525F}"/>
    <cellStyle name="Normal 4 6 4 6 3" xfId="19493" xr:uid="{00000000-0005-0000-0000-0000D2410000}"/>
    <cellStyle name="Normal 4 6 4 6 3 2" xfId="36362" xr:uid="{149DEB9F-DC37-46C7-809F-EBBBEE864E27}"/>
    <cellStyle name="Normal 4 6 4 6 4" xfId="11058" xr:uid="{00000000-0005-0000-0000-0000D3410000}"/>
    <cellStyle name="Normal 4 6 4 6 5" xfId="27928" xr:uid="{EC11D092-0538-476F-8E15-974599B53E77}"/>
    <cellStyle name="Normal 4 6 4 7" xfId="4776" xr:uid="{00000000-0005-0000-0000-0000D4410000}"/>
    <cellStyle name="Normal 4 6 4 7 2" xfId="21646" xr:uid="{00000000-0005-0000-0000-0000D5410000}"/>
    <cellStyle name="Normal 4 6 4 7 2 2" xfId="38514" xr:uid="{31CACBD7-1328-4DD9-8E0A-5F40A2596D55}"/>
    <cellStyle name="Normal 4 6 4 7 3" xfId="13211" xr:uid="{00000000-0005-0000-0000-0000D6410000}"/>
    <cellStyle name="Normal 4 6 4 7 4" xfId="30080" xr:uid="{A59C504A-89F5-416F-8AF9-373024E2F766}"/>
    <cellStyle name="Normal 4 6 4 8" xfId="17428" xr:uid="{00000000-0005-0000-0000-0000D7410000}"/>
    <cellStyle name="Normal 4 6 4 8 2" xfId="34297" xr:uid="{DF708DF4-D2F4-475D-856E-FE97AC4548EB}"/>
    <cellStyle name="Normal 4 6 4 9" xfId="8993" xr:uid="{00000000-0005-0000-0000-0000D8410000}"/>
    <cellStyle name="Normal 4 6 5" xfId="869" xr:uid="{00000000-0005-0000-0000-0000D9410000}"/>
    <cellStyle name="Normal 4 6 5 2" xfId="3104" xr:uid="{00000000-0005-0000-0000-0000DA410000}"/>
    <cellStyle name="Normal 4 6 5 2 2" xfId="7327" xr:uid="{00000000-0005-0000-0000-0000DB410000}"/>
    <cellStyle name="Normal 4 6 5 2 2 2" xfId="24197" xr:uid="{00000000-0005-0000-0000-0000DC410000}"/>
    <cellStyle name="Normal 4 6 5 2 2 2 2" xfId="41065" xr:uid="{5FAA54A3-89DD-49A8-B75F-232291D510DD}"/>
    <cellStyle name="Normal 4 6 5 2 2 3" xfId="15762" xr:uid="{00000000-0005-0000-0000-0000DD410000}"/>
    <cellStyle name="Normal 4 6 5 2 2 4" xfId="32631" xr:uid="{745ADF70-039E-4A22-B841-687E65946494}"/>
    <cellStyle name="Normal 4 6 5 2 3" xfId="19979" xr:uid="{00000000-0005-0000-0000-0000DE410000}"/>
    <cellStyle name="Normal 4 6 5 2 3 2" xfId="36848" xr:uid="{F0EB1FE6-E352-48D3-90E7-01591D94D41B}"/>
    <cellStyle name="Normal 4 6 5 2 4" xfId="11544" xr:uid="{00000000-0005-0000-0000-0000DF410000}"/>
    <cellStyle name="Normal 4 6 5 2 5" xfId="28414" xr:uid="{A32A020A-8473-4BA6-AEA7-E992C1C38088}"/>
    <cellStyle name="Normal 4 6 5 3" xfId="5182" xr:uid="{00000000-0005-0000-0000-0000E0410000}"/>
    <cellStyle name="Normal 4 6 5 3 2" xfId="22052" xr:uid="{00000000-0005-0000-0000-0000E1410000}"/>
    <cellStyle name="Normal 4 6 5 3 2 2" xfId="38920" xr:uid="{54683C97-5EC3-42B2-9CE4-08D1055B078A}"/>
    <cellStyle name="Normal 4 6 5 3 3" xfId="13617" xr:uid="{00000000-0005-0000-0000-0000E2410000}"/>
    <cellStyle name="Normal 4 6 5 3 4" xfId="30486" xr:uid="{AD86F02E-0614-463E-83BC-6863D8C4B037}"/>
    <cellStyle name="Normal 4 6 5 4" xfId="17834" xr:uid="{00000000-0005-0000-0000-0000E3410000}"/>
    <cellStyle name="Normal 4 6 5 4 2" xfId="34703" xr:uid="{37D82F74-8CB7-4D40-940F-B338D208ED7A}"/>
    <cellStyle name="Normal 4 6 5 5" xfId="9399" xr:uid="{00000000-0005-0000-0000-0000E4410000}"/>
    <cellStyle name="Normal 4 6 5 6" xfId="26269" xr:uid="{57AD5A4D-66A7-4B20-8BEA-CBD277D1DB04}"/>
    <cellStyle name="Normal 4 6 6" xfId="1287" xr:uid="{00000000-0005-0000-0000-0000E5410000}"/>
    <cellStyle name="Normal 4 6 6 2" xfId="3517" xr:uid="{00000000-0005-0000-0000-0000E6410000}"/>
    <cellStyle name="Normal 4 6 6 2 2" xfId="7740" xr:uid="{00000000-0005-0000-0000-0000E7410000}"/>
    <cellStyle name="Normal 4 6 6 2 2 2" xfId="24610" xr:uid="{00000000-0005-0000-0000-0000E8410000}"/>
    <cellStyle name="Normal 4 6 6 2 2 2 2" xfId="41478" xr:uid="{2CAB5E35-13A2-4BF1-9EFC-DC7DC7492C0C}"/>
    <cellStyle name="Normal 4 6 6 2 2 3" xfId="16175" xr:uid="{00000000-0005-0000-0000-0000E9410000}"/>
    <cellStyle name="Normal 4 6 6 2 2 4" xfId="33044" xr:uid="{B245712C-9D47-4559-BFDC-43FA24D9B8F7}"/>
    <cellStyle name="Normal 4 6 6 2 3" xfId="20392" xr:uid="{00000000-0005-0000-0000-0000EA410000}"/>
    <cellStyle name="Normal 4 6 6 2 3 2" xfId="37261" xr:uid="{645D0302-5B0B-49A9-8FA6-970CF0438EF4}"/>
    <cellStyle name="Normal 4 6 6 2 4" xfId="11957" xr:uid="{00000000-0005-0000-0000-0000EB410000}"/>
    <cellStyle name="Normal 4 6 6 2 5" xfId="28827" xr:uid="{1EB27774-FAEE-46DC-B225-C85B3BDB23D6}"/>
    <cellStyle name="Normal 4 6 6 3" xfId="5595" xr:uid="{00000000-0005-0000-0000-0000EC410000}"/>
    <cellStyle name="Normal 4 6 6 3 2" xfId="22465" xr:uid="{00000000-0005-0000-0000-0000ED410000}"/>
    <cellStyle name="Normal 4 6 6 3 2 2" xfId="39333" xr:uid="{2BF790DE-B5E7-4F24-A1D7-463ACB56DC1C}"/>
    <cellStyle name="Normal 4 6 6 3 3" xfId="14030" xr:uid="{00000000-0005-0000-0000-0000EE410000}"/>
    <cellStyle name="Normal 4 6 6 3 4" xfId="30899" xr:uid="{088BBCA7-33B4-4709-93FA-BD7B5C217AD6}"/>
    <cellStyle name="Normal 4 6 6 4" xfId="18247" xr:uid="{00000000-0005-0000-0000-0000EF410000}"/>
    <cellStyle name="Normal 4 6 6 4 2" xfId="35116" xr:uid="{3F3A2AEA-4C7D-46E6-B351-689550B40CFF}"/>
    <cellStyle name="Normal 4 6 6 5" xfId="9812" xr:uid="{00000000-0005-0000-0000-0000F0410000}"/>
    <cellStyle name="Normal 4 6 6 6" xfId="26682" xr:uid="{779AC9E6-CAE2-4FE4-ADA4-50CC2E05FA03}"/>
    <cellStyle name="Normal 4 6 7" xfId="1700" xr:uid="{00000000-0005-0000-0000-0000F1410000}"/>
    <cellStyle name="Normal 4 6 7 2" xfId="3930" xr:uid="{00000000-0005-0000-0000-0000F2410000}"/>
    <cellStyle name="Normal 4 6 7 2 2" xfId="8153" xr:uid="{00000000-0005-0000-0000-0000F3410000}"/>
    <cellStyle name="Normal 4 6 7 2 2 2" xfId="25023" xr:uid="{00000000-0005-0000-0000-0000F4410000}"/>
    <cellStyle name="Normal 4 6 7 2 2 2 2" xfId="41891" xr:uid="{48480CC8-AB38-49BA-9F59-456635544F8B}"/>
    <cellStyle name="Normal 4 6 7 2 2 3" xfId="16588" xr:uid="{00000000-0005-0000-0000-0000F5410000}"/>
    <cellStyle name="Normal 4 6 7 2 2 4" xfId="33457" xr:uid="{203094C6-0096-4833-B1CE-AD1D41C2F1F7}"/>
    <cellStyle name="Normal 4 6 7 2 3" xfId="20805" xr:uid="{00000000-0005-0000-0000-0000F6410000}"/>
    <cellStyle name="Normal 4 6 7 2 3 2" xfId="37674" xr:uid="{767D97B5-3511-4ADE-9FBA-5CD1751D134C}"/>
    <cellStyle name="Normal 4 6 7 2 4" xfId="12370" xr:uid="{00000000-0005-0000-0000-0000F7410000}"/>
    <cellStyle name="Normal 4 6 7 2 5" xfId="29240" xr:uid="{E355FFAD-DCF1-4DB3-B085-C88B55AD6401}"/>
    <cellStyle name="Normal 4 6 7 3" xfId="6008" xr:uid="{00000000-0005-0000-0000-0000F8410000}"/>
    <cellStyle name="Normal 4 6 7 3 2" xfId="22878" xr:uid="{00000000-0005-0000-0000-0000F9410000}"/>
    <cellStyle name="Normal 4 6 7 3 2 2" xfId="39746" xr:uid="{E2DB018A-0027-4A56-8609-D9E15E06DF67}"/>
    <cellStyle name="Normal 4 6 7 3 3" xfId="14443" xr:uid="{00000000-0005-0000-0000-0000FA410000}"/>
    <cellStyle name="Normal 4 6 7 3 4" xfId="31312" xr:uid="{21C10E58-5067-45A5-A5FD-8EE8851C05E4}"/>
    <cellStyle name="Normal 4 6 7 4" xfId="18660" xr:uid="{00000000-0005-0000-0000-0000FB410000}"/>
    <cellStyle name="Normal 4 6 7 4 2" xfId="35529" xr:uid="{CCBA48BF-BC13-458D-B2FE-B6070B6DC0B5}"/>
    <cellStyle name="Normal 4 6 7 5" xfId="10225" xr:uid="{00000000-0005-0000-0000-0000FC410000}"/>
    <cellStyle name="Normal 4 6 7 6" xfId="27095" xr:uid="{AD90CE9F-9A13-4B8C-B0A1-08014B773323}"/>
    <cellStyle name="Normal 4 6 8" xfId="2114" xr:uid="{00000000-0005-0000-0000-0000FD410000}"/>
    <cellStyle name="Normal 4 6 8 2" xfId="4343" xr:uid="{00000000-0005-0000-0000-0000FE410000}"/>
    <cellStyle name="Normal 4 6 8 2 2" xfId="8566" xr:uid="{00000000-0005-0000-0000-0000FF410000}"/>
    <cellStyle name="Normal 4 6 8 2 2 2" xfId="25436" xr:uid="{00000000-0005-0000-0000-000000420000}"/>
    <cellStyle name="Normal 4 6 8 2 2 2 2" xfId="42304" xr:uid="{03DD8EAE-7666-4C93-AD5A-D5539A930E5A}"/>
    <cellStyle name="Normal 4 6 8 2 2 3" xfId="17001" xr:uid="{00000000-0005-0000-0000-000001420000}"/>
    <cellStyle name="Normal 4 6 8 2 2 4" xfId="33870" xr:uid="{B145BA84-792C-4DA3-ACDF-CE12B14A2D79}"/>
    <cellStyle name="Normal 4 6 8 2 3" xfId="21218" xr:uid="{00000000-0005-0000-0000-000002420000}"/>
    <cellStyle name="Normal 4 6 8 2 3 2" xfId="38087" xr:uid="{D5DF8126-AF26-4E75-B5B8-02F2244976B7}"/>
    <cellStyle name="Normal 4 6 8 2 4" xfId="12783" xr:uid="{00000000-0005-0000-0000-000003420000}"/>
    <cellStyle name="Normal 4 6 8 2 5" xfId="29653" xr:uid="{5C61FB03-4C6D-46DB-8A72-17707F0A6547}"/>
    <cellStyle name="Normal 4 6 8 3" xfId="6421" xr:uid="{00000000-0005-0000-0000-000004420000}"/>
    <cellStyle name="Normal 4 6 8 3 2" xfId="23291" xr:uid="{00000000-0005-0000-0000-000005420000}"/>
    <cellStyle name="Normal 4 6 8 3 2 2" xfId="40159" xr:uid="{5F5C821D-5FA4-4EEA-95E5-4E01407D7546}"/>
    <cellStyle name="Normal 4 6 8 3 3" xfId="14856" xr:uid="{00000000-0005-0000-0000-000006420000}"/>
    <cellStyle name="Normal 4 6 8 3 4" xfId="31725" xr:uid="{71E5DDFF-1AFF-4760-B2EB-6B00B19F001F}"/>
    <cellStyle name="Normal 4 6 8 4" xfId="19073" xr:uid="{00000000-0005-0000-0000-000007420000}"/>
    <cellStyle name="Normal 4 6 8 4 2" xfId="35942" xr:uid="{B46DA49A-2EB8-4870-A088-BEF642DD0898}"/>
    <cellStyle name="Normal 4 6 8 5" xfId="10638" xr:uid="{00000000-0005-0000-0000-000008420000}"/>
    <cellStyle name="Normal 4 6 8 6" xfId="27508" xr:uid="{E477341B-B94B-42F9-81FF-1315492C61F5}"/>
    <cellStyle name="Normal 4 6 9" xfId="2550" xr:uid="{00000000-0005-0000-0000-000009420000}"/>
    <cellStyle name="Normal 4 6 9 2" xfId="6834" xr:uid="{00000000-0005-0000-0000-00000A420000}"/>
    <cellStyle name="Normal 4 6 9 2 2" xfId="23704" xr:uid="{00000000-0005-0000-0000-00000B420000}"/>
    <cellStyle name="Normal 4 6 9 2 2 2" xfId="40572" xr:uid="{59E1920F-DDE6-44E1-8076-1B36D7471E2B}"/>
    <cellStyle name="Normal 4 6 9 2 3" xfId="15269" xr:uid="{00000000-0005-0000-0000-00000C420000}"/>
    <cellStyle name="Normal 4 6 9 2 4" xfId="32138" xr:uid="{60BCD7E9-7DA0-49FF-AF3B-1B05DA9E9E90}"/>
    <cellStyle name="Normal 4 6 9 3" xfId="19486" xr:uid="{00000000-0005-0000-0000-00000D420000}"/>
    <cellStyle name="Normal 4 6 9 3 2" xfId="36355" xr:uid="{618E6DB4-3067-413B-A85E-61E26BE58B6F}"/>
    <cellStyle name="Normal 4 6 9 4" xfId="11051" xr:uid="{00000000-0005-0000-0000-00000E420000}"/>
    <cellStyle name="Normal 4 6 9 5" xfId="27921" xr:uid="{EB57E35E-7E6D-4214-8D29-D8536D4BB621}"/>
    <cellStyle name="Normal 4 7" xfId="403" xr:uid="{00000000-0005-0000-0000-00000F420000}"/>
    <cellStyle name="Normal 4 7 10" xfId="8994" xr:uid="{00000000-0005-0000-0000-000010420000}"/>
    <cellStyle name="Normal 4 7 11" xfId="25864" xr:uid="{6A9D86E9-75B2-457D-9463-F506329AAF29}"/>
    <cellStyle name="Normal 4 7 2" xfId="404" xr:uid="{00000000-0005-0000-0000-000011420000}"/>
    <cellStyle name="Normal 4 7 2 10" xfId="25865" xr:uid="{B70A10D3-19A0-4885-8336-CA5C6E8E8907}"/>
    <cellStyle name="Normal 4 7 2 2" xfId="878" xr:uid="{00000000-0005-0000-0000-000012420000}"/>
    <cellStyle name="Normal 4 7 2 2 2" xfId="3113" xr:uid="{00000000-0005-0000-0000-000013420000}"/>
    <cellStyle name="Normal 4 7 2 2 2 2" xfId="7336" xr:uid="{00000000-0005-0000-0000-000014420000}"/>
    <cellStyle name="Normal 4 7 2 2 2 2 2" xfId="24206" xr:uid="{00000000-0005-0000-0000-000015420000}"/>
    <cellStyle name="Normal 4 7 2 2 2 2 2 2" xfId="41074" xr:uid="{38FFDF33-50B0-4183-8C3B-B87900B9EAA0}"/>
    <cellStyle name="Normal 4 7 2 2 2 2 3" xfId="15771" xr:uid="{00000000-0005-0000-0000-000016420000}"/>
    <cellStyle name="Normal 4 7 2 2 2 2 4" xfId="32640" xr:uid="{E10AA90B-9AFA-4624-AEEC-03994524C436}"/>
    <cellStyle name="Normal 4 7 2 2 2 3" xfId="19988" xr:uid="{00000000-0005-0000-0000-000017420000}"/>
    <cellStyle name="Normal 4 7 2 2 2 3 2" xfId="36857" xr:uid="{3EC68B11-980B-4C79-A89A-B665DD74FE6F}"/>
    <cellStyle name="Normal 4 7 2 2 2 4" xfId="11553" xr:uid="{00000000-0005-0000-0000-000018420000}"/>
    <cellStyle name="Normal 4 7 2 2 2 5" xfId="28423" xr:uid="{2E96432C-3B0E-48CD-AF88-232AE36219EE}"/>
    <cellStyle name="Normal 4 7 2 2 3" xfId="5191" xr:uid="{00000000-0005-0000-0000-000019420000}"/>
    <cellStyle name="Normal 4 7 2 2 3 2" xfId="22061" xr:uid="{00000000-0005-0000-0000-00001A420000}"/>
    <cellStyle name="Normal 4 7 2 2 3 2 2" xfId="38929" xr:uid="{C9EC135E-EE39-4BCF-8B26-999AC835DB42}"/>
    <cellStyle name="Normal 4 7 2 2 3 3" xfId="13626" xr:uid="{00000000-0005-0000-0000-00001B420000}"/>
    <cellStyle name="Normal 4 7 2 2 3 4" xfId="30495" xr:uid="{ED57F024-B1BE-4337-B8AA-9C9669C11422}"/>
    <cellStyle name="Normal 4 7 2 2 4" xfId="17843" xr:uid="{00000000-0005-0000-0000-00001C420000}"/>
    <cellStyle name="Normal 4 7 2 2 4 2" xfId="34712" xr:uid="{D7F8ACD9-3886-4656-B903-6AC74FB5FED4}"/>
    <cellStyle name="Normal 4 7 2 2 5" xfId="9408" xr:uid="{00000000-0005-0000-0000-00001D420000}"/>
    <cellStyle name="Normal 4 7 2 2 6" xfId="26278" xr:uid="{0F638C82-EE8B-4828-931B-56A1D8770623}"/>
    <cellStyle name="Normal 4 7 2 3" xfId="1296" xr:uid="{00000000-0005-0000-0000-00001E420000}"/>
    <cellStyle name="Normal 4 7 2 3 2" xfId="3526" xr:uid="{00000000-0005-0000-0000-00001F420000}"/>
    <cellStyle name="Normal 4 7 2 3 2 2" xfId="7749" xr:uid="{00000000-0005-0000-0000-000020420000}"/>
    <cellStyle name="Normal 4 7 2 3 2 2 2" xfId="24619" xr:uid="{00000000-0005-0000-0000-000021420000}"/>
    <cellStyle name="Normal 4 7 2 3 2 2 2 2" xfId="41487" xr:uid="{03C85BC2-32F8-452F-A269-11D999659078}"/>
    <cellStyle name="Normal 4 7 2 3 2 2 3" xfId="16184" xr:uid="{00000000-0005-0000-0000-000022420000}"/>
    <cellStyle name="Normal 4 7 2 3 2 2 4" xfId="33053" xr:uid="{5D1EA59A-0607-4A0B-A3E0-A0B4DCE52A56}"/>
    <cellStyle name="Normal 4 7 2 3 2 3" xfId="20401" xr:uid="{00000000-0005-0000-0000-000023420000}"/>
    <cellStyle name="Normal 4 7 2 3 2 3 2" xfId="37270" xr:uid="{30BA4CA5-C63E-4802-A0E6-3925D04C8310}"/>
    <cellStyle name="Normal 4 7 2 3 2 4" xfId="11966" xr:uid="{00000000-0005-0000-0000-000024420000}"/>
    <cellStyle name="Normal 4 7 2 3 2 5" xfId="28836" xr:uid="{BDABD078-B97D-40B8-A999-210595AA027B}"/>
    <cellStyle name="Normal 4 7 2 3 3" xfId="5604" xr:uid="{00000000-0005-0000-0000-000025420000}"/>
    <cellStyle name="Normal 4 7 2 3 3 2" xfId="22474" xr:uid="{00000000-0005-0000-0000-000026420000}"/>
    <cellStyle name="Normal 4 7 2 3 3 2 2" xfId="39342" xr:uid="{338F2C93-44F5-4B95-B088-54E780753395}"/>
    <cellStyle name="Normal 4 7 2 3 3 3" xfId="14039" xr:uid="{00000000-0005-0000-0000-000027420000}"/>
    <cellStyle name="Normal 4 7 2 3 3 4" xfId="30908" xr:uid="{8C2F6409-3B1A-4B89-8837-C4BF038D280A}"/>
    <cellStyle name="Normal 4 7 2 3 4" xfId="18256" xr:uid="{00000000-0005-0000-0000-000028420000}"/>
    <cellStyle name="Normal 4 7 2 3 4 2" xfId="35125" xr:uid="{0CD54EBF-1E2B-43A6-A15D-4A165846B953}"/>
    <cellStyle name="Normal 4 7 2 3 5" xfId="9821" xr:uid="{00000000-0005-0000-0000-000029420000}"/>
    <cellStyle name="Normal 4 7 2 3 6" xfId="26691" xr:uid="{61762458-BC3F-4277-93B9-B2CF74D5C165}"/>
    <cellStyle name="Normal 4 7 2 4" xfId="1709" xr:uid="{00000000-0005-0000-0000-00002A420000}"/>
    <cellStyle name="Normal 4 7 2 4 2" xfId="3939" xr:uid="{00000000-0005-0000-0000-00002B420000}"/>
    <cellStyle name="Normal 4 7 2 4 2 2" xfId="8162" xr:uid="{00000000-0005-0000-0000-00002C420000}"/>
    <cellStyle name="Normal 4 7 2 4 2 2 2" xfId="25032" xr:uid="{00000000-0005-0000-0000-00002D420000}"/>
    <cellStyle name="Normal 4 7 2 4 2 2 2 2" xfId="41900" xr:uid="{669FDBD3-F87D-4BBE-808F-04F5694FF1BB}"/>
    <cellStyle name="Normal 4 7 2 4 2 2 3" xfId="16597" xr:uid="{00000000-0005-0000-0000-00002E420000}"/>
    <cellStyle name="Normal 4 7 2 4 2 2 4" xfId="33466" xr:uid="{B941AA6F-75B5-4ECA-B329-A5A423C348F8}"/>
    <cellStyle name="Normal 4 7 2 4 2 3" xfId="20814" xr:uid="{00000000-0005-0000-0000-00002F420000}"/>
    <cellStyle name="Normal 4 7 2 4 2 3 2" xfId="37683" xr:uid="{F2597D50-8269-478A-BED9-D0C5C1127A76}"/>
    <cellStyle name="Normal 4 7 2 4 2 4" xfId="12379" xr:uid="{00000000-0005-0000-0000-000030420000}"/>
    <cellStyle name="Normal 4 7 2 4 2 5" xfId="29249" xr:uid="{94659D56-1D8E-4A12-B275-D29B33B017A6}"/>
    <cellStyle name="Normal 4 7 2 4 3" xfId="6017" xr:uid="{00000000-0005-0000-0000-000031420000}"/>
    <cellStyle name="Normal 4 7 2 4 3 2" xfId="22887" xr:uid="{00000000-0005-0000-0000-000032420000}"/>
    <cellStyle name="Normal 4 7 2 4 3 2 2" xfId="39755" xr:uid="{0D2FE193-AB1F-4EDA-9C3D-4C7BA49CF3B5}"/>
    <cellStyle name="Normal 4 7 2 4 3 3" xfId="14452" xr:uid="{00000000-0005-0000-0000-000033420000}"/>
    <cellStyle name="Normal 4 7 2 4 3 4" xfId="31321" xr:uid="{DC5C8AA4-7E50-4D5D-A6F8-05ADBF85ECFA}"/>
    <cellStyle name="Normal 4 7 2 4 4" xfId="18669" xr:uid="{00000000-0005-0000-0000-000034420000}"/>
    <cellStyle name="Normal 4 7 2 4 4 2" xfId="35538" xr:uid="{87DF5499-20D8-407F-ADF4-EAC8D1CA7604}"/>
    <cellStyle name="Normal 4 7 2 4 5" xfId="10234" xr:uid="{00000000-0005-0000-0000-000035420000}"/>
    <cellStyle name="Normal 4 7 2 4 6" xfId="27104" xr:uid="{E41EA783-6050-4EE4-8C58-279DA54AFD55}"/>
    <cellStyle name="Normal 4 7 2 5" xfId="2123" xr:uid="{00000000-0005-0000-0000-000036420000}"/>
    <cellStyle name="Normal 4 7 2 5 2" xfId="4352" xr:uid="{00000000-0005-0000-0000-000037420000}"/>
    <cellStyle name="Normal 4 7 2 5 2 2" xfId="8575" xr:uid="{00000000-0005-0000-0000-000038420000}"/>
    <cellStyle name="Normal 4 7 2 5 2 2 2" xfId="25445" xr:uid="{00000000-0005-0000-0000-000039420000}"/>
    <cellStyle name="Normal 4 7 2 5 2 2 2 2" xfId="42313" xr:uid="{E0FF33BB-DD08-4E9D-BE2E-C2FDF6D6477F}"/>
    <cellStyle name="Normal 4 7 2 5 2 2 3" xfId="17010" xr:uid="{00000000-0005-0000-0000-00003A420000}"/>
    <cellStyle name="Normal 4 7 2 5 2 2 4" xfId="33879" xr:uid="{8EB0DBFE-1CF5-43BD-B379-214BF2C47528}"/>
    <cellStyle name="Normal 4 7 2 5 2 3" xfId="21227" xr:uid="{00000000-0005-0000-0000-00003B420000}"/>
    <cellStyle name="Normal 4 7 2 5 2 3 2" xfId="38096" xr:uid="{6BCD7379-741E-4C6A-810A-0FE3131C1AB7}"/>
    <cellStyle name="Normal 4 7 2 5 2 4" xfId="12792" xr:uid="{00000000-0005-0000-0000-00003C420000}"/>
    <cellStyle name="Normal 4 7 2 5 2 5" xfId="29662" xr:uid="{F866AFD7-A3A5-4DC3-9E07-0BD629F9169F}"/>
    <cellStyle name="Normal 4 7 2 5 3" xfId="6430" xr:uid="{00000000-0005-0000-0000-00003D420000}"/>
    <cellStyle name="Normal 4 7 2 5 3 2" xfId="23300" xr:uid="{00000000-0005-0000-0000-00003E420000}"/>
    <cellStyle name="Normal 4 7 2 5 3 2 2" xfId="40168" xr:uid="{0FBDCABA-4438-463F-AA98-184012524CFF}"/>
    <cellStyle name="Normal 4 7 2 5 3 3" xfId="14865" xr:uid="{00000000-0005-0000-0000-00003F420000}"/>
    <cellStyle name="Normal 4 7 2 5 3 4" xfId="31734" xr:uid="{271D1E2F-C4A2-43DE-A492-2E559501E1CC}"/>
    <cellStyle name="Normal 4 7 2 5 4" xfId="19082" xr:uid="{00000000-0005-0000-0000-000040420000}"/>
    <cellStyle name="Normal 4 7 2 5 4 2" xfId="35951" xr:uid="{007045C1-6704-4CB9-BD9D-F7688E3A0E62}"/>
    <cellStyle name="Normal 4 7 2 5 5" xfId="10647" xr:uid="{00000000-0005-0000-0000-000041420000}"/>
    <cellStyle name="Normal 4 7 2 5 6" xfId="27517" xr:uid="{A0261C07-2861-49E9-A9A5-4A56D1EE3F46}"/>
    <cellStyle name="Normal 4 7 2 6" xfId="2559" xr:uid="{00000000-0005-0000-0000-000042420000}"/>
    <cellStyle name="Normal 4 7 2 6 2" xfId="6843" xr:uid="{00000000-0005-0000-0000-000043420000}"/>
    <cellStyle name="Normal 4 7 2 6 2 2" xfId="23713" xr:uid="{00000000-0005-0000-0000-000044420000}"/>
    <cellStyle name="Normal 4 7 2 6 2 2 2" xfId="40581" xr:uid="{C0D52FCA-270B-4E13-B487-4A7C43578195}"/>
    <cellStyle name="Normal 4 7 2 6 2 3" xfId="15278" xr:uid="{00000000-0005-0000-0000-000045420000}"/>
    <cellStyle name="Normal 4 7 2 6 2 4" xfId="32147" xr:uid="{975DC8B2-C940-417A-BA46-564E0E673551}"/>
    <cellStyle name="Normal 4 7 2 6 3" xfId="19495" xr:uid="{00000000-0005-0000-0000-000046420000}"/>
    <cellStyle name="Normal 4 7 2 6 3 2" xfId="36364" xr:uid="{8CB437E2-BC91-4DB0-9BAD-0F5E2E7AC387}"/>
    <cellStyle name="Normal 4 7 2 6 4" xfId="11060" xr:uid="{00000000-0005-0000-0000-000047420000}"/>
    <cellStyle name="Normal 4 7 2 6 5" xfId="27930" xr:uid="{ADC402B5-5FA7-4A99-8F34-E31516CF6765}"/>
    <cellStyle name="Normal 4 7 2 7" xfId="4778" xr:uid="{00000000-0005-0000-0000-000048420000}"/>
    <cellStyle name="Normal 4 7 2 7 2" xfId="21648" xr:uid="{00000000-0005-0000-0000-000049420000}"/>
    <cellStyle name="Normal 4 7 2 7 2 2" xfId="38516" xr:uid="{082FC8DD-89CE-4FEA-AF0D-82F3FF7825A0}"/>
    <cellStyle name="Normal 4 7 2 7 3" xfId="13213" xr:uid="{00000000-0005-0000-0000-00004A420000}"/>
    <cellStyle name="Normal 4 7 2 7 4" xfId="30082" xr:uid="{BE40ED7A-4965-4A86-9E08-48F94EA6D1F2}"/>
    <cellStyle name="Normal 4 7 2 8" xfId="17430" xr:uid="{00000000-0005-0000-0000-00004B420000}"/>
    <cellStyle name="Normal 4 7 2 8 2" xfId="34299" xr:uid="{2CAA28EC-F1AD-437F-9732-96BB898C4BD2}"/>
    <cellStyle name="Normal 4 7 2 9" xfId="8995" xr:uid="{00000000-0005-0000-0000-00004C420000}"/>
    <cellStyle name="Normal 4 7 3" xfId="877" xr:uid="{00000000-0005-0000-0000-00004D420000}"/>
    <cellStyle name="Normal 4 7 3 2" xfId="3112" xr:uid="{00000000-0005-0000-0000-00004E420000}"/>
    <cellStyle name="Normal 4 7 3 2 2" xfId="7335" xr:uid="{00000000-0005-0000-0000-00004F420000}"/>
    <cellStyle name="Normal 4 7 3 2 2 2" xfId="24205" xr:uid="{00000000-0005-0000-0000-000050420000}"/>
    <cellStyle name="Normal 4 7 3 2 2 2 2" xfId="41073" xr:uid="{C5A0592F-B960-47B3-A7D9-DAA04E3E2AFE}"/>
    <cellStyle name="Normal 4 7 3 2 2 3" xfId="15770" xr:uid="{00000000-0005-0000-0000-000051420000}"/>
    <cellStyle name="Normal 4 7 3 2 2 4" xfId="32639" xr:uid="{AF283379-BBEB-4F2A-B675-72190609E525}"/>
    <cellStyle name="Normal 4 7 3 2 3" xfId="19987" xr:uid="{00000000-0005-0000-0000-000052420000}"/>
    <cellStyle name="Normal 4 7 3 2 3 2" xfId="36856" xr:uid="{A2673337-62A9-450E-907D-B48E639AEDD8}"/>
    <cellStyle name="Normal 4 7 3 2 4" xfId="11552" xr:uid="{00000000-0005-0000-0000-000053420000}"/>
    <cellStyle name="Normal 4 7 3 2 5" xfId="28422" xr:uid="{C4115B5B-026C-4EED-B7AD-EF0E6D9568FA}"/>
    <cellStyle name="Normal 4 7 3 3" xfId="5190" xr:uid="{00000000-0005-0000-0000-000054420000}"/>
    <cellStyle name="Normal 4 7 3 3 2" xfId="22060" xr:uid="{00000000-0005-0000-0000-000055420000}"/>
    <cellStyle name="Normal 4 7 3 3 2 2" xfId="38928" xr:uid="{2B9FB524-9FC3-4E45-B62F-7C19B66CE125}"/>
    <cellStyle name="Normal 4 7 3 3 3" xfId="13625" xr:uid="{00000000-0005-0000-0000-000056420000}"/>
    <cellStyle name="Normal 4 7 3 3 4" xfId="30494" xr:uid="{C309F143-BEDB-4409-BFDB-9FF3AA1573A9}"/>
    <cellStyle name="Normal 4 7 3 4" xfId="17842" xr:uid="{00000000-0005-0000-0000-000057420000}"/>
    <cellStyle name="Normal 4 7 3 4 2" xfId="34711" xr:uid="{C05D09D2-092D-4320-857C-FED932E09C83}"/>
    <cellStyle name="Normal 4 7 3 5" xfId="9407" xr:uid="{00000000-0005-0000-0000-000058420000}"/>
    <cellStyle name="Normal 4 7 3 6" xfId="26277" xr:uid="{712DA12A-B1F2-4B42-AD22-C7970C5C3D38}"/>
    <cellStyle name="Normal 4 7 4" xfId="1295" xr:uid="{00000000-0005-0000-0000-000059420000}"/>
    <cellStyle name="Normal 4 7 4 2" xfId="3525" xr:uid="{00000000-0005-0000-0000-00005A420000}"/>
    <cellStyle name="Normal 4 7 4 2 2" xfId="7748" xr:uid="{00000000-0005-0000-0000-00005B420000}"/>
    <cellStyle name="Normal 4 7 4 2 2 2" xfId="24618" xr:uid="{00000000-0005-0000-0000-00005C420000}"/>
    <cellStyle name="Normal 4 7 4 2 2 2 2" xfId="41486" xr:uid="{6260EA23-07EF-4025-B7C4-F21B095AD233}"/>
    <cellStyle name="Normal 4 7 4 2 2 3" xfId="16183" xr:uid="{00000000-0005-0000-0000-00005D420000}"/>
    <cellStyle name="Normal 4 7 4 2 2 4" xfId="33052" xr:uid="{88DC2E6C-665E-4A9C-B259-B4BB4F9CC5C9}"/>
    <cellStyle name="Normal 4 7 4 2 3" xfId="20400" xr:uid="{00000000-0005-0000-0000-00005E420000}"/>
    <cellStyle name="Normal 4 7 4 2 3 2" xfId="37269" xr:uid="{A210A8EF-42F2-4742-AF49-10827F6F96D1}"/>
    <cellStyle name="Normal 4 7 4 2 4" xfId="11965" xr:uid="{00000000-0005-0000-0000-00005F420000}"/>
    <cellStyle name="Normal 4 7 4 2 5" xfId="28835" xr:uid="{21953E77-DC5E-4B21-A1A8-322FA96BD5C9}"/>
    <cellStyle name="Normal 4 7 4 3" xfId="5603" xr:uid="{00000000-0005-0000-0000-000060420000}"/>
    <cellStyle name="Normal 4 7 4 3 2" xfId="22473" xr:uid="{00000000-0005-0000-0000-000061420000}"/>
    <cellStyle name="Normal 4 7 4 3 2 2" xfId="39341" xr:uid="{7A755497-EA86-4625-B252-B8705CB79F21}"/>
    <cellStyle name="Normal 4 7 4 3 3" xfId="14038" xr:uid="{00000000-0005-0000-0000-000062420000}"/>
    <cellStyle name="Normal 4 7 4 3 4" xfId="30907" xr:uid="{7616AA34-52C8-4B6A-8BF6-E752AE02AF66}"/>
    <cellStyle name="Normal 4 7 4 4" xfId="18255" xr:uid="{00000000-0005-0000-0000-000063420000}"/>
    <cellStyle name="Normal 4 7 4 4 2" xfId="35124" xr:uid="{CEB07BB4-E1D6-4DC2-B032-DCD069D3A13C}"/>
    <cellStyle name="Normal 4 7 4 5" xfId="9820" xr:uid="{00000000-0005-0000-0000-000064420000}"/>
    <cellStyle name="Normal 4 7 4 6" xfId="26690" xr:uid="{428D168E-8508-440A-AF3F-0DE0DAD04F55}"/>
    <cellStyle name="Normal 4 7 5" xfId="1708" xr:uid="{00000000-0005-0000-0000-000065420000}"/>
    <cellStyle name="Normal 4 7 5 2" xfId="3938" xr:uid="{00000000-0005-0000-0000-000066420000}"/>
    <cellStyle name="Normal 4 7 5 2 2" xfId="8161" xr:uid="{00000000-0005-0000-0000-000067420000}"/>
    <cellStyle name="Normal 4 7 5 2 2 2" xfId="25031" xr:uid="{00000000-0005-0000-0000-000068420000}"/>
    <cellStyle name="Normal 4 7 5 2 2 2 2" xfId="41899" xr:uid="{D56C035B-F5CC-47B7-A6DB-2D09B4DC3650}"/>
    <cellStyle name="Normal 4 7 5 2 2 3" xfId="16596" xr:uid="{00000000-0005-0000-0000-000069420000}"/>
    <cellStyle name="Normal 4 7 5 2 2 4" xfId="33465" xr:uid="{CD1611F2-EDD0-42FD-998F-1A4A06D31BCB}"/>
    <cellStyle name="Normal 4 7 5 2 3" xfId="20813" xr:uid="{00000000-0005-0000-0000-00006A420000}"/>
    <cellStyle name="Normal 4 7 5 2 3 2" xfId="37682" xr:uid="{2DF1A1FF-8981-4ACF-A1C3-0B901B9BB862}"/>
    <cellStyle name="Normal 4 7 5 2 4" xfId="12378" xr:uid="{00000000-0005-0000-0000-00006B420000}"/>
    <cellStyle name="Normal 4 7 5 2 5" xfId="29248" xr:uid="{A6226716-7B14-4FD8-BF60-273D7161EB9E}"/>
    <cellStyle name="Normal 4 7 5 3" xfId="6016" xr:uid="{00000000-0005-0000-0000-00006C420000}"/>
    <cellStyle name="Normal 4 7 5 3 2" xfId="22886" xr:uid="{00000000-0005-0000-0000-00006D420000}"/>
    <cellStyle name="Normal 4 7 5 3 2 2" xfId="39754" xr:uid="{DF602879-C006-4601-9C91-85FEDC232471}"/>
    <cellStyle name="Normal 4 7 5 3 3" xfId="14451" xr:uid="{00000000-0005-0000-0000-00006E420000}"/>
    <cellStyle name="Normal 4 7 5 3 4" xfId="31320" xr:uid="{BBEA716E-7AA5-42A2-9133-682732985660}"/>
    <cellStyle name="Normal 4 7 5 4" xfId="18668" xr:uid="{00000000-0005-0000-0000-00006F420000}"/>
    <cellStyle name="Normal 4 7 5 4 2" xfId="35537" xr:uid="{202039A6-628C-40C8-9781-8746369AA439}"/>
    <cellStyle name="Normal 4 7 5 5" xfId="10233" xr:uid="{00000000-0005-0000-0000-000070420000}"/>
    <cellStyle name="Normal 4 7 5 6" xfId="27103" xr:uid="{52B989DB-A114-4935-B88E-ED85E7A32AC2}"/>
    <cellStyle name="Normal 4 7 6" xfId="2122" xr:uid="{00000000-0005-0000-0000-000071420000}"/>
    <cellStyle name="Normal 4 7 6 2" xfId="4351" xr:uid="{00000000-0005-0000-0000-000072420000}"/>
    <cellStyle name="Normal 4 7 6 2 2" xfId="8574" xr:uid="{00000000-0005-0000-0000-000073420000}"/>
    <cellStyle name="Normal 4 7 6 2 2 2" xfId="25444" xr:uid="{00000000-0005-0000-0000-000074420000}"/>
    <cellStyle name="Normal 4 7 6 2 2 2 2" xfId="42312" xr:uid="{AF43E9E2-3A6E-43C9-9CC8-6E966ADF4E58}"/>
    <cellStyle name="Normal 4 7 6 2 2 3" xfId="17009" xr:uid="{00000000-0005-0000-0000-000075420000}"/>
    <cellStyle name="Normal 4 7 6 2 2 4" xfId="33878" xr:uid="{CEBC9E98-1720-43F8-B515-19FC9B930740}"/>
    <cellStyle name="Normal 4 7 6 2 3" xfId="21226" xr:uid="{00000000-0005-0000-0000-000076420000}"/>
    <cellStyle name="Normal 4 7 6 2 3 2" xfId="38095" xr:uid="{15DFF8D7-9B19-44CB-9CE8-43B32373681E}"/>
    <cellStyle name="Normal 4 7 6 2 4" xfId="12791" xr:uid="{00000000-0005-0000-0000-000077420000}"/>
    <cellStyle name="Normal 4 7 6 2 5" xfId="29661" xr:uid="{BCFECE77-BEE8-4718-B550-86AE241EBE13}"/>
    <cellStyle name="Normal 4 7 6 3" xfId="6429" xr:uid="{00000000-0005-0000-0000-000078420000}"/>
    <cellStyle name="Normal 4 7 6 3 2" xfId="23299" xr:uid="{00000000-0005-0000-0000-000079420000}"/>
    <cellStyle name="Normal 4 7 6 3 2 2" xfId="40167" xr:uid="{B6186E64-9DD9-4193-857C-062E15FFBC80}"/>
    <cellStyle name="Normal 4 7 6 3 3" xfId="14864" xr:uid="{00000000-0005-0000-0000-00007A420000}"/>
    <cellStyle name="Normal 4 7 6 3 4" xfId="31733" xr:uid="{5EC99F7F-5EF4-40FE-B724-BB6776D49FD6}"/>
    <cellStyle name="Normal 4 7 6 4" xfId="19081" xr:uid="{00000000-0005-0000-0000-00007B420000}"/>
    <cellStyle name="Normal 4 7 6 4 2" xfId="35950" xr:uid="{96B57F2C-803B-4489-9924-2934A424DF5B}"/>
    <cellStyle name="Normal 4 7 6 5" xfId="10646" xr:uid="{00000000-0005-0000-0000-00007C420000}"/>
    <cellStyle name="Normal 4 7 6 6" xfId="27516" xr:uid="{64026A33-AEBF-4249-9838-2A939CE2BBC6}"/>
    <cellStyle name="Normal 4 7 7" xfId="2558" xr:uid="{00000000-0005-0000-0000-00007D420000}"/>
    <cellStyle name="Normal 4 7 7 2" xfId="6842" xr:uid="{00000000-0005-0000-0000-00007E420000}"/>
    <cellStyle name="Normal 4 7 7 2 2" xfId="23712" xr:uid="{00000000-0005-0000-0000-00007F420000}"/>
    <cellStyle name="Normal 4 7 7 2 2 2" xfId="40580" xr:uid="{F1830CAF-0B9B-47EE-A41D-F7DE253813CB}"/>
    <cellStyle name="Normal 4 7 7 2 3" xfId="15277" xr:uid="{00000000-0005-0000-0000-000080420000}"/>
    <cellStyle name="Normal 4 7 7 2 4" xfId="32146" xr:uid="{05D3E641-D6F8-48D7-821C-D7AD55E7CFA4}"/>
    <cellStyle name="Normal 4 7 7 3" xfId="19494" xr:uid="{00000000-0005-0000-0000-000081420000}"/>
    <cellStyle name="Normal 4 7 7 3 2" xfId="36363" xr:uid="{2A002556-F6A9-43A1-9501-298C328E6030}"/>
    <cellStyle name="Normal 4 7 7 4" xfId="11059" xr:uid="{00000000-0005-0000-0000-000082420000}"/>
    <cellStyle name="Normal 4 7 7 5" xfId="27929" xr:uid="{CE22DD79-3564-4129-9F0D-027B7EB75505}"/>
    <cellStyle name="Normal 4 7 8" xfId="4777" xr:uid="{00000000-0005-0000-0000-000083420000}"/>
    <cellStyle name="Normal 4 7 8 2" xfId="21647" xr:uid="{00000000-0005-0000-0000-000084420000}"/>
    <cellStyle name="Normal 4 7 8 2 2" xfId="38515" xr:uid="{7651851D-A170-41CA-AA47-DBD969FA1029}"/>
    <cellStyle name="Normal 4 7 8 3" xfId="13212" xr:uid="{00000000-0005-0000-0000-000085420000}"/>
    <cellStyle name="Normal 4 7 8 4" xfId="30081" xr:uid="{4E4257AC-2A5D-4D53-B1E3-4919B9DFF6F5}"/>
    <cellStyle name="Normal 4 7 9" xfId="17429" xr:uid="{00000000-0005-0000-0000-000086420000}"/>
    <cellStyle name="Normal 4 7 9 2" xfId="34298" xr:uid="{F109555C-80EF-4B31-8A67-67B5B8517A54}"/>
    <cellStyle name="Normal 4 8" xfId="405" xr:uid="{00000000-0005-0000-0000-000087420000}"/>
    <cellStyle name="Normal 4 8 10" xfId="25866" xr:uid="{3B429039-E1FD-4763-90FD-0A107D403B38}"/>
    <cellStyle name="Normal 4 8 2" xfId="879" xr:uid="{00000000-0005-0000-0000-000088420000}"/>
    <cellStyle name="Normal 4 8 2 2" xfId="3114" xr:uid="{00000000-0005-0000-0000-000089420000}"/>
    <cellStyle name="Normal 4 8 2 2 2" xfId="7337" xr:uid="{00000000-0005-0000-0000-00008A420000}"/>
    <cellStyle name="Normal 4 8 2 2 2 2" xfId="24207" xr:uid="{00000000-0005-0000-0000-00008B420000}"/>
    <cellStyle name="Normal 4 8 2 2 2 2 2" xfId="41075" xr:uid="{005DD5E4-7781-4064-B13A-0D4C758DF3FC}"/>
    <cellStyle name="Normal 4 8 2 2 2 3" xfId="15772" xr:uid="{00000000-0005-0000-0000-00008C420000}"/>
    <cellStyle name="Normal 4 8 2 2 2 4" xfId="32641" xr:uid="{670A75A3-D38F-44CC-9EEF-EFAD34DF8A16}"/>
    <cellStyle name="Normal 4 8 2 2 3" xfId="19989" xr:uid="{00000000-0005-0000-0000-00008D420000}"/>
    <cellStyle name="Normal 4 8 2 2 3 2" xfId="36858" xr:uid="{2DC128AB-4CF7-4E91-9DC6-BDBE4375F43C}"/>
    <cellStyle name="Normal 4 8 2 2 4" xfId="11554" xr:uid="{00000000-0005-0000-0000-00008E420000}"/>
    <cellStyle name="Normal 4 8 2 2 5" xfId="28424" xr:uid="{9F3C8A50-923F-4B06-85C0-EB80D25EEB0B}"/>
    <cellStyle name="Normal 4 8 2 3" xfId="5192" xr:uid="{00000000-0005-0000-0000-00008F420000}"/>
    <cellStyle name="Normal 4 8 2 3 2" xfId="22062" xr:uid="{00000000-0005-0000-0000-000090420000}"/>
    <cellStyle name="Normal 4 8 2 3 2 2" xfId="38930" xr:uid="{3051F8EA-28E6-4101-B45C-E81E37693704}"/>
    <cellStyle name="Normal 4 8 2 3 3" xfId="13627" xr:uid="{00000000-0005-0000-0000-000091420000}"/>
    <cellStyle name="Normal 4 8 2 3 4" xfId="30496" xr:uid="{26321CAF-F086-4EAF-9343-57DC5312AD3D}"/>
    <cellStyle name="Normal 4 8 2 4" xfId="17844" xr:uid="{00000000-0005-0000-0000-000092420000}"/>
    <cellStyle name="Normal 4 8 2 4 2" xfId="34713" xr:uid="{0A2E504E-385D-4E3A-9EBE-439E4F2D629D}"/>
    <cellStyle name="Normal 4 8 2 5" xfId="9409" xr:uid="{00000000-0005-0000-0000-000093420000}"/>
    <cellStyle name="Normal 4 8 2 6" xfId="26279" xr:uid="{E40C88BE-01B0-45A9-92AA-4B5819CA89EA}"/>
    <cellStyle name="Normal 4 8 3" xfId="1297" xr:uid="{00000000-0005-0000-0000-000094420000}"/>
    <cellStyle name="Normal 4 8 3 2" xfId="3527" xr:uid="{00000000-0005-0000-0000-000095420000}"/>
    <cellStyle name="Normal 4 8 3 2 2" xfId="7750" xr:uid="{00000000-0005-0000-0000-000096420000}"/>
    <cellStyle name="Normal 4 8 3 2 2 2" xfId="24620" xr:uid="{00000000-0005-0000-0000-000097420000}"/>
    <cellStyle name="Normal 4 8 3 2 2 2 2" xfId="41488" xr:uid="{BF1D4EA7-48BE-4E48-88A6-84F2D909C613}"/>
    <cellStyle name="Normal 4 8 3 2 2 3" xfId="16185" xr:uid="{00000000-0005-0000-0000-000098420000}"/>
    <cellStyle name="Normal 4 8 3 2 2 4" xfId="33054" xr:uid="{58A293EA-11B3-4D8F-9048-19F499AA716C}"/>
    <cellStyle name="Normal 4 8 3 2 3" xfId="20402" xr:uid="{00000000-0005-0000-0000-000099420000}"/>
    <cellStyle name="Normal 4 8 3 2 3 2" xfId="37271" xr:uid="{3542ED92-5DD3-466E-B1A1-01F294DE464F}"/>
    <cellStyle name="Normal 4 8 3 2 4" xfId="11967" xr:uid="{00000000-0005-0000-0000-00009A420000}"/>
    <cellStyle name="Normal 4 8 3 2 5" xfId="28837" xr:uid="{7B6A71DC-20EA-4F30-9E5A-F3C3F8607326}"/>
    <cellStyle name="Normal 4 8 3 3" xfId="5605" xr:uid="{00000000-0005-0000-0000-00009B420000}"/>
    <cellStyle name="Normal 4 8 3 3 2" xfId="22475" xr:uid="{00000000-0005-0000-0000-00009C420000}"/>
    <cellStyle name="Normal 4 8 3 3 2 2" xfId="39343" xr:uid="{B9C399D7-B109-48CC-8373-8364FE83D7BF}"/>
    <cellStyle name="Normal 4 8 3 3 3" xfId="14040" xr:uid="{00000000-0005-0000-0000-00009D420000}"/>
    <cellStyle name="Normal 4 8 3 3 4" xfId="30909" xr:uid="{7CD56C2D-FC51-4810-AF30-D823801B6DB9}"/>
    <cellStyle name="Normal 4 8 3 4" xfId="18257" xr:uid="{00000000-0005-0000-0000-00009E420000}"/>
    <cellStyle name="Normal 4 8 3 4 2" xfId="35126" xr:uid="{5BEBEB79-827A-4E46-9A6F-40A2DF4D7DA9}"/>
    <cellStyle name="Normal 4 8 3 5" xfId="9822" xr:uid="{00000000-0005-0000-0000-00009F420000}"/>
    <cellStyle name="Normal 4 8 3 6" xfId="26692" xr:uid="{A55578CA-5108-4435-9B78-EE787FE7B8F3}"/>
    <cellStyle name="Normal 4 8 4" xfId="1710" xr:uid="{00000000-0005-0000-0000-0000A0420000}"/>
    <cellStyle name="Normal 4 8 4 2" xfId="3940" xr:uid="{00000000-0005-0000-0000-0000A1420000}"/>
    <cellStyle name="Normal 4 8 4 2 2" xfId="8163" xr:uid="{00000000-0005-0000-0000-0000A2420000}"/>
    <cellStyle name="Normal 4 8 4 2 2 2" xfId="25033" xr:uid="{00000000-0005-0000-0000-0000A3420000}"/>
    <cellStyle name="Normal 4 8 4 2 2 2 2" xfId="41901" xr:uid="{39193302-32A7-442C-9994-28C5AFADDCEC}"/>
    <cellStyle name="Normal 4 8 4 2 2 3" xfId="16598" xr:uid="{00000000-0005-0000-0000-0000A4420000}"/>
    <cellStyle name="Normal 4 8 4 2 2 4" xfId="33467" xr:uid="{3030EFC4-604B-4F9A-9D3B-CE1676875EF0}"/>
    <cellStyle name="Normal 4 8 4 2 3" xfId="20815" xr:uid="{00000000-0005-0000-0000-0000A5420000}"/>
    <cellStyle name="Normal 4 8 4 2 3 2" xfId="37684" xr:uid="{4F2F8071-6C29-476F-8B82-9905F8E1D7CF}"/>
    <cellStyle name="Normal 4 8 4 2 4" xfId="12380" xr:uid="{00000000-0005-0000-0000-0000A6420000}"/>
    <cellStyle name="Normal 4 8 4 2 5" xfId="29250" xr:uid="{67DA5C31-899A-4430-8485-590A0BC7CBD2}"/>
    <cellStyle name="Normal 4 8 4 3" xfId="6018" xr:uid="{00000000-0005-0000-0000-0000A7420000}"/>
    <cellStyle name="Normal 4 8 4 3 2" xfId="22888" xr:uid="{00000000-0005-0000-0000-0000A8420000}"/>
    <cellStyle name="Normal 4 8 4 3 2 2" xfId="39756" xr:uid="{878EA90F-79AD-44D8-98D0-4D9F899171E5}"/>
    <cellStyle name="Normal 4 8 4 3 3" xfId="14453" xr:uid="{00000000-0005-0000-0000-0000A9420000}"/>
    <cellStyle name="Normal 4 8 4 3 4" xfId="31322" xr:uid="{4CDBBB4E-9B44-4545-91FC-90D57AEAF653}"/>
    <cellStyle name="Normal 4 8 4 4" xfId="18670" xr:uid="{00000000-0005-0000-0000-0000AA420000}"/>
    <cellStyle name="Normal 4 8 4 4 2" xfId="35539" xr:uid="{A2AE50DE-7AF7-49B9-951E-EAB18627862A}"/>
    <cellStyle name="Normal 4 8 4 5" xfId="10235" xr:uid="{00000000-0005-0000-0000-0000AB420000}"/>
    <cellStyle name="Normal 4 8 4 6" xfId="27105" xr:uid="{8DCFBFFC-243B-4516-A0A4-D43D353EA762}"/>
    <cellStyle name="Normal 4 8 5" xfId="2124" xr:uid="{00000000-0005-0000-0000-0000AC420000}"/>
    <cellStyle name="Normal 4 8 5 2" xfId="4353" xr:uid="{00000000-0005-0000-0000-0000AD420000}"/>
    <cellStyle name="Normal 4 8 5 2 2" xfId="8576" xr:uid="{00000000-0005-0000-0000-0000AE420000}"/>
    <cellStyle name="Normal 4 8 5 2 2 2" xfId="25446" xr:uid="{00000000-0005-0000-0000-0000AF420000}"/>
    <cellStyle name="Normal 4 8 5 2 2 2 2" xfId="42314" xr:uid="{730EE2C1-1801-4F2C-A060-FC212FB9555D}"/>
    <cellStyle name="Normal 4 8 5 2 2 3" xfId="17011" xr:uid="{00000000-0005-0000-0000-0000B0420000}"/>
    <cellStyle name="Normal 4 8 5 2 2 4" xfId="33880" xr:uid="{F694DB57-3FE9-46D4-A4A0-BC2542885E60}"/>
    <cellStyle name="Normal 4 8 5 2 3" xfId="21228" xr:uid="{00000000-0005-0000-0000-0000B1420000}"/>
    <cellStyle name="Normal 4 8 5 2 3 2" xfId="38097" xr:uid="{F1305C9E-B4ED-49B3-8887-F21F96E34154}"/>
    <cellStyle name="Normal 4 8 5 2 4" xfId="12793" xr:uid="{00000000-0005-0000-0000-0000B2420000}"/>
    <cellStyle name="Normal 4 8 5 2 5" xfId="29663" xr:uid="{A651464F-A784-4661-94CE-AA07A9C8D7A1}"/>
    <cellStyle name="Normal 4 8 5 3" xfId="6431" xr:uid="{00000000-0005-0000-0000-0000B3420000}"/>
    <cellStyle name="Normal 4 8 5 3 2" xfId="23301" xr:uid="{00000000-0005-0000-0000-0000B4420000}"/>
    <cellStyle name="Normal 4 8 5 3 2 2" xfId="40169" xr:uid="{4022DEFA-6B32-42ED-AFB7-51062C3DD789}"/>
    <cellStyle name="Normal 4 8 5 3 3" xfId="14866" xr:uid="{00000000-0005-0000-0000-0000B5420000}"/>
    <cellStyle name="Normal 4 8 5 3 4" xfId="31735" xr:uid="{99E5A1B5-BDC5-474B-A32D-AC6152440858}"/>
    <cellStyle name="Normal 4 8 5 4" xfId="19083" xr:uid="{00000000-0005-0000-0000-0000B6420000}"/>
    <cellStyle name="Normal 4 8 5 4 2" xfId="35952" xr:uid="{6AF3AA20-C799-4A56-BDFB-036CD11F2804}"/>
    <cellStyle name="Normal 4 8 5 5" xfId="10648" xr:uid="{00000000-0005-0000-0000-0000B7420000}"/>
    <cellStyle name="Normal 4 8 5 6" xfId="27518" xr:uid="{83D5B87F-37A5-423D-AA0E-E298F7505B99}"/>
    <cellStyle name="Normal 4 8 6" xfId="2560" xr:uid="{00000000-0005-0000-0000-0000B8420000}"/>
    <cellStyle name="Normal 4 8 6 2" xfId="6844" xr:uid="{00000000-0005-0000-0000-0000B9420000}"/>
    <cellStyle name="Normal 4 8 6 2 2" xfId="23714" xr:uid="{00000000-0005-0000-0000-0000BA420000}"/>
    <cellStyle name="Normal 4 8 6 2 2 2" xfId="40582" xr:uid="{A7A089D4-87BE-445F-B1CF-11219F7F74F5}"/>
    <cellStyle name="Normal 4 8 6 2 3" xfId="15279" xr:uid="{00000000-0005-0000-0000-0000BB420000}"/>
    <cellStyle name="Normal 4 8 6 2 4" xfId="32148" xr:uid="{8CF7B05B-2934-4E8C-9B36-51EDE74CB564}"/>
    <cellStyle name="Normal 4 8 6 3" xfId="19496" xr:uid="{00000000-0005-0000-0000-0000BC420000}"/>
    <cellStyle name="Normal 4 8 6 3 2" xfId="36365" xr:uid="{ABF867C3-4DC8-422F-88C9-628272B55C00}"/>
    <cellStyle name="Normal 4 8 6 4" xfId="11061" xr:uid="{00000000-0005-0000-0000-0000BD420000}"/>
    <cellStyle name="Normal 4 8 6 5" xfId="27931" xr:uid="{A8B2E631-E9FC-4ABD-9D96-4EDCF3FBD1E7}"/>
    <cellStyle name="Normal 4 8 7" xfId="4779" xr:uid="{00000000-0005-0000-0000-0000BE420000}"/>
    <cellStyle name="Normal 4 8 7 2" xfId="21649" xr:uid="{00000000-0005-0000-0000-0000BF420000}"/>
    <cellStyle name="Normal 4 8 7 2 2" xfId="38517" xr:uid="{97AD280E-5BB5-4E1E-B5D9-1E29CCC1B96D}"/>
    <cellStyle name="Normal 4 8 7 3" xfId="13214" xr:uid="{00000000-0005-0000-0000-0000C0420000}"/>
    <cellStyle name="Normal 4 8 7 4" xfId="30083" xr:uid="{4618537E-2516-4BA8-B264-DAD849022674}"/>
    <cellStyle name="Normal 4 8 8" xfId="17431" xr:uid="{00000000-0005-0000-0000-0000C1420000}"/>
    <cellStyle name="Normal 4 8 8 2" xfId="34300" xr:uid="{AEEB8E58-3056-4434-BABE-9904D417E08B}"/>
    <cellStyle name="Normal 4 8 9" xfId="8996" xr:uid="{00000000-0005-0000-0000-0000C2420000}"/>
    <cellStyle name="Normal 4 9" xfId="4716" xr:uid="{00000000-0005-0000-0000-0000C3420000}"/>
    <cellStyle name="Normal 4 9 2" xfId="21586" xr:uid="{00000000-0005-0000-0000-0000C4420000}"/>
    <cellStyle name="Normal 4 9 2 2" xfId="38454" xr:uid="{A3A22092-17EB-4A56-A9E9-824B9A482113}"/>
    <cellStyle name="Normal 4 9 3" xfId="13151" xr:uid="{00000000-0005-0000-0000-0000C5420000}"/>
    <cellStyle name="Normal 4 9 4" xfId="30020" xr:uid="{39E516A9-B216-460D-A9A8-FB55A3414E69}"/>
    <cellStyle name="Normal 5" xfId="406" xr:uid="{00000000-0005-0000-0000-0000C6420000}"/>
    <cellStyle name="Normal 5 10" xfId="1711" xr:uid="{00000000-0005-0000-0000-0000C7420000}"/>
    <cellStyle name="Normal 5 10 2" xfId="3941" xr:uid="{00000000-0005-0000-0000-0000C8420000}"/>
    <cellStyle name="Normal 5 10 2 2" xfId="8164" xr:uid="{00000000-0005-0000-0000-0000C9420000}"/>
    <cellStyle name="Normal 5 10 2 2 2" xfId="25034" xr:uid="{00000000-0005-0000-0000-0000CA420000}"/>
    <cellStyle name="Normal 5 10 2 2 2 2" xfId="41902" xr:uid="{59ECDB58-CC64-4E97-9955-901EB6A14530}"/>
    <cellStyle name="Normal 5 10 2 2 3" xfId="16599" xr:uid="{00000000-0005-0000-0000-0000CB420000}"/>
    <cellStyle name="Normal 5 10 2 2 4" xfId="33468" xr:uid="{CC4777DC-52EE-423D-95DF-76AE3011CC05}"/>
    <cellStyle name="Normal 5 10 2 3" xfId="20816" xr:uid="{00000000-0005-0000-0000-0000CC420000}"/>
    <cellStyle name="Normal 5 10 2 3 2" xfId="37685" xr:uid="{BA6C942D-7950-4AB0-8570-2B744CBDCFD4}"/>
    <cellStyle name="Normal 5 10 2 4" xfId="12381" xr:uid="{00000000-0005-0000-0000-0000CD420000}"/>
    <cellStyle name="Normal 5 10 2 5" xfId="29251" xr:uid="{156EE48E-C433-419D-AB80-F92ED32DD42D}"/>
    <cellStyle name="Normal 5 10 3" xfId="6019" xr:uid="{00000000-0005-0000-0000-0000CE420000}"/>
    <cellStyle name="Normal 5 10 3 2" xfId="22889" xr:uid="{00000000-0005-0000-0000-0000CF420000}"/>
    <cellStyle name="Normal 5 10 3 2 2" xfId="39757" xr:uid="{6062C0AB-7E59-4A52-828B-50D194CD3694}"/>
    <cellStyle name="Normal 5 10 3 3" xfId="14454" xr:uid="{00000000-0005-0000-0000-0000D0420000}"/>
    <cellStyle name="Normal 5 10 3 4" xfId="31323" xr:uid="{593498C5-FBE1-44CC-96A1-3C17BFC8751E}"/>
    <cellStyle name="Normal 5 10 4" xfId="18671" xr:uid="{00000000-0005-0000-0000-0000D1420000}"/>
    <cellStyle name="Normal 5 10 4 2" xfId="35540" xr:uid="{BA00C9E7-6F45-451C-928B-2F68A91BF17E}"/>
    <cellStyle name="Normal 5 10 5" xfId="10236" xr:uid="{00000000-0005-0000-0000-0000D2420000}"/>
    <cellStyle name="Normal 5 10 6" xfId="27106" xr:uid="{C9CB60FA-B730-40F6-AC4E-1448367F4C20}"/>
    <cellStyle name="Normal 5 11" xfId="2125" xr:uid="{00000000-0005-0000-0000-0000D3420000}"/>
    <cellStyle name="Normal 5 11 2" xfId="4354" xr:uid="{00000000-0005-0000-0000-0000D4420000}"/>
    <cellStyle name="Normal 5 11 2 2" xfId="8577" xr:uid="{00000000-0005-0000-0000-0000D5420000}"/>
    <cellStyle name="Normal 5 11 2 2 2" xfId="25447" xr:uid="{00000000-0005-0000-0000-0000D6420000}"/>
    <cellStyle name="Normal 5 11 2 2 2 2" xfId="42315" xr:uid="{65C4174F-1EC3-4AD1-9AA9-19DEA7165978}"/>
    <cellStyle name="Normal 5 11 2 2 3" xfId="17012" xr:uid="{00000000-0005-0000-0000-0000D7420000}"/>
    <cellStyle name="Normal 5 11 2 2 4" xfId="33881" xr:uid="{0FB57082-3EAE-43AA-BF53-6ED996804121}"/>
    <cellStyle name="Normal 5 11 2 3" xfId="21229" xr:uid="{00000000-0005-0000-0000-0000D8420000}"/>
    <cellStyle name="Normal 5 11 2 3 2" xfId="38098" xr:uid="{C80C46BC-BAA2-4CCD-B8C8-101D17444770}"/>
    <cellStyle name="Normal 5 11 2 4" xfId="12794" xr:uid="{00000000-0005-0000-0000-0000D9420000}"/>
    <cellStyle name="Normal 5 11 2 5" xfId="29664" xr:uid="{708339E5-748B-4DB7-A48A-1ECF85662FFD}"/>
    <cellStyle name="Normal 5 11 3" xfId="6432" xr:uid="{00000000-0005-0000-0000-0000DA420000}"/>
    <cellStyle name="Normal 5 11 3 2" xfId="23302" xr:uid="{00000000-0005-0000-0000-0000DB420000}"/>
    <cellStyle name="Normal 5 11 3 2 2" xfId="40170" xr:uid="{82629D4E-0BDB-4488-954E-361175705502}"/>
    <cellStyle name="Normal 5 11 3 3" xfId="14867" xr:uid="{00000000-0005-0000-0000-0000DC420000}"/>
    <cellStyle name="Normal 5 11 3 4" xfId="31736" xr:uid="{858E0593-E875-4E58-9F81-E6DE3AED0258}"/>
    <cellStyle name="Normal 5 11 4" xfId="19084" xr:uid="{00000000-0005-0000-0000-0000DD420000}"/>
    <cellStyle name="Normal 5 11 4 2" xfId="35953" xr:uid="{5E54B71C-4E6E-49BB-976D-9A8A89670026}"/>
    <cellStyle name="Normal 5 11 5" xfId="10649" xr:uid="{00000000-0005-0000-0000-0000DE420000}"/>
    <cellStyle name="Normal 5 11 6" xfId="27519" xr:uid="{064A3E3D-AC7F-4F7F-9AA6-523DCCE73936}"/>
    <cellStyle name="Normal 5 12" xfId="2561" xr:uid="{00000000-0005-0000-0000-0000DF420000}"/>
    <cellStyle name="Normal 5 12 2" xfId="6845" xr:uid="{00000000-0005-0000-0000-0000E0420000}"/>
    <cellStyle name="Normal 5 12 2 2" xfId="23715" xr:uid="{00000000-0005-0000-0000-0000E1420000}"/>
    <cellStyle name="Normal 5 12 2 2 2" xfId="40583" xr:uid="{535C3341-15F7-46DC-A2A4-B029DA435DC3}"/>
    <cellStyle name="Normal 5 12 2 3" xfId="15280" xr:uid="{00000000-0005-0000-0000-0000E2420000}"/>
    <cellStyle name="Normal 5 12 2 4" xfId="32149" xr:uid="{9D0340CA-84BB-408A-AD6B-AAAE4A84C6A4}"/>
    <cellStyle name="Normal 5 12 3" xfId="19497" xr:uid="{00000000-0005-0000-0000-0000E3420000}"/>
    <cellStyle name="Normal 5 12 3 2" xfId="36366" xr:uid="{CE54C551-BEC8-4E79-8201-D1602330795D}"/>
    <cellStyle name="Normal 5 12 4" xfId="11062" xr:uid="{00000000-0005-0000-0000-0000E4420000}"/>
    <cellStyle name="Normal 5 12 5" xfId="27932" xr:uid="{48057F54-9BE3-4E03-B3E3-CB688CE5CC98}"/>
    <cellStyle name="Normal 5 13" xfId="4780" xr:uid="{00000000-0005-0000-0000-0000E5420000}"/>
    <cellStyle name="Normal 5 13 2" xfId="21650" xr:uid="{00000000-0005-0000-0000-0000E6420000}"/>
    <cellStyle name="Normal 5 13 2 2" xfId="38518" xr:uid="{F464C3D8-7EB6-4811-9D99-61713A6313A3}"/>
    <cellStyle name="Normal 5 13 3" xfId="13215" xr:uid="{00000000-0005-0000-0000-0000E7420000}"/>
    <cellStyle name="Normal 5 13 4" xfId="30084" xr:uid="{1B26D1C1-68A4-40AB-8C62-E4BEF4CE955D}"/>
    <cellStyle name="Normal 5 14" xfId="17432" xr:uid="{00000000-0005-0000-0000-0000E8420000}"/>
    <cellStyle name="Normal 5 14 2" xfId="34301" xr:uid="{AA706443-3DBF-4330-B7FA-260FF37E7AFE}"/>
    <cellStyle name="Normal 5 15" xfId="8997" xr:uid="{00000000-0005-0000-0000-0000E9420000}"/>
    <cellStyle name="Normal 5 16" xfId="25867" xr:uid="{1DC083C5-C048-4C53-9A6D-5619B1DB1725}"/>
    <cellStyle name="Normal 5 2" xfId="407" xr:uid="{00000000-0005-0000-0000-0000EA420000}"/>
    <cellStyle name="Normal 5 2 10" xfId="2126" xr:uid="{00000000-0005-0000-0000-0000EB420000}"/>
    <cellStyle name="Normal 5 2 10 2" xfId="4355" xr:uid="{00000000-0005-0000-0000-0000EC420000}"/>
    <cellStyle name="Normal 5 2 10 2 2" xfId="8578" xr:uid="{00000000-0005-0000-0000-0000ED420000}"/>
    <cellStyle name="Normal 5 2 10 2 2 2" xfId="25448" xr:uid="{00000000-0005-0000-0000-0000EE420000}"/>
    <cellStyle name="Normal 5 2 10 2 2 2 2" xfId="42316" xr:uid="{9000D3A2-06E9-45FE-85F6-0862CE6EB6B3}"/>
    <cellStyle name="Normal 5 2 10 2 2 3" xfId="17013" xr:uid="{00000000-0005-0000-0000-0000EF420000}"/>
    <cellStyle name="Normal 5 2 10 2 2 4" xfId="33882" xr:uid="{65F73D20-0E02-47FF-9DF7-ABC569E8C5A7}"/>
    <cellStyle name="Normal 5 2 10 2 3" xfId="21230" xr:uid="{00000000-0005-0000-0000-0000F0420000}"/>
    <cellStyle name="Normal 5 2 10 2 3 2" xfId="38099" xr:uid="{CF664A93-0F18-4402-B168-1BE4DCB1C1DB}"/>
    <cellStyle name="Normal 5 2 10 2 4" xfId="12795" xr:uid="{00000000-0005-0000-0000-0000F1420000}"/>
    <cellStyle name="Normal 5 2 10 2 5" xfId="29665" xr:uid="{C3913135-A62C-4282-BCFB-AE3D8ACDC43F}"/>
    <cellStyle name="Normal 5 2 10 3" xfId="6433" xr:uid="{00000000-0005-0000-0000-0000F2420000}"/>
    <cellStyle name="Normal 5 2 10 3 2" xfId="23303" xr:uid="{00000000-0005-0000-0000-0000F3420000}"/>
    <cellStyle name="Normal 5 2 10 3 2 2" xfId="40171" xr:uid="{C5A5FEA1-5EDE-4BE7-81BF-BE8F89A62D4F}"/>
    <cellStyle name="Normal 5 2 10 3 3" xfId="14868" xr:uid="{00000000-0005-0000-0000-0000F4420000}"/>
    <cellStyle name="Normal 5 2 10 3 4" xfId="31737" xr:uid="{C3FA9B01-BA7A-4547-8548-45F16BD2C229}"/>
    <cellStyle name="Normal 5 2 10 4" xfId="19085" xr:uid="{00000000-0005-0000-0000-0000F5420000}"/>
    <cellStyle name="Normal 5 2 10 4 2" xfId="35954" xr:uid="{55C7F30B-463C-4E58-B6D0-57388B7499D8}"/>
    <cellStyle name="Normal 5 2 10 5" xfId="10650" xr:uid="{00000000-0005-0000-0000-0000F6420000}"/>
    <cellStyle name="Normal 5 2 10 6" xfId="27520" xr:uid="{B946FF18-2485-4C47-9918-BA6192E8DAD2}"/>
    <cellStyle name="Normal 5 2 11" xfId="2562" xr:uid="{00000000-0005-0000-0000-0000F7420000}"/>
    <cellStyle name="Normal 5 2 11 2" xfId="6846" xr:uid="{00000000-0005-0000-0000-0000F8420000}"/>
    <cellStyle name="Normal 5 2 11 2 2" xfId="23716" xr:uid="{00000000-0005-0000-0000-0000F9420000}"/>
    <cellStyle name="Normal 5 2 11 2 2 2" xfId="40584" xr:uid="{9305FF77-BFEC-41DD-9F45-167C3C2C4B02}"/>
    <cellStyle name="Normal 5 2 11 2 3" xfId="15281" xr:uid="{00000000-0005-0000-0000-0000FA420000}"/>
    <cellStyle name="Normal 5 2 11 2 4" xfId="32150" xr:uid="{04EC4E73-68E3-46A8-ADF4-203B682F0A6F}"/>
    <cellStyle name="Normal 5 2 11 3" xfId="19498" xr:uid="{00000000-0005-0000-0000-0000FB420000}"/>
    <cellStyle name="Normal 5 2 11 3 2" xfId="36367" xr:uid="{5C1B0637-E8C7-4526-9A1D-809F2393E7AC}"/>
    <cellStyle name="Normal 5 2 11 4" xfId="11063" xr:uid="{00000000-0005-0000-0000-0000FC420000}"/>
    <cellStyle name="Normal 5 2 11 5" xfId="27933" xr:uid="{42E72766-0DB3-45D6-839B-69325B0B2A6E}"/>
    <cellStyle name="Normal 5 2 12" xfId="4781" xr:uid="{00000000-0005-0000-0000-0000FD420000}"/>
    <cellStyle name="Normal 5 2 12 2" xfId="21651" xr:uid="{00000000-0005-0000-0000-0000FE420000}"/>
    <cellStyle name="Normal 5 2 12 2 2" xfId="38519" xr:uid="{BE86F25C-86AE-4943-AB61-4C5C90383949}"/>
    <cellStyle name="Normal 5 2 12 3" xfId="13216" xr:uid="{00000000-0005-0000-0000-0000FF420000}"/>
    <cellStyle name="Normal 5 2 12 4" xfId="30085" xr:uid="{37144108-59F5-47FB-AE08-5F245C34A0B1}"/>
    <cellStyle name="Normal 5 2 13" xfId="17433" xr:uid="{00000000-0005-0000-0000-000000430000}"/>
    <cellStyle name="Normal 5 2 13 2" xfId="34302" xr:uid="{E380CD72-4362-46E5-B1CB-9D2804F8701E}"/>
    <cellStyle name="Normal 5 2 14" xfId="8998" xr:uid="{00000000-0005-0000-0000-000001430000}"/>
    <cellStyle name="Normal 5 2 15" xfId="25868" xr:uid="{B7C1F545-6090-44B1-A337-CD4C41D9B2A9}"/>
    <cellStyle name="Normal 5 2 2" xfId="408" xr:uid="{00000000-0005-0000-0000-000002430000}"/>
    <cellStyle name="Normal 5 2 2 10" xfId="2563" xr:uid="{00000000-0005-0000-0000-000003430000}"/>
    <cellStyle name="Normal 5 2 2 10 2" xfId="6847" xr:uid="{00000000-0005-0000-0000-000004430000}"/>
    <cellStyle name="Normal 5 2 2 10 2 2" xfId="23717" xr:uid="{00000000-0005-0000-0000-000005430000}"/>
    <cellStyle name="Normal 5 2 2 10 2 2 2" xfId="40585" xr:uid="{3D941CD7-6FD8-42C9-B295-D497685D58B3}"/>
    <cellStyle name="Normal 5 2 2 10 2 3" xfId="15282" xr:uid="{00000000-0005-0000-0000-000006430000}"/>
    <cellStyle name="Normal 5 2 2 10 2 4" xfId="32151" xr:uid="{001333CC-6958-464C-9D38-F79BC637CFE0}"/>
    <cellStyle name="Normal 5 2 2 10 3" xfId="19499" xr:uid="{00000000-0005-0000-0000-000007430000}"/>
    <cellStyle name="Normal 5 2 2 10 3 2" xfId="36368" xr:uid="{4904978D-F6D7-4057-814A-55AE930114DD}"/>
    <cellStyle name="Normal 5 2 2 10 4" xfId="11064" xr:uid="{00000000-0005-0000-0000-000008430000}"/>
    <cellStyle name="Normal 5 2 2 10 5" xfId="27934" xr:uid="{9EA69FBA-4069-41A8-AE90-133C86F0EB1F}"/>
    <cellStyle name="Normal 5 2 2 11" xfId="4782" xr:uid="{00000000-0005-0000-0000-000009430000}"/>
    <cellStyle name="Normal 5 2 2 11 2" xfId="21652" xr:uid="{00000000-0005-0000-0000-00000A430000}"/>
    <cellStyle name="Normal 5 2 2 11 2 2" xfId="38520" xr:uid="{79C0D4BF-1B55-4054-960D-7D6531E1169E}"/>
    <cellStyle name="Normal 5 2 2 11 3" xfId="13217" xr:uid="{00000000-0005-0000-0000-00000B430000}"/>
    <cellStyle name="Normal 5 2 2 11 4" xfId="30086" xr:uid="{06C8F780-A824-49B2-A702-8FEA98C8A6E3}"/>
    <cellStyle name="Normal 5 2 2 12" xfId="17434" xr:uid="{00000000-0005-0000-0000-00000C430000}"/>
    <cellStyle name="Normal 5 2 2 12 2" xfId="34303" xr:uid="{4AE882EB-4D1B-4141-9B0E-9D9C3A794FEC}"/>
    <cellStyle name="Normal 5 2 2 13" xfId="8999" xr:uid="{00000000-0005-0000-0000-00000D430000}"/>
    <cellStyle name="Normal 5 2 2 14" xfId="25869" xr:uid="{6C691216-F196-4E0A-A55C-4CB155DE50EE}"/>
    <cellStyle name="Normal 5 2 2 2" xfId="409" xr:uid="{00000000-0005-0000-0000-00000E430000}"/>
    <cellStyle name="Normal 5 2 2 2 10" xfId="4783" xr:uid="{00000000-0005-0000-0000-00000F430000}"/>
    <cellStyle name="Normal 5 2 2 2 10 2" xfId="21653" xr:uid="{00000000-0005-0000-0000-000010430000}"/>
    <cellStyle name="Normal 5 2 2 2 10 2 2" xfId="38521" xr:uid="{DB53CD04-2083-4D55-A392-28E7A7EE6977}"/>
    <cellStyle name="Normal 5 2 2 2 10 3" xfId="13218" xr:uid="{00000000-0005-0000-0000-000011430000}"/>
    <cellStyle name="Normal 5 2 2 2 10 4" xfId="30087" xr:uid="{54CD09E1-882D-4E30-8DDA-1C0F263662D6}"/>
    <cellStyle name="Normal 5 2 2 2 11" xfId="17435" xr:uid="{00000000-0005-0000-0000-000012430000}"/>
    <cellStyle name="Normal 5 2 2 2 11 2" xfId="34304" xr:uid="{B5D8E84D-DBBD-443A-A8AC-07DCE43B0776}"/>
    <cellStyle name="Normal 5 2 2 2 12" xfId="9000" xr:uid="{00000000-0005-0000-0000-000013430000}"/>
    <cellStyle name="Normal 5 2 2 2 13" xfId="25870" xr:uid="{8C6411F3-32A4-4C1D-96B5-E4430C1AC096}"/>
    <cellStyle name="Normal 5 2 2 2 2" xfId="410" xr:uid="{00000000-0005-0000-0000-000014430000}"/>
    <cellStyle name="Normal 5 2 2 2 2 10" xfId="17436" xr:uid="{00000000-0005-0000-0000-000015430000}"/>
    <cellStyle name="Normal 5 2 2 2 2 10 2" xfId="34305" xr:uid="{13C86253-8DDE-4E5C-9BAA-7975DD9BEB74}"/>
    <cellStyle name="Normal 5 2 2 2 2 11" xfId="9001" xr:uid="{00000000-0005-0000-0000-000016430000}"/>
    <cellStyle name="Normal 5 2 2 2 2 12" xfId="25871" xr:uid="{B69B452C-59CB-43AF-9481-BFE671D77E5D}"/>
    <cellStyle name="Normal 5 2 2 2 2 2" xfId="411" xr:uid="{00000000-0005-0000-0000-000017430000}"/>
    <cellStyle name="Normal 5 2 2 2 2 2 10" xfId="9002" xr:uid="{00000000-0005-0000-0000-000018430000}"/>
    <cellStyle name="Normal 5 2 2 2 2 2 11" xfId="25872" xr:uid="{880B57F0-D74E-4924-B2B2-928CB51ABBC6}"/>
    <cellStyle name="Normal 5 2 2 2 2 2 2" xfId="412" xr:uid="{00000000-0005-0000-0000-000019430000}"/>
    <cellStyle name="Normal 5 2 2 2 2 2 2 10" xfId="25873" xr:uid="{CA33125F-5F10-4013-8354-EE0BFA422AC6}"/>
    <cellStyle name="Normal 5 2 2 2 2 2 2 2" xfId="886" xr:uid="{00000000-0005-0000-0000-00001A430000}"/>
    <cellStyle name="Normal 5 2 2 2 2 2 2 2 2" xfId="3121" xr:uid="{00000000-0005-0000-0000-00001B430000}"/>
    <cellStyle name="Normal 5 2 2 2 2 2 2 2 2 2" xfId="7344" xr:uid="{00000000-0005-0000-0000-00001C430000}"/>
    <cellStyle name="Normal 5 2 2 2 2 2 2 2 2 2 2" xfId="24214" xr:uid="{00000000-0005-0000-0000-00001D430000}"/>
    <cellStyle name="Normal 5 2 2 2 2 2 2 2 2 2 2 2" xfId="41082" xr:uid="{08E4622C-CDD8-4A9B-B1C3-4BC2521F06EF}"/>
    <cellStyle name="Normal 5 2 2 2 2 2 2 2 2 2 3" xfId="15779" xr:uid="{00000000-0005-0000-0000-00001E430000}"/>
    <cellStyle name="Normal 5 2 2 2 2 2 2 2 2 2 4" xfId="32648" xr:uid="{9B79AECD-9879-43F9-8009-697B05E8AEF2}"/>
    <cellStyle name="Normal 5 2 2 2 2 2 2 2 2 3" xfId="19996" xr:uid="{00000000-0005-0000-0000-00001F430000}"/>
    <cellStyle name="Normal 5 2 2 2 2 2 2 2 2 3 2" xfId="36865" xr:uid="{A936804E-D504-4B7A-B9E4-A92BB5FBC4EE}"/>
    <cellStyle name="Normal 5 2 2 2 2 2 2 2 2 4" xfId="11561" xr:uid="{00000000-0005-0000-0000-000020430000}"/>
    <cellStyle name="Normal 5 2 2 2 2 2 2 2 2 5" xfId="28431" xr:uid="{BD23E502-AC71-4C61-A273-89965D44B214}"/>
    <cellStyle name="Normal 5 2 2 2 2 2 2 2 3" xfId="5199" xr:uid="{00000000-0005-0000-0000-000021430000}"/>
    <cellStyle name="Normal 5 2 2 2 2 2 2 2 3 2" xfId="22069" xr:uid="{00000000-0005-0000-0000-000022430000}"/>
    <cellStyle name="Normal 5 2 2 2 2 2 2 2 3 2 2" xfId="38937" xr:uid="{EAF4F02C-EBC6-4897-A5D6-3C585E7FE429}"/>
    <cellStyle name="Normal 5 2 2 2 2 2 2 2 3 3" xfId="13634" xr:uid="{00000000-0005-0000-0000-000023430000}"/>
    <cellStyle name="Normal 5 2 2 2 2 2 2 2 3 4" xfId="30503" xr:uid="{3381013C-063B-40C7-AF4B-7F047C4C23D5}"/>
    <cellStyle name="Normal 5 2 2 2 2 2 2 2 4" xfId="17851" xr:uid="{00000000-0005-0000-0000-000024430000}"/>
    <cellStyle name="Normal 5 2 2 2 2 2 2 2 4 2" xfId="34720" xr:uid="{CA2102AD-FF16-4B6A-9DBC-63C899B78807}"/>
    <cellStyle name="Normal 5 2 2 2 2 2 2 2 5" xfId="9416" xr:uid="{00000000-0005-0000-0000-000025430000}"/>
    <cellStyle name="Normal 5 2 2 2 2 2 2 2 6" xfId="26286" xr:uid="{14D79126-0583-4274-93BF-8CCB6CC4A872}"/>
    <cellStyle name="Normal 5 2 2 2 2 2 2 3" xfId="1304" xr:uid="{00000000-0005-0000-0000-000026430000}"/>
    <cellStyle name="Normal 5 2 2 2 2 2 2 3 2" xfId="3534" xr:uid="{00000000-0005-0000-0000-000027430000}"/>
    <cellStyle name="Normal 5 2 2 2 2 2 2 3 2 2" xfId="7757" xr:uid="{00000000-0005-0000-0000-000028430000}"/>
    <cellStyle name="Normal 5 2 2 2 2 2 2 3 2 2 2" xfId="24627" xr:uid="{00000000-0005-0000-0000-000029430000}"/>
    <cellStyle name="Normal 5 2 2 2 2 2 2 3 2 2 2 2" xfId="41495" xr:uid="{B22FBA87-CC98-4CE5-B7AA-63386D7C4FD5}"/>
    <cellStyle name="Normal 5 2 2 2 2 2 2 3 2 2 3" xfId="16192" xr:uid="{00000000-0005-0000-0000-00002A430000}"/>
    <cellStyle name="Normal 5 2 2 2 2 2 2 3 2 2 4" xfId="33061" xr:uid="{842E9AED-48B6-47B4-A5C8-6F4EDB519829}"/>
    <cellStyle name="Normal 5 2 2 2 2 2 2 3 2 3" xfId="20409" xr:uid="{00000000-0005-0000-0000-00002B430000}"/>
    <cellStyle name="Normal 5 2 2 2 2 2 2 3 2 3 2" xfId="37278" xr:uid="{0D64C3DB-ACD8-4053-A877-5A145F92050A}"/>
    <cellStyle name="Normal 5 2 2 2 2 2 2 3 2 4" xfId="11974" xr:uid="{00000000-0005-0000-0000-00002C430000}"/>
    <cellStyle name="Normal 5 2 2 2 2 2 2 3 2 5" xfId="28844" xr:uid="{7BE2CA7E-72E5-4AB3-BC42-51D0AD580CAE}"/>
    <cellStyle name="Normal 5 2 2 2 2 2 2 3 3" xfId="5612" xr:uid="{00000000-0005-0000-0000-00002D430000}"/>
    <cellStyle name="Normal 5 2 2 2 2 2 2 3 3 2" xfId="22482" xr:uid="{00000000-0005-0000-0000-00002E430000}"/>
    <cellStyle name="Normal 5 2 2 2 2 2 2 3 3 2 2" xfId="39350" xr:uid="{DD94A672-770B-4714-BC97-1D0A5012B071}"/>
    <cellStyle name="Normal 5 2 2 2 2 2 2 3 3 3" xfId="14047" xr:uid="{00000000-0005-0000-0000-00002F430000}"/>
    <cellStyle name="Normal 5 2 2 2 2 2 2 3 3 4" xfId="30916" xr:uid="{9F8FB842-5B5E-4574-BBFB-2E0A6A558B09}"/>
    <cellStyle name="Normal 5 2 2 2 2 2 2 3 4" xfId="18264" xr:uid="{00000000-0005-0000-0000-000030430000}"/>
    <cellStyle name="Normal 5 2 2 2 2 2 2 3 4 2" xfId="35133" xr:uid="{1D3CFD55-C4B4-4AE2-884D-40EBB6C58467}"/>
    <cellStyle name="Normal 5 2 2 2 2 2 2 3 5" xfId="9829" xr:uid="{00000000-0005-0000-0000-000031430000}"/>
    <cellStyle name="Normal 5 2 2 2 2 2 2 3 6" xfId="26699" xr:uid="{7D3B1893-33F9-4E71-BBC9-4A91FEC97FF1}"/>
    <cellStyle name="Normal 5 2 2 2 2 2 2 4" xfId="1717" xr:uid="{00000000-0005-0000-0000-000032430000}"/>
    <cellStyle name="Normal 5 2 2 2 2 2 2 4 2" xfId="3947" xr:uid="{00000000-0005-0000-0000-000033430000}"/>
    <cellStyle name="Normal 5 2 2 2 2 2 2 4 2 2" xfId="8170" xr:uid="{00000000-0005-0000-0000-000034430000}"/>
    <cellStyle name="Normal 5 2 2 2 2 2 2 4 2 2 2" xfId="25040" xr:uid="{00000000-0005-0000-0000-000035430000}"/>
    <cellStyle name="Normal 5 2 2 2 2 2 2 4 2 2 2 2" xfId="41908" xr:uid="{0E9FFE2F-F78D-4C5A-B27D-F29ED45A9314}"/>
    <cellStyle name="Normal 5 2 2 2 2 2 2 4 2 2 3" xfId="16605" xr:uid="{00000000-0005-0000-0000-000036430000}"/>
    <cellStyle name="Normal 5 2 2 2 2 2 2 4 2 2 4" xfId="33474" xr:uid="{ACA4D4EF-1603-45D4-B8BF-D0B938E2BD8A}"/>
    <cellStyle name="Normal 5 2 2 2 2 2 2 4 2 3" xfId="20822" xr:uid="{00000000-0005-0000-0000-000037430000}"/>
    <cellStyle name="Normal 5 2 2 2 2 2 2 4 2 3 2" xfId="37691" xr:uid="{CF6C3497-FB15-4FC9-A96D-33F4F553038A}"/>
    <cellStyle name="Normal 5 2 2 2 2 2 2 4 2 4" xfId="12387" xr:uid="{00000000-0005-0000-0000-000038430000}"/>
    <cellStyle name="Normal 5 2 2 2 2 2 2 4 2 5" xfId="29257" xr:uid="{465F7D30-B850-4654-902D-904E630A1218}"/>
    <cellStyle name="Normal 5 2 2 2 2 2 2 4 3" xfId="6025" xr:uid="{00000000-0005-0000-0000-000039430000}"/>
    <cellStyle name="Normal 5 2 2 2 2 2 2 4 3 2" xfId="22895" xr:uid="{00000000-0005-0000-0000-00003A430000}"/>
    <cellStyle name="Normal 5 2 2 2 2 2 2 4 3 2 2" xfId="39763" xr:uid="{25E783A5-9CB0-4BFB-8FEF-0557A6829E64}"/>
    <cellStyle name="Normal 5 2 2 2 2 2 2 4 3 3" xfId="14460" xr:uid="{00000000-0005-0000-0000-00003B430000}"/>
    <cellStyle name="Normal 5 2 2 2 2 2 2 4 3 4" xfId="31329" xr:uid="{5C75FCB4-9415-44A8-9A7B-A759F5E42AB7}"/>
    <cellStyle name="Normal 5 2 2 2 2 2 2 4 4" xfId="18677" xr:uid="{00000000-0005-0000-0000-00003C430000}"/>
    <cellStyle name="Normal 5 2 2 2 2 2 2 4 4 2" xfId="35546" xr:uid="{900BBB56-B189-49B4-9162-7150106A5DC6}"/>
    <cellStyle name="Normal 5 2 2 2 2 2 2 4 5" xfId="10242" xr:uid="{00000000-0005-0000-0000-00003D430000}"/>
    <cellStyle name="Normal 5 2 2 2 2 2 2 4 6" xfId="27112" xr:uid="{68A42236-25DB-4CE0-BC0B-3689A209EB82}"/>
    <cellStyle name="Normal 5 2 2 2 2 2 2 5" xfId="2131" xr:uid="{00000000-0005-0000-0000-00003E430000}"/>
    <cellStyle name="Normal 5 2 2 2 2 2 2 5 2" xfId="4360" xr:uid="{00000000-0005-0000-0000-00003F430000}"/>
    <cellStyle name="Normal 5 2 2 2 2 2 2 5 2 2" xfId="8583" xr:uid="{00000000-0005-0000-0000-000040430000}"/>
    <cellStyle name="Normal 5 2 2 2 2 2 2 5 2 2 2" xfId="25453" xr:uid="{00000000-0005-0000-0000-000041430000}"/>
    <cellStyle name="Normal 5 2 2 2 2 2 2 5 2 2 2 2" xfId="42321" xr:uid="{4065A6BF-93FC-4AD8-BCB4-B808DCB7FD23}"/>
    <cellStyle name="Normal 5 2 2 2 2 2 2 5 2 2 3" xfId="17018" xr:uid="{00000000-0005-0000-0000-000042430000}"/>
    <cellStyle name="Normal 5 2 2 2 2 2 2 5 2 2 4" xfId="33887" xr:uid="{CA896C1B-E714-4BCE-8789-175B725D32A0}"/>
    <cellStyle name="Normal 5 2 2 2 2 2 2 5 2 3" xfId="21235" xr:uid="{00000000-0005-0000-0000-000043430000}"/>
    <cellStyle name="Normal 5 2 2 2 2 2 2 5 2 3 2" xfId="38104" xr:uid="{3927AB03-A512-41A2-8E4C-34EAF4715C06}"/>
    <cellStyle name="Normal 5 2 2 2 2 2 2 5 2 4" xfId="12800" xr:uid="{00000000-0005-0000-0000-000044430000}"/>
    <cellStyle name="Normal 5 2 2 2 2 2 2 5 2 5" xfId="29670" xr:uid="{57E60E52-C116-47AB-BB91-65411556C4D9}"/>
    <cellStyle name="Normal 5 2 2 2 2 2 2 5 3" xfId="6438" xr:uid="{00000000-0005-0000-0000-000045430000}"/>
    <cellStyle name="Normal 5 2 2 2 2 2 2 5 3 2" xfId="23308" xr:uid="{00000000-0005-0000-0000-000046430000}"/>
    <cellStyle name="Normal 5 2 2 2 2 2 2 5 3 2 2" xfId="40176" xr:uid="{78F60C36-BFFC-4F3A-BDDE-B8C7ECAF1C8A}"/>
    <cellStyle name="Normal 5 2 2 2 2 2 2 5 3 3" xfId="14873" xr:uid="{00000000-0005-0000-0000-000047430000}"/>
    <cellStyle name="Normal 5 2 2 2 2 2 2 5 3 4" xfId="31742" xr:uid="{9D1D0DD3-CE76-4118-825B-32663DE951D5}"/>
    <cellStyle name="Normal 5 2 2 2 2 2 2 5 4" xfId="19090" xr:uid="{00000000-0005-0000-0000-000048430000}"/>
    <cellStyle name="Normal 5 2 2 2 2 2 2 5 4 2" xfId="35959" xr:uid="{0715A706-6BA9-444D-A689-AE853BB70E02}"/>
    <cellStyle name="Normal 5 2 2 2 2 2 2 5 5" xfId="10655" xr:uid="{00000000-0005-0000-0000-000049430000}"/>
    <cellStyle name="Normal 5 2 2 2 2 2 2 5 6" xfId="27525" xr:uid="{0AFEBCA2-70A1-41DB-A93E-7C5AED92CB79}"/>
    <cellStyle name="Normal 5 2 2 2 2 2 2 6" xfId="2567" xr:uid="{00000000-0005-0000-0000-00004A430000}"/>
    <cellStyle name="Normal 5 2 2 2 2 2 2 6 2" xfId="6851" xr:uid="{00000000-0005-0000-0000-00004B430000}"/>
    <cellStyle name="Normal 5 2 2 2 2 2 2 6 2 2" xfId="23721" xr:uid="{00000000-0005-0000-0000-00004C430000}"/>
    <cellStyle name="Normal 5 2 2 2 2 2 2 6 2 2 2" xfId="40589" xr:uid="{EABEE0D1-FFC4-485C-BE0C-2A04475D90BF}"/>
    <cellStyle name="Normal 5 2 2 2 2 2 2 6 2 3" xfId="15286" xr:uid="{00000000-0005-0000-0000-00004D430000}"/>
    <cellStyle name="Normal 5 2 2 2 2 2 2 6 2 4" xfId="32155" xr:uid="{7592132E-B955-47FA-9421-E5C06F6CFFAF}"/>
    <cellStyle name="Normal 5 2 2 2 2 2 2 6 3" xfId="19503" xr:uid="{00000000-0005-0000-0000-00004E430000}"/>
    <cellStyle name="Normal 5 2 2 2 2 2 2 6 3 2" xfId="36372" xr:uid="{C7AAE3F9-2646-4A82-B24D-9708D58AAC0C}"/>
    <cellStyle name="Normal 5 2 2 2 2 2 2 6 4" xfId="11068" xr:uid="{00000000-0005-0000-0000-00004F430000}"/>
    <cellStyle name="Normal 5 2 2 2 2 2 2 6 5" xfId="27938" xr:uid="{2EDF9E3C-41EC-4605-91C0-B1220CD4EFE4}"/>
    <cellStyle name="Normal 5 2 2 2 2 2 2 7" xfId="4786" xr:uid="{00000000-0005-0000-0000-000050430000}"/>
    <cellStyle name="Normal 5 2 2 2 2 2 2 7 2" xfId="21656" xr:uid="{00000000-0005-0000-0000-000051430000}"/>
    <cellStyle name="Normal 5 2 2 2 2 2 2 7 2 2" xfId="38524" xr:uid="{85ABEB49-8E99-4E7B-AA5B-196837D2579F}"/>
    <cellStyle name="Normal 5 2 2 2 2 2 2 7 3" xfId="13221" xr:uid="{00000000-0005-0000-0000-000052430000}"/>
    <cellStyle name="Normal 5 2 2 2 2 2 2 7 4" xfId="30090" xr:uid="{066DC916-E229-4BA6-B936-89394B1B2923}"/>
    <cellStyle name="Normal 5 2 2 2 2 2 2 8" xfId="17438" xr:uid="{00000000-0005-0000-0000-000053430000}"/>
    <cellStyle name="Normal 5 2 2 2 2 2 2 8 2" xfId="34307" xr:uid="{0B0BC7A3-EC4E-40AC-9C36-157A23F5E6E3}"/>
    <cellStyle name="Normal 5 2 2 2 2 2 2 9" xfId="9003" xr:uid="{00000000-0005-0000-0000-000054430000}"/>
    <cellStyle name="Normal 5 2 2 2 2 2 3" xfId="885" xr:uid="{00000000-0005-0000-0000-000055430000}"/>
    <cellStyle name="Normal 5 2 2 2 2 2 3 2" xfId="3120" xr:uid="{00000000-0005-0000-0000-000056430000}"/>
    <cellStyle name="Normal 5 2 2 2 2 2 3 2 2" xfId="7343" xr:uid="{00000000-0005-0000-0000-000057430000}"/>
    <cellStyle name="Normal 5 2 2 2 2 2 3 2 2 2" xfId="24213" xr:uid="{00000000-0005-0000-0000-000058430000}"/>
    <cellStyle name="Normal 5 2 2 2 2 2 3 2 2 2 2" xfId="41081" xr:uid="{9033E25F-3AAF-49BA-AFEE-909ADA35F0FC}"/>
    <cellStyle name="Normal 5 2 2 2 2 2 3 2 2 3" xfId="15778" xr:uid="{00000000-0005-0000-0000-000059430000}"/>
    <cellStyle name="Normal 5 2 2 2 2 2 3 2 2 4" xfId="32647" xr:uid="{47B877A8-430C-416A-88AB-0EEF0E226639}"/>
    <cellStyle name="Normal 5 2 2 2 2 2 3 2 3" xfId="19995" xr:uid="{00000000-0005-0000-0000-00005A430000}"/>
    <cellStyle name="Normal 5 2 2 2 2 2 3 2 3 2" xfId="36864" xr:uid="{D06D8BA3-24FA-40FA-87D6-8CACBCC87D0B}"/>
    <cellStyle name="Normal 5 2 2 2 2 2 3 2 4" xfId="11560" xr:uid="{00000000-0005-0000-0000-00005B430000}"/>
    <cellStyle name="Normal 5 2 2 2 2 2 3 2 5" xfId="28430" xr:uid="{54049E07-AE9C-44FC-BA25-C3BF86B45685}"/>
    <cellStyle name="Normal 5 2 2 2 2 2 3 3" xfId="5198" xr:uid="{00000000-0005-0000-0000-00005C430000}"/>
    <cellStyle name="Normal 5 2 2 2 2 2 3 3 2" xfId="22068" xr:uid="{00000000-0005-0000-0000-00005D430000}"/>
    <cellStyle name="Normal 5 2 2 2 2 2 3 3 2 2" xfId="38936" xr:uid="{D0B5AC03-07A4-44BB-8AE7-5C56D5E08A56}"/>
    <cellStyle name="Normal 5 2 2 2 2 2 3 3 3" xfId="13633" xr:uid="{00000000-0005-0000-0000-00005E430000}"/>
    <cellStyle name="Normal 5 2 2 2 2 2 3 3 4" xfId="30502" xr:uid="{B0855298-FD4F-4582-9184-3E0E75D271CB}"/>
    <cellStyle name="Normal 5 2 2 2 2 2 3 4" xfId="17850" xr:uid="{00000000-0005-0000-0000-00005F430000}"/>
    <cellStyle name="Normal 5 2 2 2 2 2 3 4 2" xfId="34719" xr:uid="{1152239E-E8D1-496D-B3FE-EA0609E8D926}"/>
    <cellStyle name="Normal 5 2 2 2 2 2 3 5" xfId="9415" xr:uid="{00000000-0005-0000-0000-000060430000}"/>
    <cellStyle name="Normal 5 2 2 2 2 2 3 6" xfId="26285" xr:uid="{91B5FA92-DB68-4AF5-8E63-A42BB5EAFE38}"/>
    <cellStyle name="Normal 5 2 2 2 2 2 4" xfId="1303" xr:uid="{00000000-0005-0000-0000-000061430000}"/>
    <cellStyle name="Normal 5 2 2 2 2 2 4 2" xfId="3533" xr:uid="{00000000-0005-0000-0000-000062430000}"/>
    <cellStyle name="Normal 5 2 2 2 2 2 4 2 2" xfId="7756" xr:uid="{00000000-0005-0000-0000-000063430000}"/>
    <cellStyle name="Normal 5 2 2 2 2 2 4 2 2 2" xfId="24626" xr:uid="{00000000-0005-0000-0000-000064430000}"/>
    <cellStyle name="Normal 5 2 2 2 2 2 4 2 2 2 2" xfId="41494" xr:uid="{50E43C72-CF76-4C6C-A5C3-5A3D5E1A8D3E}"/>
    <cellStyle name="Normal 5 2 2 2 2 2 4 2 2 3" xfId="16191" xr:uid="{00000000-0005-0000-0000-000065430000}"/>
    <cellStyle name="Normal 5 2 2 2 2 2 4 2 2 4" xfId="33060" xr:uid="{0D4A3FBF-5A9B-4D20-8F31-CDCB574B38C8}"/>
    <cellStyle name="Normal 5 2 2 2 2 2 4 2 3" xfId="20408" xr:uid="{00000000-0005-0000-0000-000066430000}"/>
    <cellStyle name="Normal 5 2 2 2 2 2 4 2 3 2" xfId="37277" xr:uid="{C1D9AA70-FDD4-4864-9EBE-3F47B262BF66}"/>
    <cellStyle name="Normal 5 2 2 2 2 2 4 2 4" xfId="11973" xr:uid="{00000000-0005-0000-0000-000067430000}"/>
    <cellStyle name="Normal 5 2 2 2 2 2 4 2 5" xfId="28843" xr:uid="{46B949A8-605E-4CFB-8111-3F8CA23E4691}"/>
    <cellStyle name="Normal 5 2 2 2 2 2 4 3" xfId="5611" xr:uid="{00000000-0005-0000-0000-000068430000}"/>
    <cellStyle name="Normal 5 2 2 2 2 2 4 3 2" xfId="22481" xr:uid="{00000000-0005-0000-0000-000069430000}"/>
    <cellStyle name="Normal 5 2 2 2 2 2 4 3 2 2" xfId="39349" xr:uid="{1A3A6119-15BC-4332-B7C5-B9B58F792FD0}"/>
    <cellStyle name="Normal 5 2 2 2 2 2 4 3 3" xfId="14046" xr:uid="{00000000-0005-0000-0000-00006A430000}"/>
    <cellStyle name="Normal 5 2 2 2 2 2 4 3 4" xfId="30915" xr:uid="{DEA65122-3F2B-4449-96A5-F6DB3E44B91D}"/>
    <cellStyle name="Normal 5 2 2 2 2 2 4 4" xfId="18263" xr:uid="{00000000-0005-0000-0000-00006B430000}"/>
    <cellStyle name="Normal 5 2 2 2 2 2 4 4 2" xfId="35132" xr:uid="{E1D1D959-1583-4003-88DC-5DAE33C01F21}"/>
    <cellStyle name="Normal 5 2 2 2 2 2 4 5" xfId="9828" xr:uid="{00000000-0005-0000-0000-00006C430000}"/>
    <cellStyle name="Normal 5 2 2 2 2 2 4 6" xfId="26698" xr:uid="{43B7B89D-C594-48DE-92D3-12A9176B8027}"/>
    <cellStyle name="Normal 5 2 2 2 2 2 5" xfId="1716" xr:uid="{00000000-0005-0000-0000-00006D430000}"/>
    <cellStyle name="Normal 5 2 2 2 2 2 5 2" xfId="3946" xr:uid="{00000000-0005-0000-0000-00006E430000}"/>
    <cellStyle name="Normal 5 2 2 2 2 2 5 2 2" xfId="8169" xr:uid="{00000000-0005-0000-0000-00006F430000}"/>
    <cellStyle name="Normal 5 2 2 2 2 2 5 2 2 2" xfId="25039" xr:uid="{00000000-0005-0000-0000-000070430000}"/>
    <cellStyle name="Normal 5 2 2 2 2 2 5 2 2 2 2" xfId="41907" xr:uid="{5FC4C793-3CA0-4949-A264-294AE0DAFB28}"/>
    <cellStyle name="Normal 5 2 2 2 2 2 5 2 2 3" xfId="16604" xr:uid="{00000000-0005-0000-0000-000071430000}"/>
    <cellStyle name="Normal 5 2 2 2 2 2 5 2 2 4" xfId="33473" xr:uid="{6C988BA3-12D2-4017-A9CF-CD68D6111B03}"/>
    <cellStyle name="Normal 5 2 2 2 2 2 5 2 3" xfId="20821" xr:uid="{00000000-0005-0000-0000-000072430000}"/>
    <cellStyle name="Normal 5 2 2 2 2 2 5 2 3 2" xfId="37690" xr:uid="{D88DC720-2443-4666-86FE-3C3F4C48EF41}"/>
    <cellStyle name="Normal 5 2 2 2 2 2 5 2 4" xfId="12386" xr:uid="{00000000-0005-0000-0000-000073430000}"/>
    <cellStyle name="Normal 5 2 2 2 2 2 5 2 5" xfId="29256" xr:uid="{03BAB466-1615-4C94-8461-E467C9787B23}"/>
    <cellStyle name="Normal 5 2 2 2 2 2 5 3" xfId="6024" xr:uid="{00000000-0005-0000-0000-000074430000}"/>
    <cellStyle name="Normal 5 2 2 2 2 2 5 3 2" xfId="22894" xr:uid="{00000000-0005-0000-0000-000075430000}"/>
    <cellStyle name="Normal 5 2 2 2 2 2 5 3 2 2" xfId="39762" xr:uid="{95E088C3-6E49-4483-B080-CFF397EBE8CB}"/>
    <cellStyle name="Normal 5 2 2 2 2 2 5 3 3" xfId="14459" xr:uid="{00000000-0005-0000-0000-000076430000}"/>
    <cellStyle name="Normal 5 2 2 2 2 2 5 3 4" xfId="31328" xr:uid="{424EBFE2-6659-4EC5-ADBC-27B8A0A97F10}"/>
    <cellStyle name="Normal 5 2 2 2 2 2 5 4" xfId="18676" xr:uid="{00000000-0005-0000-0000-000077430000}"/>
    <cellStyle name="Normal 5 2 2 2 2 2 5 4 2" xfId="35545" xr:uid="{F1713D5A-A549-4749-8562-E7A502E54EF7}"/>
    <cellStyle name="Normal 5 2 2 2 2 2 5 5" xfId="10241" xr:uid="{00000000-0005-0000-0000-000078430000}"/>
    <cellStyle name="Normal 5 2 2 2 2 2 5 6" xfId="27111" xr:uid="{C80002FE-1967-4761-8A18-D748DD800CE3}"/>
    <cellStyle name="Normal 5 2 2 2 2 2 6" xfId="2130" xr:uid="{00000000-0005-0000-0000-000079430000}"/>
    <cellStyle name="Normal 5 2 2 2 2 2 6 2" xfId="4359" xr:uid="{00000000-0005-0000-0000-00007A430000}"/>
    <cellStyle name="Normal 5 2 2 2 2 2 6 2 2" xfId="8582" xr:uid="{00000000-0005-0000-0000-00007B430000}"/>
    <cellStyle name="Normal 5 2 2 2 2 2 6 2 2 2" xfId="25452" xr:uid="{00000000-0005-0000-0000-00007C430000}"/>
    <cellStyle name="Normal 5 2 2 2 2 2 6 2 2 2 2" xfId="42320" xr:uid="{4D38C2AC-60B1-4866-B7BF-CB52B0D576FF}"/>
    <cellStyle name="Normal 5 2 2 2 2 2 6 2 2 3" xfId="17017" xr:uid="{00000000-0005-0000-0000-00007D430000}"/>
    <cellStyle name="Normal 5 2 2 2 2 2 6 2 2 4" xfId="33886" xr:uid="{934609D0-3599-4DCB-8364-4CC9FF6085A7}"/>
    <cellStyle name="Normal 5 2 2 2 2 2 6 2 3" xfId="21234" xr:uid="{00000000-0005-0000-0000-00007E430000}"/>
    <cellStyle name="Normal 5 2 2 2 2 2 6 2 3 2" xfId="38103" xr:uid="{E057804D-4F4F-4156-91CB-53B252F4F840}"/>
    <cellStyle name="Normal 5 2 2 2 2 2 6 2 4" xfId="12799" xr:uid="{00000000-0005-0000-0000-00007F430000}"/>
    <cellStyle name="Normal 5 2 2 2 2 2 6 2 5" xfId="29669" xr:uid="{1CA061EF-6F61-4A34-9605-298D72DD5C22}"/>
    <cellStyle name="Normal 5 2 2 2 2 2 6 3" xfId="6437" xr:uid="{00000000-0005-0000-0000-000080430000}"/>
    <cellStyle name="Normal 5 2 2 2 2 2 6 3 2" xfId="23307" xr:uid="{00000000-0005-0000-0000-000081430000}"/>
    <cellStyle name="Normal 5 2 2 2 2 2 6 3 2 2" xfId="40175" xr:uid="{CAB9D80B-2C7E-468B-A453-7F82F820197C}"/>
    <cellStyle name="Normal 5 2 2 2 2 2 6 3 3" xfId="14872" xr:uid="{00000000-0005-0000-0000-000082430000}"/>
    <cellStyle name="Normal 5 2 2 2 2 2 6 3 4" xfId="31741" xr:uid="{04E9483E-15B9-4B9D-AECB-8E29DDBAF8F8}"/>
    <cellStyle name="Normal 5 2 2 2 2 2 6 4" xfId="19089" xr:uid="{00000000-0005-0000-0000-000083430000}"/>
    <cellStyle name="Normal 5 2 2 2 2 2 6 4 2" xfId="35958" xr:uid="{FB8D1BE3-5A5F-4BDB-826F-3D7C5F88E576}"/>
    <cellStyle name="Normal 5 2 2 2 2 2 6 5" xfId="10654" xr:uid="{00000000-0005-0000-0000-000084430000}"/>
    <cellStyle name="Normal 5 2 2 2 2 2 6 6" xfId="27524" xr:uid="{069F82B9-4C65-4F6B-8EE4-D6F2397F8CA4}"/>
    <cellStyle name="Normal 5 2 2 2 2 2 7" xfId="2566" xr:uid="{00000000-0005-0000-0000-000085430000}"/>
    <cellStyle name="Normal 5 2 2 2 2 2 7 2" xfId="6850" xr:uid="{00000000-0005-0000-0000-000086430000}"/>
    <cellStyle name="Normal 5 2 2 2 2 2 7 2 2" xfId="23720" xr:uid="{00000000-0005-0000-0000-000087430000}"/>
    <cellStyle name="Normal 5 2 2 2 2 2 7 2 2 2" xfId="40588" xr:uid="{CCCDB057-9CA6-4DA2-B1D3-AE13DC22210E}"/>
    <cellStyle name="Normal 5 2 2 2 2 2 7 2 3" xfId="15285" xr:uid="{00000000-0005-0000-0000-000088430000}"/>
    <cellStyle name="Normal 5 2 2 2 2 2 7 2 4" xfId="32154" xr:uid="{5C84D1B4-917F-45BD-B7C8-952C968E6B9E}"/>
    <cellStyle name="Normal 5 2 2 2 2 2 7 3" xfId="19502" xr:uid="{00000000-0005-0000-0000-000089430000}"/>
    <cellStyle name="Normal 5 2 2 2 2 2 7 3 2" xfId="36371" xr:uid="{8964F728-5A55-4805-9BA9-53BEF84C29A4}"/>
    <cellStyle name="Normal 5 2 2 2 2 2 7 4" xfId="11067" xr:uid="{00000000-0005-0000-0000-00008A430000}"/>
    <cellStyle name="Normal 5 2 2 2 2 2 7 5" xfId="27937" xr:uid="{96AFEAC7-57AE-46E9-BB46-D47AC0E10871}"/>
    <cellStyle name="Normal 5 2 2 2 2 2 8" xfId="4785" xr:uid="{00000000-0005-0000-0000-00008B430000}"/>
    <cellStyle name="Normal 5 2 2 2 2 2 8 2" xfId="21655" xr:uid="{00000000-0005-0000-0000-00008C430000}"/>
    <cellStyle name="Normal 5 2 2 2 2 2 8 2 2" xfId="38523" xr:uid="{814DB319-60B4-4D50-8961-8E203AAEAB4A}"/>
    <cellStyle name="Normal 5 2 2 2 2 2 8 3" xfId="13220" xr:uid="{00000000-0005-0000-0000-00008D430000}"/>
    <cellStyle name="Normal 5 2 2 2 2 2 8 4" xfId="30089" xr:uid="{CE540AAE-1A0A-4ECB-A341-F9C2ABA9C447}"/>
    <cellStyle name="Normal 5 2 2 2 2 2 9" xfId="17437" xr:uid="{00000000-0005-0000-0000-00008E430000}"/>
    <cellStyle name="Normal 5 2 2 2 2 2 9 2" xfId="34306" xr:uid="{D0B74F96-903D-4B31-98FE-DB4D8672FC73}"/>
    <cellStyle name="Normal 5 2 2 2 2 3" xfId="413" xr:uid="{00000000-0005-0000-0000-00008F430000}"/>
    <cellStyle name="Normal 5 2 2 2 2 3 10" xfId="25874" xr:uid="{49B56E49-991E-4AA6-8BE1-410C40F7A990}"/>
    <cellStyle name="Normal 5 2 2 2 2 3 2" xfId="887" xr:uid="{00000000-0005-0000-0000-000090430000}"/>
    <cellStyle name="Normal 5 2 2 2 2 3 2 2" xfId="3122" xr:uid="{00000000-0005-0000-0000-000091430000}"/>
    <cellStyle name="Normal 5 2 2 2 2 3 2 2 2" xfId="7345" xr:uid="{00000000-0005-0000-0000-000092430000}"/>
    <cellStyle name="Normal 5 2 2 2 2 3 2 2 2 2" xfId="24215" xr:uid="{00000000-0005-0000-0000-000093430000}"/>
    <cellStyle name="Normal 5 2 2 2 2 3 2 2 2 2 2" xfId="41083" xr:uid="{69A863CE-2D6E-426B-87A4-A31A7849CAD0}"/>
    <cellStyle name="Normal 5 2 2 2 2 3 2 2 2 3" xfId="15780" xr:uid="{00000000-0005-0000-0000-000094430000}"/>
    <cellStyle name="Normal 5 2 2 2 2 3 2 2 2 4" xfId="32649" xr:uid="{D5D90740-664D-4BFE-AC8E-1EDC2E8E7630}"/>
    <cellStyle name="Normal 5 2 2 2 2 3 2 2 3" xfId="19997" xr:uid="{00000000-0005-0000-0000-000095430000}"/>
    <cellStyle name="Normal 5 2 2 2 2 3 2 2 3 2" xfId="36866" xr:uid="{5178E616-247F-4055-8538-0BE9D47A7D9B}"/>
    <cellStyle name="Normal 5 2 2 2 2 3 2 2 4" xfId="11562" xr:uid="{00000000-0005-0000-0000-000096430000}"/>
    <cellStyle name="Normal 5 2 2 2 2 3 2 2 5" xfId="28432" xr:uid="{B42C426D-7C69-4E76-92D3-36696D8B8094}"/>
    <cellStyle name="Normal 5 2 2 2 2 3 2 3" xfId="5200" xr:uid="{00000000-0005-0000-0000-000097430000}"/>
    <cellStyle name="Normal 5 2 2 2 2 3 2 3 2" xfId="22070" xr:uid="{00000000-0005-0000-0000-000098430000}"/>
    <cellStyle name="Normal 5 2 2 2 2 3 2 3 2 2" xfId="38938" xr:uid="{B7793296-C6DD-451A-A8B4-F57462E9F5C4}"/>
    <cellStyle name="Normal 5 2 2 2 2 3 2 3 3" xfId="13635" xr:uid="{00000000-0005-0000-0000-000099430000}"/>
    <cellStyle name="Normal 5 2 2 2 2 3 2 3 4" xfId="30504" xr:uid="{088A7A2B-CB51-4E14-9DFF-D9745089F3C3}"/>
    <cellStyle name="Normal 5 2 2 2 2 3 2 4" xfId="17852" xr:uid="{00000000-0005-0000-0000-00009A430000}"/>
    <cellStyle name="Normal 5 2 2 2 2 3 2 4 2" xfId="34721" xr:uid="{7C3368F6-D7D1-46A1-AAA2-0443B01A09ED}"/>
    <cellStyle name="Normal 5 2 2 2 2 3 2 5" xfId="9417" xr:uid="{00000000-0005-0000-0000-00009B430000}"/>
    <cellStyle name="Normal 5 2 2 2 2 3 2 6" xfId="26287" xr:uid="{273D5C66-FC1B-4CE9-80BC-1ADAECF395A2}"/>
    <cellStyle name="Normal 5 2 2 2 2 3 3" xfId="1305" xr:uid="{00000000-0005-0000-0000-00009C430000}"/>
    <cellStyle name="Normal 5 2 2 2 2 3 3 2" xfId="3535" xr:uid="{00000000-0005-0000-0000-00009D430000}"/>
    <cellStyle name="Normal 5 2 2 2 2 3 3 2 2" xfId="7758" xr:uid="{00000000-0005-0000-0000-00009E430000}"/>
    <cellStyle name="Normal 5 2 2 2 2 3 3 2 2 2" xfId="24628" xr:uid="{00000000-0005-0000-0000-00009F430000}"/>
    <cellStyle name="Normal 5 2 2 2 2 3 3 2 2 2 2" xfId="41496" xr:uid="{2A0DB167-9011-46BE-84A0-296D96D925EC}"/>
    <cellStyle name="Normal 5 2 2 2 2 3 3 2 2 3" xfId="16193" xr:uid="{00000000-0005-0000-0000-0000A0430000}"/>
    <cellStyle name="Normal 5 2 2 2 2 3 3 2 2 4" xfId="33062" xr:uid="{2E808941-CD18-4A71-9BF2-7BC41A2D466B}"/>
    <cellStyle name="Normal 5 2 2 2 2 3 3 2 3" xfId="20410" xr:uid="{00000000-0005-0000-0000-0000A1430000}"/>
    <cellStyle name="Normal 5 2 2 2 2 3 3 2 3 2" xfId="37279" xr:uid="{E5851254-3C63-43B8-9656-239E5EF5C84B}"/>
    <cellStyle name="Normal 5 2 2 2 2 3 3 2 4" xfId="11975" xr:uid="{00000000-0005-0000-0000-0000A2430000}"/>
    <cellStyle name="Normal 5 2 2 2 2 3 3 2 5" xfId="28845" xr:uid="{C47201D4-D285-4608-9C4E-2D00B3D5D433}"/>
    <cellStyle name="Normal 5 2 2 2 2 3 3 3" xfId="5613" xr:uid="{00000000-0005-0000-0000-0000A3430000}"/>
    <cellStyle name="Normal 5 2 2 2 2 3 3 3 2" xfId="22483" xr:uid="{00000000-0005-0000-0000-0000A4430000}"/>
    <cellStyle name="Normal 5 2 2 2 2 3 3 3 2 2" xfId="39351" xr:uid="{A3EC30D3-E0E4-42C4-A06E-B93EA7A03C07}"/>
    <cellStyle name="Normal 5 2 2 2 2 3 3 3 3" xfId="14048" xr:uid="{00000000-0005-0000-0000-0000A5430000}"/>
    <cellStyle name="Normal 5 2 2 2 2 3 3 3 4" xfId="30917" xr:uid="{C6694E79-B536-403B-AC86-4B28BA23B607}"/>
    <cellStyle name="Normal 5 2 2 2 2 3 3 4" xfId="18265" xr:uid="{00000000-0005-0000-0000-0000A6430000}"/>
    <cellStyle name="Normal 5 2 2 2 2 3 3 4 2" xfId="35134" xr:uid="{D0B8F198-7278-4ED1-B9A2-BCB24EAA8506}"/>
    <cellStyle name="Normal 5 2 2 2 2 3 3 5" xfId="9830" xr:uid="{00000000-0005-0000-0000-0000A7430000}"/>
    <cellStyle name="Normal 5 2 2 2 2 3 3 6" xfId="26700" xr:uid="{9FA9BF88-770A-484F-8AC7-FD454FAD3631}"/>
    <cellStyle name="Normal 5 2 2 2 2 3 4" xfId="1718" xr:uid="{00000000-0005-0000-0000-0000A8430000}"/>
    <cellStyle name="Normal 5 2 2 2 2 3 4 2" xfId="3948" xr:uid="{00000000-0005-0000-0000-0000A9430000}"/>
    <cellStyle name="Normal 5 2 2 2 2 3 4 2 2" xfId="8171" xr:uid="{00000000-0005-0000-0000-0000AA430000}"/>
    <cellStyle name="Normal 5 2 2 2 2 3 4 2 2 2" xfId="25041" xr:uid="{00000000-0005-0000-0000-0000AB430000}"/>
    <cellStyle name="Normal 5 2 2 2 2 3 4 2 2 2 2" xfId="41909" xr:uid="{B525401C-8848-4977-A15B-C1CF71E23B65}"/>
    <cellStyle name="Normal 5 2 2 2 2 3 4 2 2 3" xfId="16606" xr:uid="{00000000-0005-0000-0000-0000AC430000}"/>
    <cellStyle name="Normal 5 2 2 2 2 3 4 2 2 4" xfId="33475" xr:uid="{1BD1DE64-7E4B-48B3-9D02-2E96D051EC57}"/>
    <cellStyle name="Normal 5 2 2 2 2 3 4 2 3" xfId="20823" xr:uid="{00000000-0005-0000-0000-0000AD430000}"/>
    <cellStyle name="Normal 5 2 2 2 2 3 4 2 3 2" xfId="37692" xr:uid="{4AFCA05C-77CF-4EA0-B26A-C29544155D2B}"/>
    <cellStyle name="Normal 5 2 2 2 2 3 4 2 4" xfId="12388" xr:uid="{00000000-0005-0000-0000-0000AE430000}"/>
    <cellStyle name="Normal 5 2 2 2 2 3 4 2 5" xfId="29258" xr:uid="{54877BE3-92EE-4753-9BB4-534227BBD6B6}"/>
    <cellStyle name="Normal 5 2 2 2 2 3 4 3" xfId="6026" xr:uid="{00000000-0005-0000-0000-0000AF430000}"/>
    <cellStyle name="Normal 5 2 2 2 2 3 4 3 2" xfId="22896" xr:uid="{00000000-0005-0000-0000-0000B0430000}"/>
    <cellStyle name="Normal 5 2 2 2 2 3 4 3 2 2" xfId="39764" xr:uid="{52F1EEC3-F007-444D-B055-5E930795A75A}"/>
    <cellStyle name="Normal 5 2 2 2 2 3 4 3 3" xfId="14461" xr:uid="{00000000-0005-0000-0000-0000B1430000}"/>
    <cellStyle name="Normal 5 2 2 2 2 3 4 3 4" xfId="31330" xr:uid="{4FCE515B-4037-4286-88B2-F55A4B7A45E2}"/>
    <cellStyle name="Normal 5 2 2 2 2 3 4 4" xfId="18678" xr:uid="{00000000-0005-0000-0000-0000B2430000}"/>
    <cellStyle name="Normal 5 2 2 2 2 3 4 4 2" xfId="35547" xr:uid="{253CA4E5-750D-4361-8746-9265D91644D7}"/>
    <cellStyle name="Normal 5 2 2 2 2 3 4 5" xfId="10243" xr:uid="{00000000-0005-0000-0000-0000B3430000}"/>
    <cellStyle name="Normal 5 2 2 2 2 3 4 6" xfId="27113" xr:uid="{444654F3-9541-402F-ADA8-C41604145D91}"/>
    <cellStyle name="Normal 5 2 2 2 2 3 5" xfId="2132" xr:uid="{00000000-0005-0000-0000-0000B4430000}"/>
    <cellStyle name="Normal 5 2 2 2 2 3 5 2" xfId="4361" xr:uid="{00000000-0005-0000-0000-0000B5430000}"/>
    <cellStyle name="Normal 5 2 2 2 2 3 5 2 2" xfId="8584" xr:uid="{00000000-0005-0000-0000-0000B6430000}"/>
    <cellStyle name="Normal 5 2 2 2 2 3 5 2 2 2" xfId="25454" xr:uid="{00000000-0005-0000-0000-0000B7430000}"/>
    <cellStyle name="Normal 5 2 2 2 2 3 5 2 2 2 2" xfId="42322" xr:uid="{739EC492-D26F-4B7F-9FE9-926C951606A7}"/>
    <cellStyle name="Normal 5 2 2 2 2 3 5 2 2 3" xfId="17019" xr:uid="{00000000-0005-0000-0000-0000B8430000}"/>
    <cellStyle name="Normal 5 2 2 2 2 3 5 2 2 4" xfId="33888" xr:uid="{4C361274-F38F-4B4C-B0C8-F2AAB00EC911}"/>
    <cellStyle name="Normal 5 2 2 2 2 3 5 2 3" xfId="21236" xr:uid="{00000000-0005-0000-0000-0000B9430000}"/>
    <cellStyle name="Normal 5 2 2 2 2 3 5 2 3 2" xfId="38105" xr:uid="{B166D6E8-AA94-47B4-A3BA-EBE5EBE479D1}"/>
    <cellStyle name="Normal 5 2 2 2 2 3 5 2 4" xfId="12801" xr:uid="{00000000-0005-0000-0000-0000BA430000}"/>
    <cellStyle name="Normal 5 2 2 2 2 3 5 2 5" xfId="29671" xr:uid="{1B5C0DA1-BD86-4FE7-91DA-8567119F169D}"/>
    <cellStyle name="Normal 5 2 2 2 2 3 5 3" xfId="6439" xr:uid="{00000000-0005-0000-0000-0000BB430000}"/>
    <cellStyle name="Normal 5 2 2 2 2 3 5 3 2" xfId="23309" xr:uid="{00000000-0005-0000-0000-0000BC430000}"/>
    <cellStyle name="Normal 5 2 2 2 2 3 5 3 2 2" xfId="40177" xr:uid="{59C90DE7-394F-4A27-80A0-3DABD283EFBC}"/>
    <cellStyle name="Normal 5 2 2 2 2 3 5 3 3" xfId="14874" xr:uid="{00000000-0005-0000-0000-0000BD430000}"/>
    <cellStyle name="Normal 5 2 2 2 2 3 5 3 4" xfId="31743" xr:uid="{6466ED2E-FA13-4CA1-94A5-96A1312298BF}"/>
    <cellStyle name="Normal 5 2 2 2 2 3 5 4" xfId="19091" xr:uid="{00000000-0005-0000-0000-0000BE430000}"/>
    <cellStyle name="Normal 5 2 2 2 2 3 5 4 2" xfId="35960" xr:uid="{32067E5A-48D7-4B3A-BD30-959D91BD5406}"/>
    <cellStyle name="Normal 5 2 2 2 2 3 5 5" xfId="10656" xr:uid="{00000000-0005-0000-0000-0000BF430000}"/>
    <cellStyle name="Normal 5 2 2 2 2 3 5 6" xfId="27526" xr:uid="{B1F37BD8-D29F-4708-B003-78390ABE33E7}"/>
    <cellStyle name="Normal 5 2 2 2 2 3 6" xfId="2568" xr:uid="{00000000-0005-0000-0000-0000C0430000}"/>
    <cellStyle name="Normal 5 2 2 2 2 3 6 2" xfId="6852" xr:uid="{00000000-0005-0000-0000-0000C1430000}"/>
    <cellStyle name="Normal 5 2 2 2 2 3 6 2 2" xfId="23722" xr:uid="{00000000-0005-0000-0000-0000C2430000}"/>
    <cellStyle name="Normal 5 2 2 2 2 3 6 2 2 2" xfId="40590" xr:uid="{AC31C42C-F1AC-4645-898E-ADC3C4042704}"/>
    <cellStyle name="Normal 5 2 2 2 2 3 6 2 3" xfId="15287" xr:uid="{00000000-0005-0000-0000-0000C3430000}"/>
    <cellStyle name="Normal 5 2 2 2 2 3 6 2 4" xfId="32156" xr:uid="{A270203B-A739-4878-8EA4-86327A7552EF}"/>
    <cellStyle name="Normal 5 2 2 2 2 3 6 3" xfId="19504" xr:uid="{00000000-0005-0000-0000-0000C4430000}"/>
    <cellStyle name="Normal 5 2 2 2 2 3 6 3 2" xfId="36373" xr:uid="{75A0352A-7557-4365-952E-CFD44EF7F439}"/>
    <cellStyle name="Normal 5 2 2 2 2 3 6 4" xfId="11069" xr:uid="{00000000-0005-0000-0000-0000C5430000}"/>
    <cellStyle name="Normal 5 2 2 2 2 3 6 5" xfId="27939" xr:uid="{49FBC498-D9BB-4B3E-A6E5-0B5BEA249D0A}"/>
    <cellStyle name="Normal 5 2 2 2 2 3 7" xfId="4787" xr:uid="{00000000-0005-0000-0000-0000C6430000}"/>
    <cellStyle name="Normal 5 2 2 2 2 3 7 2" xfId="21657" xr:uid="{00000000-0005-0000-0000-0000C7430000}"/>
    <cellStyle name="Normal 5 2 2 2 2 3 7 2 2" xfId="38525" xr:uid="{18B86BA1-6573-4467-B1F6-52ECC6FA014A}"/>
    <cellStyle name="Normal 5 2 2 2 2 3 7 3" xfId="13222" xr:uid="{00000000-0005-0000-0000-0000C8430000}"/>
    <cellStyle name="Normal 5 2 2 2 2 3 7 4" xfId="30091" xr:uid="{DDA173D8-0DB8-4FAB-B1F1-9BBF528D07E4}"/>
    <cellStyle name="Normal 5 2 2 2 2 3 8" xfId="17439" xr:uid="{00000000-0005-0000-0000-0000C9430000}"/>
    <cellStyle name="Normal 5 2 2 2 2 3 8 2" xfId="34308" xr:uid="{07D49CD6-789C-4134-BCAA-B1C79E974CEF}"/>
    <cellStyle name="Normal 5 2 2 2 2 3 9" xfId="9004" xr:uid="{00000000-0005-0000-0000-0000CA430000}"/>
    <cellStyle name="Normal 5 2 2 2 2 4" xfId="884" xr:uid="{00000000-0005-0000-0000-0000CB430000}"/>
    <cellStyle name="Normal 5 2 2 2 2 4 2" xfId="3119" xr:uid="{00000000-0005-0000-0000-0000CC430000}"/>
    <cellStyle name="Normal 5 2 2 2 2 4 2 2" xfId="7342" xr:uid="{00000000-0005-0000-0000-0000CD430000}"/>
    <cellStyle name="Normal 5 2 2 2 2 4 2 2 2" xfId="24212" xr:uid="{00000000-0005-0000-0000-0000CE430000}"/>
    <cellStyle name="Normal 5 2 2 2 2 4 2 2 2 2" xfId="41080" xr:uid="{AC824408-EEC9-48DC-BA65-010F2AAF27EF}"/>
    <cellStyle name="Normal 5 2 2 2 2 4 2 2 3" xfId="15777" xr:uid="{00000000-0005-0000-0000-0000CF430000}"/>
    <cellStyle name="Normal 5 2 2 2 2 4 2 2 4" xfId="32646" xr:uid="{C10B2996-5A6C-47C7-B8BF-87E151A2DA14}"/>
    <cellStyle name="Normal 5 2 2 2 2 4 2 3" xfId="19994" xr:uid="{00000000-0005-0000-0000-0000D0430000}"/>
    <cellStyle name="Normal 5 2 2 2 2 4 2 3 2" xfId="36863" xr:uid="{8D380B51-A743-4B7A-961A-E841617FDE09}"/>
    <cellStyle name="Normal 5 2 2 2 2 4 2 4" xfId="11559" xr:uid="{00000000-0005-0000-0000-0000D1430000}"/>
    <cellStyle name="Normal 5 2 2 2 2 4 2 5" xfId="28429" xr:uid="{B6A8365C-9C01-4DEC-BB03-6CFCF559572D}"/>
    <cellStyle name="Normal 5 2 2 2 2 4 3" xfId="5197" xr:uid="{00000000-0005-0000-0000-0000D2430000}"/>
    <cellStyle name="Normal 5 2 2 2 2 4 3 2" xfId="22067" xr:uid="{00000000-0005-0000-0000-0000D3430000}"/>
    <cellStyle name="Normal 5 2 2 2 2 4 3 2 2" xfId="38935" xr:uid="{FF738227-65A7-430F-887D-420FA7C3E8DA}"/>
    <cellStyle name="Normal 5 2 2 2 2 4 3 3" xfId="13632" xr:uid="{00000000-0005-0000-0000-0000D4430000}"/>
    <cellStyle name="Normal 5 2 2 2 2 4 3 4" xfId="30501" xr:uid="{116160B6-CA71-41A7-8527-7424BE87B145}"/>
    <cellStyle name="Normal 5 2 2 2 2 4 4" xfId="17849" xr:uid="{00000000-0005-0000-0000-0000D5430000}"/>
    <cellStyle name="Normal 5 2 2 2 2 4 4 2" xfId="34718" xr:uid="{B04DFCA1-6913-4822-B121-6E86ABA44A70}"/>
    <cellStyle name="Normal 5 2 2 2 2 4 5" xfId="9414" xr:uid="{00000000-0005-0000-0000-0000D6430000}"/>
    <cellStyle name="Normal 5 2 2 2 2 4 6" xfId="26284" xr:uid="{0DCE8177-8700-409E-AEBB-CB50E7B58007}"/>
    <cellStyle name="Normal 5 2 2 2 2 5" xfId="1302" xr:uid="{00000000-0005-0000-0000-0000D7430000}"/>
    <cellStyle name="Normal 5 2 2 2 2 5 2" xfId="3532" xr:uid="{00000000-0005-0000-0000-0000D8430000}"/>
    <cellStyle name="Normal 5 2 2 2 2 5 2 2" xfId="7755" xr:uid="{00000000-0005-0000-0000-0000D9430000}"/>
    <cellStyle name="Normal 5 2 2 2 2 5 2 2 2" xfId="24625" xr:uid="{00000000-0005-0000-0000-0000DA430000}"/>
    <cellStyle name="Normal 5 2 2 2 2 5 2 2 2 2" xfId="41493" xr:uid="{5C68257D-420E-48C3-BBCB-85BCA110B50D}"/>
    <cellStyle name="Normal 5 2 2 2 2 5 2 2 3" xfId="16190" xr:uid="{00000000-0005-0000-0000-0000DB430000}"/>
    <cellStyle name="Normal 5 2 2 2 2 5 2 2 4" xfId="33059" xr:uid="{F219F08E-394C-4B35-A968-ED97AC31CE48}"/>
    <cellStyle name="Normal 5 2 2 2 2 5 2 3" xfId="20407" xr:uid="{00000000-0005-0000-0000-0000DC430000}"/>
    <cellStyle name="Normal 5 2 2 2 2 5 2 3 2" xfId="37276" xr:uid="{C39979F7-F9D7-492C-A53D-1C800E15EDDB}"/>
    <cellStyle name="Normal 5 2 2 2 2 5 2 4" xfId="11972" xr:uid="{00000000-0005-0000-0000-0000DD430000}"/>
    <cellStyle name="Normal 5 2 2 2 2 5 2 5" xfId="28842" xr:uid="{FDF49C85-5E93-4277-ACC1-FD7A4E53D045}"/>
    <cellStyle name="Normal 5 2 2 2 2 5 3" xfId="5610" xr:uid="{00000000-0005-0000-0000-0000DE430000}"/>
    <cellStyle name="Normal 5 2 2 2 2 5 3 2" xfId="22480" xr:uid="{00000000-0005-0000-0000-0000DF430000}"/>
    <cellStyle name="Normal 5 2 2 2 2 5 3 2 2" xfId="39348" xr:uid="{E01B4546-DE2F-4643-8147-0CC0FFAA006F}"/>
    <cellStyle name="Normal 5 2 2 2 2 5 3 3" xfId="14045" xr:uid="{00000000-0005-0000-0000-0000E0430000}"/>
    <cellStyle name="Normal 5 2 2 2 2 5 3 4" xfId="30914" xr:uid="{15109A6E-4A00-43B4-BB27-5B1E5BDCBC6E}"/>
    <cellStyle name="Normal 5 2 2 2 2 5 4" xfId="18262" xr:uid="{00000000-0005-0000-0000-0000E1430000}"/>
    <cellStyle name="Normal 5 2 2 2 2 5 4 2" xfId="35131" xr:uid="{F50A3092-6404-4C2F-BF32-6632807EEE2D}"/>
    <cellStyle name="Normal 5 2 2 2 2 5 5" xfId="9827" xr:uid="{00000000-0005-0000-0000-0000E2430000}"/>
    <cellStyle name="Normal 5 2 2 2 2 5 6" xfId="26697" xr:uid="{1554097A-06DA-41BC-8ED7-7AA328006238}"/>
    <cellStyle name="Normal 5 2 2 2 2 6" xfId="1715" xr:uid="{00000000-0005-0000-0000-0000E3430000}"/>
    <cellStyle name="Normal 5 2 2 2 2 6 2" xfId="3945" xr:uid="{00000000-0005-0000-0000-0000E4430000}"/>
    <cellStyle name="Normal 5 2 2 2 2 6 2 2" xfId="8168" xr:uid="{00000000-0005-0000-0000-0000E5430000}"/>
    <cellStyle name="Normal 5 2 2 2 2 6 2 2 2" xfId="25038" xr:uid="{00000000-0005-0000-0000-0000E6430000}"/>
    <cellStyle name="Normal 5 2 2 2 2 6 2 2 2 2" xfId="41906" xr:uid="{DAF2F3CB-0852-4DC5-8047-F6C76BE0F1DA}"/>
    <cellStyle name="Normal 5 2 2 2 2 6 2 2 3" xfId="16603" xr:uid="{00000000-0005-0000-0000-0000E7430000}"/>
    <cellStyle name="Normal 5 2 2 2 2 6 2 2 4" xfId="33472" xr:uid="{C4FA81D9-CD25-4B54-930A-1535CD47EB12}"/>
    <cellStyle name="Normal 5 2 2 2 2 6 2 3" xfId="20820" xr:uid="{00000000-0005-0000-0000-0000E8430000}"/>
    <cellStyle name="Normal 5 2 2 2 2 6 2 3 2" xfId="37689" xr:uid="{5E977681-BFE1-4741-946F-3DBA3C08F99F}"/>
    <cellStyle name="Normal 5 2 2 2 2 6 2 4" xfId="12385" xr:uid="{00000000-0005-0000-0000-0000E9430000}"/>
    <cellStyle name="Normal 5 2 2 2 2 6 2 5" xfId="29255" xr:uid="{F7025380-CA53-4C73-95BF-6622052309ED}"/>
    <cellStyle name="Normal 5 2 2 2 2 6 3" xfId="6023" xr:uid="{00000000-0005-0000-0000-0000EA430000}"/>
    <cellStyle name="Normal 5 2 2 2 2 6 3 2" xfId="22893" xr:uid="{00000000-0005-0000-0000-0000EB430000}"/>
    <cellStyle name="Normal 5 2 2 2 2 6 3 2 2" xfId="39761" xr:uid="{45D298B7-FD05-4E6E-BEFD-61ADEB97B0A9}"/>
    <cellStyle name="Normal 5 2 2 2 2 6 3 3" xfId="14458" xr:uid="{00000000-0005-0000-0000-0000EC430000}"/>
    <cellStyle name="Normal 5 2 2 2 2 6 3 4" xfId="31327" xr:uid="{26C40A2C-F250-45F3-A4E4-00CFD69834DE}"/>
    <cellStyle name="Normal 5 2 2 2 2 6 4" xfId="18675" xr:uid="{00000000-0005-0000-0000-0000ED430000}"/>
    <cellStyle name="Normal 5 2 2 2 2 6 4 2" xfId="35544" xr:uid="{63F23A8C-48FF-4C62-9F3D-297C1E208B39}"/>
    <cellStyle name="Normal 5 2 2 2 2 6 5" xfId="10240" xr:uid="{00000000-0005-0000-0000-0000EE430000}"/>
    <cellStyle name="Normal 5 2 2 2 2 6 6" xfId="27110" xr:uid="{A9B68A34-953C-4E31-A6F9-AF88B1BBE52C}"/>
    <cellStyle name="Normal 5 2 2 2 2 7" xfId="2129" xr:uid="{00000000-0005-0000-0000-0000EF430000}"/>
    <cellStyle name="Normal 5 2 2 2 2 7 2" xfId="4358" xr:uid="{00000000-0005-0000-0000-0000F0430000}"/>
    <cellStyle name="Normal 5 2 2 2 2 7 2 2" xfId="8581" xr:uid="{00000000-0005-0000-0000-0000F1430000}"/>
    <cellStyle name="Normal 5 2 2 2 2 7 2 2 2" xfId="25451" xr:uid="{00000000-0005-0000-0000-0000F2430000}"/>
    <cellStyle name="Normal 5 2 2 2 2 7 2 2 2 2" xfId="42319" xr:uid="{1D16CAFC-5504-4A14-B5DE-5C4BC7328BA1}"/>
    <cellStyle name="Normal 5 2 2 2 2 7 2 2 3" xfId="17016" xr:uid="{00000000-0005-0000-0000-0000F3430000}"/>
    <cellStyle name="Normal 5 2 2 2 2 7 2 2 4" xfId="33885" xr:uid="{C6C3BAD3-6671-41F8-8D85-6D0BA8B055F5}"/>
    <cellStyle name="Normal 5 2 2 2 2 7 2 3" xfId="21233" xr:uid="{00000000-0005-0000-0000-0000F4430000}"/>
    <cellStyle name="Normal 5 2 2 2 2 7 2 3 2" xfId="38102" xr:uid="{23682350-4F2B-4D0B-9490-B02A0D76F459}"/>
    <cellStyle name="Normal 5 2 2 2 2 7 2 4" xfId="12798" xr:uid="{00000000-0005-0000-0000-0000F5430000}"/>
    <cellStyle name="Normal 5 2 2 2 2 7 2 5" xfId="29668" xr:uid="{057E0B71-0ED5-4407-BC9E-E70F910AB021}"/>
    <cellStyle name="Normal 5 2 2 2 2 7 3" xfId="6436" xr:uid="{00000000-0005-0000-0000-0000F6430000}"/>
    <cellStyle name="Normal 5 2 2 2 2 7 3 2" xfId="23306" xr:uid="{00000000-0005-0000-0000-0000F7430000}"/>
    <cellStyle name="Normal 5 2 2 2 2 7 3 2 2" xfId="40174" xr:uid="{11EB6A66-4A50-42DE-81FC-B7E5EA8ACD65}"/>
    <cellStyle name="Normal 5 2 2 2 2 7 3 3" xfId="14871" xr:uid="{00000000-0005-0000-0000-0000F8430000}"/>
    <cellStyle name="Normal 5 2 2 2 2 7 3 4" xfId="31740" xr:uid="{D5371A59-6FD6-4873-9D5D-0CC8C8AE9124}"/>
    <cellStyle name="Normal 5 2 2 2 2 7 4" xfId="19088" xr:uid="{00000000-0005-0000-0000-0000F9430000}"/>
    <cellStyle name="Normal 5 2 2 2 2 7 4 2" xfId="35957" xr:uid="{9818352A-05DB-45F7-B2C4-49350D17320E}"/>
    <cellStyle name="Normal 5 2 2 2 2 7 5" xfId="10653" xr:uid="{00000000-0005-0000-0000-0000FA430000}"/>
    <cellStyle name="Normal 5 2 2 2 2 7 6" xfId="27523" xr:uid="{9AC24AC1-5FC6-4783-8884-7E154B99CC0D}"/>
    <cellStyle name="Normal 5 2 2 2 2 8" xfId="2565" xr:uid="{00000000-0005-0000-0000-0000FB430000}"/>
    <cellStyle name="Normal 5 2 2 2 2 8 2" xfId="6849" xr:uid="{00000000-0005-0000-0000-0000FC430000}"/>
    <cellStyle name="Normal 5 2 2 2 2 8 2 2" xfId="23719" xr:uid="{00000000-0005-0000-0000-0000FD430000}"/>
    <cellStyle name="Normal 5 2 2 2 2 8 2 2 2" xfId="40587" xr:uid="{A21D19FE-11EF-4C08-88C9-C399DAD3323A}"/>
    <cellStyle name="Normal 5 2 2 2 2 8 2 3" xfId="15284" xr:uid="{00000000-0005-0000-0000-0000FE430000}"/>
    <cellStyle name="Normal 5 2 2 2 2 8 2 4" xfId="32153" xr:uid="{D743DA01-677F-4A0B-8F3D-25367E99F59C}"/>
    <cellStyle name="Normal 5 2 2 2 2 8 3" xfId="19501" xr:uid="{00000000-0005-0000-0000-0000FF430000}"/>
    <cellStyle name="Normal 5 2 2 2 2 8 3 2" xfId="36370" xr:uid="{431924E5-5924-4FC2-959F-D7F17B476FEB}"/>
    <cellStyle name="Normal 5 2 2 2 2 8 4" xfId="11066" xr:uid="{00000000-0005-0000-0000-000000440000}"/>
    <cellStyle name="Normal 5 2 2 2 2 8 5" xfId="27936" xr:uid="{464744AB-12FC-4899-93A2-6626C3E2902F}"/>
    <cellStyle name="Normal 5 2 2 2 2 9" xfId="4784" xr:uid="{00000000-0005-0000-0000-000001440000}"/>
    <cellStyle name="Normal 5 2 2 2 2 9 2" xfId="21654" xr:uid="{00000000-0005-0000-0000-000002440000}"/>
    <cellStyle name="Normal 5 2 2 2 2 9 2 2" xfId="38522" xr:uid="{B7862997-FFED-42C3-B068-4D1455EFF923}"/>
    <cellStyle name="Normal 5 2 2 2 2 9 3" xfId="13219" xr:uid="{00000000-0005-0000-0000-000003440000}"/>
    <cellStyle name="Normal 5 2 2 2 2 9 4" xfId="30088" xr:uid="{079D4A86-8441-42F1-9AC7-9E0BB1BC21BB}"/>
    <cellStyle name="Normal 5 2 2 2 3" xfId="414" xr:uid="{00000000-0005-0000-0000-000004440000}"/>
    <cellStyle name="Normal 5 2 2 2 3 10" xfId="9005" xr:uid="{00000000-0005-0000-0000-000005440000}"/>
    <cellStyle name="Normal 5 2 2 2 3 11" xfId="25875" xr:uid="{CC6E05B1-A8BB-4EB2-9200-9BFB8C8482BF}"/>
    <cellStyle name="Normal 5 2 2 2 3 2" xfId="415" xr:uid="{00000000-0005-0000-0000-000006440000}"/>
    <cellStyle name="Normal 5 2 2 2 3 2 10" xfId="25876" xr:uid="{7235397F-73BA-4CFA-B5A2-7762C70A87F3}"/>
    <cellStyle name="Normal 5 2 2 2 3 2 2" xfId="889" xr:uid="{00000000-0005-0000-0000-000007440000}"/>
    <cellStyle name="Normal 5 2 2 2 3 2 2 2" xfId="3124" xr:uid="{00000000-0005-0000-0000-000008440000}"/>
    <cellStyle name="Normal 5 2 2 2 3 2 2 2 2" xfId="7347" xr:uid="{00000000-0005-0000-0000-000009440000}"/>
    <cellStyle name="Normal 5 2 2 2 3 2 2 2 2 2" xfId="24217" xr:uid="{00000000-0005-0000-0000-00000A440000}"/>
    <cellStyle name="Normal 5 2 2 2 3 2 2 2 2 2 2" xfId="41085" xr:uid="{8D1DBDE5-BA76-43D9-BAE7-9DEB21155780}"/>
    <cellStyle name="Normal 5 2 2 2 3 2 2 2 2 3" xfId="15782" xr:uid="{00000000-0005-0000-0000-00000B440000}"/>
    <cellStyle name="Normal 5 2 2 2 3 2 2 2 2 4" xfId="32651" xr:uid="{60D41E24-B9DC-4790-AE90-1ACC9CA64986}"/>
    <cellStyle name="Normal 5 2 2 2 3 2 2 2 3" xfId="19999" xr:uid="{00000000-0005-0000-0000-00000C440000}"/>
    <cellStyle name="Normal 5 2 2 2 3 2 2 2 3 2" xfId="36868" xr:uid="{1FBE35B3-62D4-4476-99CD-548DA8B6767B}"/>
    <cellStyle name="Normal 5 2 2 2 3 2 2 2 4" xfId="11564" xr:uid="{00000000-0005-0000-0000-00000D440000}"/>
    <cellStyle name="Normal 5 2 2 2 3 2 2 2 5" xfId="28434" xr:uid="{DC2A3A39-512B-4B75-940C-3B130E3F3CD7}"/>
    <cellStyle name="Normal 5 2 2 2 3 2 2 3" xfId="5202" xr:uid="{00000000-0005-0000-0000-00000E440000}"/>
    <cellStyle name="Normal 5 2 2 2 3 2 2 3 2" xfId="22072" xr:uid="{00000000-0005-0000-0000-00000F440000}"/>
    <cellStyle name="Normal 5 2 2 2 3 2 2 3 2 2" xfId="38940" xr:uid="{9B1284B6-21F3-48C5-9F36-715FBA403FE7}"/>
    <cellStyle name="Normal 5 2 2 2 3 2 2 3 3" xfId="13637" xr:uid="{00000000-0005-0000-0000-000010440000}"/>
    <cellStyle name="Normal 5 2 2 2 3 2 2 3 4" xfId="30506" xr:uid="{68DD5BD5-ABCE-4620-89F3-C5A193EB8101}"/>
    <cellStyle name="Normal 5 2 2 2 3 2 2 4" xfId="17854" xr:uid="{00000000-0005-0000-0000-000011440000}"/>
    <cellStyle name="Normal 5 2 2 2 3 2 2 4 2" xfId="34723" xr:uid="{7E649147-9C26-4F19-A72D-81F705D62A7D}"/>
    <cellStyle name="Normal 5 2 2 2 3 2 2 5" xfId="9419" xr:uid="{00000000-0005-0000-0000-000012440000}"/>
    <cellStyle name="Normal 5 2 2 2 3 2 2 6" xfId="26289" xr:uid="{47FED82E-8770-445E-80D7-C3BC0A8EE441}"/>
    <cellStyle name="Normal 5 2 2 2 3 2 3" xfId="1307" xr:uid="{00000000-0005-0000-0000-000013440000}"/>
    <cellStyle name="Normal 5 2 2 2 3 2 3 2" xfId="3537" xr:uid="{00000000-0005-0000-0000-000014440000}"/>
    <cellStyle name="Normal 5 2 2 2 3 2 3 2 2" xfId="7760" xr:uid="{00000000-0005-0000-0000-000015440000}"/>
    <cellStyle name="Normal 5 2 2 2 3 2 3 2 2 2" xfId="24630" xr:uid="{00000000-0005-0000-0000-000016440000}"/>
    <cellStyle name="Normal 5 2 2 2 3 2 3 2 2 2 2" xfId="41498" xr:uid="{8928426C-04B7-4AF6-ABE8-850A497926F9}"/>
    <cellStyle name="Normal 5 2 2 2 3 2 3 2 2 3" xfId="16195" xr:uid="{00000000-0005-0000-0000-000017440000}"/>
    <cellStyle name="Normal 5 2 2 2 3 2 3 2 2 4" xfId="33064" xr:uid="{1DBF3E78-C7F1-4B1C-B958-A0A084BE1D06}"/>
    <cellStyle name="Normal 5 2 2 2 3 2 3 2 3" xfId="20412" xr:uid="{00000000-0005-0000-0000-000018440000}"/>
    <cellStyle name="Normal 5 2 2 2 3 2 3 2 3 2" xfId="37281" xr:uid="{82A75D8E-E28B-4FBB-9AEE-7573FC2BC38E}"/>
    <cellStyle name="Normal 5 2 2 2 3 2 3 2 4" xfId="11977" xr:uid="{00000000-0005-0000-0000-000019440000}"/>
    <cellStyle name="Normal 5 2 2 2 3 2 3 2 5" xfId="28847" xr:uid="{64C4B2F1-1BAF-42A4-BB29-BC2518817DDE}"/>
    <cellStyle name="Normal 5 2 2 2 3 2 3 3" xfId="5615" xr:uid="{00000000-0005-0000-0000-00001A440000}"/>
    <cellStyle name="Normal 5 2 2 2 3 2 3 3 2" xfId="22485" xr:uid="{00000000-0005-0000-0000-00001B440000}"/>
    <cellStyle name="Normal 5 2 2 2 3 2 3 3 2 2" xfId="39353" xr:uid="{F27B5B6C-8E59-4682-9F2E-92A8D1F683F3}"/>
    <cellStyle name="Normal 5 2 2 2 3 2 3 3 3" xfId="14050" xr:uid="{00000000-0005-0000-0000-00001C440000}"/>
    <cellStyle name="Normal 5 2 2 2 3 2 3 3 4" xfId="30919" xr:uid="{B28723EB-1DDD-425B-905D-3179B334B435}"/>
    <cellStyle name="Normal 5 2 2 2 3 2 3 4" xfId="18267" xr:uid="{00000000-0005-0000-0000-00001D440000}"/>
    <cellStyle name="Normal 5 2 2 2 3 2 3 4 2" xfId="35136" xr:uid="{9EFBB629-C5EB-4F7F-BDA2-68A6E7FE1D3C}"/>
    <cellStyle name="Normal 5 2 2 2 3 2 3 5" xfId="9832" xr:uid="{00000000-0005-0000-0000-00001E440000}"/>
    <cellStyle name="Normal 5 2 2 2 3 2 3 6" xfId="26702" xr:uid="{C3829150-0CCD-476B-9FEF-085BA38A1F7C}"/>
    <cellStyle name="Normal 5 2 2 2 3 2 4" xfId="1720" xr:uid="{00000000-0005-0000-0000-00001F440000}"/>
    <cellStyle name="Normal 5 2 2 2 3 2 4 2" xfId="3950" xr:uid="{00000000-0005-0000-0000-000020440000}"/>
    <cellStyle name="Normal 5 2 2 2 3 2 4 2 2" xfId="8173" xr:uid="{00000000-0005-0000-0000-000021440000}"/>
    <cellStyle name="Normal 5 2 2 2 3 2 4 2 2 2" xfId="25043" xr:uid="{00000000-0005-0000-0000-000022440000}"/>
    <cellStyle name="Normal 5 2 2 2 3 2 4 2 2 2 2" xfId="41911" xr:uid="{28105766-E5CD-4439-88E0-12CD19A7054A}"/>
    <cellStyle name="Normal 5 2 2 2 3 2 4 2 2 3" xfId="16608" xr:uid="{00000000-0005-0000-0000-000023440000}"/>
    <cellStyle name="Normal 5 2 2 2 3 2 4 2 2 4" xfId="33477" xr:uid="{5F6B2802-B01A-4C4B-AA7B-08C8FBD2349D}"/>
    <cellStyle name="Normal 5 2 2 2 3 2 4 2 3" xfId="20825" xr:uid="{00000000-0005-0000-0000-000024440000}"/>
    <cellStyle name="Normal 5 2 2 2 3 2 4 2 3 2" xfId="37694" xr:uid="{BEB1E2E7-9CA7-413E-89FF-8743D109C084}"/>
    <cellStyle name="Normal 5 2 2 2 3 2 4 2 4" xfId="12390" xr:uid="{00000000-0005-0000-0000-000025440000}"/>
    <cellStyle name="Normal 5 2 2 2 3 2 4 2 5" xfId="29260" xr:uid="{E48730A9-5176-48F9-854C-D8205A71A359}"/>
    <cellStyle name="Normal 5 2 2 2 3 2 4 3" xfId="6028" xr:uid="{00000000-0005-0000-0000-000026440000}"/>
    <cellStyle name="Normal 5 2 2 2 3 2 4 3 2" xfId="22898" xr:uid="{00000000-0005-0000-0000-000027440000}"/>
    <cellStyle name="Normal 5 2 2 2 3 2 4 3 2 2" xfId="39766" xr:uid="{7A044C0E-CA6E-423A-98E9-5A89453A047B}"/>
    <cellStyle name="Normal 5 2 2 2 3 2 4 3 3" xfId="14463" xr:uid="{00000000-0005-0000-0000-000028440000}"/>
    <cellStyle name="Normal 5 2 2 2 3 2 4 3 4" xfId="31332" xr:uid="{A6B9EC23-83F5-4B8D-9E2E-95F74A51CC10}"/>
    <cellStyle name="Normal 5 2 2 2 3 2 4 4" xfId="18680" xr:uid="{00000000-0005-0000-0000-000029440000}"/>
    <cellStyle name="Normal 5 2 2 2 3 2 4 4 2" xfId="35549" xr:uid="{C53DAE87-6217-48BA-A5DF-4D84D0244AED}"/>
    <cellStyle name="Normal 5 2 2 2 3 2 4 5" xfId="10245" xr:uid="{00000000-0005-0000-0000-00002A440000}"/>
    <cellStyle name="Normal 5 2 2 2 3 2 4 6" xfId="27115" xr:uid="{587D8453-7128-4C54-8AEA-716236595EE3}"/>
    <cellStyle name="Normal 5 2 2 2 3 2 5" xfId="2134" xr:uid="{00000000-0005-0000-0000-00002B440000}"/>
    <cellStyle name="Normal 5 2 2 2 3 2 5 2" xfId="4363" xr:uid="{00000000-0005-0000-0000-00002C440000}"/>
    <cellStyle name="Normal 5 2 2 2 3 2 5 2 2" xfId="8586" xr:uid="{00000000-0005-0000-0000-00002D440000}"/>
    <cellStyle name="Normal 5 2 2 2 3 2 5 2 2 2" xfId="25456" xr:uid="{00000000-0005-0000-0000-00002E440000}"/>
    <cellStyle name="Normal 5 2 2 2 3 2 5 2 2 2 2" xfId="42324" xr:uid="{F7424BEA-AA6E-43AE-8B7A-7D30290EC63F}"/>
    <cellStyle name="Normal 5 2 2 2 3 2 5 2 2 3" xfId="17021" xr:uid="{00000000-0005-0000-0000-00002F440000}"/>
    <cellStyle name="Normal 5 2 2 2 3 2 5 2 2 4" xfId="33890" xr:uid="{6E909A14-64FF-4B8C-B4AA-B77D417F3E25}"/>
    <cellStyle name="Normal 5 2 2 2 3 2 5 2 3" xfId="21238" xr:uid="{00000000-0005-0000-0000-000030440000}"/>
    <cellStyle name="Normal 5 2 2 2 3 2 5 2 3 2" xfId="38107" xr:uid="{91AEC77B-B27C-464D-A856-601862E1A001}"/>
    <cellStyle name="Normal 5 2 2 2 3 2 5 2 4" xfId="12803" xr:uid="{00000000-0005-0000-0000-000031440000}"/>
    <cellStyle name="Normal 5 2 2 2 3 2 5 2 5" xfId="29673" xr:uid="{0AA40BD0-1C1D-417E-BF97-5586CA6C9595}"/>
    <cellStyle name="Normal 5 2 2 2 3 2 5 3" xfId="6441" xr:uid="{00000000-0005-0000-0000-000032440000}"/>
    <cellStyle name="Normal 5 2 2 2 3 2 5 3 2" xfId="23311" xr:uid="{00000000-0005-0000-0000-000033440000}"/>
    <cellStyle name="Normal 5 2 2 2 3 2 5 3 2 2" xfId="40179" xr:uid="{9557CE38-231B-4509-9861-D990158C620D}"/>
    <cellStyle name="Normal 5 2 2 2 3 2 5 3 3" xfId="14876" xr:uid="{00000000-0005-0000-0000-000034440000}"/>
    <cellStyle name="Normal 5 2 2 2 3 2 5 3 4" xfId="31745" xr:uid="{EC7EF08D-4CD5-467C-A73B-4FE49F642DCA}"/>
    <cellStyle name="Normal 5 2 2 2 3 2 5 4" xfId="19093" xr:uid="{00000000-0005-0000-0000-000035440000}"/>
    <cellStyle name="Normal 5 2 2 2 3 2 5 4 2" xfId="35962" xr:uid="{3A95BA7A-4872-4203-BC36-D42B4996773C}"/>
    <cellStyle name="Normal 5 2 2 2 3 2 5 5" xfId="10658" xr:uid="{00000000-0005-0000-0000-000036440000}"/>
    <cellStyle name="Normal 5 2 2 2 3 2 5 6" xfId="27528" xr:uid="{D8C16917-5248-4F7A-9F65-0646A08BF35A}"/>
    <cellStyle name="Normal 5 2 2 2 3 2 6" xfId="2570" xr:uid="{00000000-0005-0000-0000-000037440000}"/>
    <cellStyle name="Normal 5 2 2 2 3 2 6 2" xfId="6854" xr:uid="{00000000-0005-0000-0000-000038440000}"/>
    <cellStyle name="Normal 5 2 2 2 3 2 6 2 2" xfId="23724" xr:uid="{00000000-0005-0000-0000-000039440000}"/>
    <cellStyle name="Normal 5 2 2 2 3 2 6 2 2 2" xfId="40592" xr:uid="{02387840-7547-4AB5-BD06-DD87CEAFBFB9}"/>
    <cellStyle name="Normal 5 2 2 2 3 2 6 2 3" xfId="15289" xr:uid="{00000000-0005-0000-0000-00003A440000}"/>
    <cellStyle name="Normal 5 2 2 2 3 2 6 2 4" xfId="32158" xr:uid="{0813601B-D3E9-4687-9C97-B0A8090DB355}"/>
    <cellStyle name="Normal 5 2 2 2 3 2 6 3" xfId="19506" xr:uid="{00000000-0005-0000-0000-00003B440000}"/>
    <cellStyle name="Normal 5 2 2 2 3 2 6 3 2" xfId="36375" xr:uid="{9E21DC08-9B3D-4CE6-9171-B7EA35A90384}"/>
    <cellStyle name="Normal 5 2 2 2 3 2 6 4" xfId="11071" xr:uid="{00000000-0005-0000-0000-00003C440000}"/>
    <cellStyle name="Normal 5 2 2 2 3 2 6 5" xfId="27941" xr:uid="{EE5E1D26-6D71-4F11-8259-1BEC1BFA97DD}"/>
    <cellStyle name="Normal 5 2 2 2 3 2 7" xfId="4789" xr:uid="{00000000-0005-0000-0000-00003D440000}"/>
    <cellStyle name="Normal 5 2 2 2 3 2 7 2" xfId="21659" xr:uid="{00000000-0005-0000-0000-00003E440000}"/>
    <cellStyle name="Normal 5 2 2 2 3 2 7 2 2" xfId="38527" xr:uid="{B66F6C2F-5B2E-498B-9D97-3EF0F3CA8B28}"/>
    <cellStyle name="Normal 5 2 2 2 3 2 7 3" xfId="13224" xr:uid="{00000000-0005-0000-0000-00003F440000}"/>
    <cellStyle name="Normal 5 2 2 2 3 2 7 4" xfId="30093" xr:uid="{AE8AB5FD-FDD0-45FF-8557-16E392B665BE}"/>
    <cellStyle name="Normal 5 2 2 2 3 2 8" xfId="17441" xr:uid="{00000000-0005-0000-0000-000040440000}"/>
    <cellStyle name="Normal 5 2 2 2 3 2 8 2" xfId="34310" xr:uid="{855F0385-9E2F-4CD5-9CE3-83306C6657BF}"/>
    <cellStyle name="Normal 5 2 2 2 3 2 9" xfId="9006" xr:uid="{00000000-0005-0000-0000-000041440000}"/>
    <cellStyle name="Normal 5 2 2 2 3 3" xfId="888" xr:uid="{00000000-0005-0000-0000-000042440000}"/>
    <cellStyle name="Normal 5 2 2 2 3 3 2" xfId="3123" xr:uid="{00000000-0005-0000-0000-000043440000}"/>
    <cellStyle name="Normal 5 2 2 2 3 3 2 2" xfId="7346" xr:uid="{00000000-0005-0000-0000-000044440000}"/>
    <cellStyle name="Normal 5 2 2 2 3 3 2 2 2" xfId="24216" xr:uid="{00000000-0005-0000-0000-000045440000}"/>
    <cellStyle name="Normal 5 2 2 2 3 3 2 2 2 2" xfId="41084" xr:uid="{0FD23129-3D5C-4804-A6CF-A09E9BE6785B}"/>
    <cellStyle name="Normal 5 2 2 2 3 3 2 2 3" xfId="15781" xr:uid="{00000000-0005-0000-0000-000046440000}"/>
    <cellStyle name="Normal 5 2 2 2 3 3 2 2 4" xfId="32650" xr:uid="{4A24ACC1-3231-4560-82C8-C83359B2961F}"/>
    <cellStyle name="Normal 5 2 2 2 3 3 2 3" xfId="19998" xr:uid="{00000000-0005-0000-0000-000047440000}"/>
    <cellStyle name="Normal 5 2 2 2 3 3 2 3 2" xfId="36867" xr:uid="{B23E1C45-05BD-4061-808E-9A696F277EE3}"/>
    <cellStyle name="Normal 5 2 2 2 3 3 2 4" xfId="11563" xr:uid="{00000000-0005-0000-0000-000048440000}"/>
    <cellStyle name="Normal 5 2 2 2 3 3 2 5" xfId="28433" xr:uid="{DB41E657-4870-497A-AD45-739FFC25FDF0}"/>
    <cellStyle name="Normal 5 2 2 2 3 3 3" xfId="5201" xr:uid="{00000000-0005-0000-0000-000049440000}"/>
    <cellStyle name="Normal 5 2 2 2 3 3 3 2" xfId="22071" xr:uid="{00000000-0005-0000-0000-00004A440000}"/>
    <cellStyle name="Normal 5 2 2 2 3 3 3 2 2" xfId="38939" xr:uid="{8C5D1FFD-A3EC-402A-ADD8-AD6F0543A18A}"/>
    <cellStyle name="Normal 5 2 2 2 3 3 3 3" xfId="13636" xr:uid="{00000000-0005-0000-0000-00004B440000}"/>
    <cellStyle name="Normal 5 2 2 2 3 3 3 4" xfId="30505" xr:uid="{B6576F61-6E2D-44FA-8D44-0E27104DEA5F}"/>
    <cellStyle name="Normal 5 2 2 2 3 3 4" xfId="17853" xr:uid="{00000000-0005-0000-0000-00004C440000}"/>
    <cellStyle name="Normal 5 2 2 2 3 3 4 2" xfId="34722" xr:uid="{ADDD21ED-D332-48A5-8E54-B71B5EED3003}"/>
    <cellStyle name="Normal 5 2 2 2 3 3 5" xfId="9418" xr:uid="{00000000-0005-0000-0000-00004D440000}"/>
    <cellStyle name="Normal 5 2 2 2 3 3 6" xfId="26288" xr:uid="{1B4B9309-06DD-4684-86CC-CA4AC9063CFD}"/>
    <cellStyle name="Normal 5 2 2 2 3 4" xfId="1306" xr:uid="{00000000-0005-0000-0000-00004E440000}"/>
    <cellStyle name="Normal 5 2 2 2 3 4 2" xfId="3536" xr:uid="{00000000-0005-0000-0000-00004F440000}"/>
    <cellStyle name="Normal 5 2 2 2 3 4 2 2" xfId="7759" xr:uid="{00000000-0005-0000-0000-000050440000}"/>
    <cellStyle name="Normal 5 2 2 2 3 4 2 2 2" xfId="24629" xr:uid="{00000000-0005-0000-0000-000051440000}"/>
    <cellStyle name="Normal 5 2 2 2 3 4 2 2 2 2" xfId="41497" xr:uid="{5F7820A9-EA0F-4A84-8174-077DD8E4E7E0}"/>
    <cellStyle name="Normal 5 2 2 2 3 4 2 2 3" xfId="16194" xr:uid="{00000000-0005-0000-0000-000052440000}"/>
    <cellStyle name="Normal 5 2 2 2 3 4 2 2 4" xfId="33063" xr:uid="{6254749D-0922-46CA-9A47-A806AA4A14AD}"/>
    <cellStyle name="Normal 5 2 2 2 3 4 2 3" xfId="20411" xr:uid="{00000000-0005-0000-0000-000053440000}"/>
    <cellStyle name="Normal 5 2 2 2 3 4 2 3 2" xfId="37280" xr:uid="{34BA3FF8-9488-4134-85EA-ED41EF8940F3}"/>
    <cellStyle name="Normal 5 2 2 2 3 4 2 4" xfId="11976" xr:uid="{00000000-0005-0000-0000-000054440000}"/>
    <cellStyle name="Normal 5 2 2 2 3 4 2 5" xfId="28846" xr:uid="{D2B4F8C0-4E12-4468-8206-CD6BA52C9014}"/>
    <cellStyle name="Normal 5 2 2 2 3 4 3" xfId="5614" xr:uid="{00000000-0005-0000-0000-000055440000}"/>
    <cellStyle name="Normal 5 2 2 2 3 4 3 2" xfId="22484" xr:uid="{00000000-0005-0000-0000-000056440000}"/>
    <cellStyle name="Normal 5 2 2 2 3 4 3 2 2" xfId="39352" xr:uid="{052FFB4F-82E3-421B-8EE5-9E5833B8243F}"/>
    <cellStyle name="Normal 5 2 2 2 3 4 3 3" xfId="14049" xr:uid="{00000000-0005-0000-0000-000057440000}"/>
    <cellStyle name="Normal 5 2 2 2 3 4 3 4" xfId="30918" xr:uid="{1DD2F691-32E3-474C-8AEF-C01521769633}"/>
    <cellStyle name="Normal 5 2 2 2 3 4 4" xfId="18266" xr:uid="{00000000-0005-0000-0000-000058440000}"/>
    <cellStyle name="Normal 5 2 2 2 3 4 4 2" xfId="35135" xr:uid="{2D0ABE4F-648C-4231-8F98-61CBC14F541A}"/>
    <cellStyle name="Normal 5 2 2 2 3 4 5" xfId="9831" xr:uid="{00000000-0005-0000-0000-000059440000}"/>
    <cellStyle name="Normal 5 2 2 2 3 4 6" xfId="26701" xr:uid="{F8B0951F-110C-42FD-8D08-C4DC3ACC63E8}"/>
    <cellStyle name="Normal 5 2 2 2 3 5" xfId="1719" xr:uid="{00000000-0005-0000-0000-00005A440000}"/>
    <cellStyle name="Normal 5 2 2 2 3 5 2" xfId="3949" xr:uid="{00000000-0005-0000-0000-00005B440000}"/>
    <cellStyle name="Normal 5 2 2 2 3 5 2 2" xfId="8172" xr:uid="{00000000-0005-0000-0000-00005C440000}"/>
    <cellStyle name="Normal 5 2 2 2 3 5 2 2 2" xfId="25042" xr:uid="{00000000-0005-0000-0000-00005D440000}"/>
    <cellStyle name="Normal 5 2 2 2 3 5 2 2 2 2" xfId="41910" xr:uid="{9BDF0CE8-9835-48B8-83A9-08F4C3E73F72}"/>
    <cellStyle name="Normal 5 2 2 2 3 5 2 2 3" xfId="16607" xr:uid="{00000000-0005-0000-0000-00005E440000}"/>
    <cellStyle name="Normal 5 2 2 2 3 5 2 2 4" xfId="33476" xr:uid="{6EAF0985-6847-4B83-9582-8FF6A093F085}"/>
    <cellStyle name="Normal 5 2 2 2 3 5 2 3" xfId="20824" xr:uid="{00000000-0005-0000-0000-00005F440000}"/>
    <cellStyle name="Normal 5 2 2 2 3 5 2 3 2" xfId="37693" xr:uid="{EBE6E4AC-E75C-4B56-A101-6596D9F11EAC}"/>
    <cellStyle name="Normal 5 2 2 2 3 5 2 4" xfId="12389" xr:uid="{00000000-0005-0000-0000-000060440000}"/>
    <cellStyle name="Normal 5 2 2 2 3 5 2 5" xfId="29259" xr:uid="{13E5BCBE-426C-4D4C-BE3D-B363585C56F5}"/>
    <cellStyle name="Normal 5 2 2 2 3 5 3" xfId="6027" xr:uid="{00000000-0005-0000-0000-000061440000}"/>
    <cellStyle name="Normal 5 2 2 2 3 5 3 2" xfId="22897" xr:uid="{00000000-0005-0000-0000-000062440000}"/>
    <cellStyle name="Normal 5 2 2 2 3 5 3 2 2" xfId="39765" xr:uid="{6B800956-83C9-4304-AD8A-C3F91DD1B2E9}"/>
    <cellStyle name="Normal 5 2 2 2 3 5 3 3" xfId="14462" xr:uid="{00000000-0005-0000-0000-000063440000}"/>
    <cellStyle name="Normal 5 2 2 2 3 5 3 4" xfId="31331" xr:uid="{4EB7CE88-5288-4780-8DD7-32F90A5C35BF}"/>
    <cellStyle name="Normal 5 2 2 2 3 5 4" xfId="18679" xr:uid="{00000000-0005-0000-0000-000064440000}"/>
    <cellStyle name="Normal 5 2 2 2 3 5 4 2" xfId="35548" xr:uid="{C97D8107-14B2-40CE-8C39-268275D309F1}"/>
    <cellStyle name="Normal 5 2 2 2 3 5 5" xfId="10244" xr:uid="{00000000-0005-0000-0000-000065440000}"/>
    <cellStyle name="Normal 5 2 2 2 3 5 6" xfId="27114" xr:uid="{743D9EEC-4C62-44A5-9FA6-E5BBFA64FF8E}"/>
    <cellStyle name="Normal 5 2 2 2 3 6" xfId="2133" xr:uid="{00000000-0005-0000-0000-000066440000}"/>
    <cellStyle name="Normal 5 2 2 2 3 6 2" xfId="4362" xr:uid="{00000000-0005-0000-0000-000067440000}"/>
    <cellStyle name="Normal 5 2 2 2 3 6 2 2" xfId="8585" xr:uid="{00000000-0005-0000-0000-000068440000}"/>
    <cellStyle name="Normal 5 2 2 2 3 6 2 2 2" xfId="25455" xr:uid="{00000000-0005-0000-0000-000069440000}"/>
    <cellStyle name="Normal 5 2 2 2 3 6 2 2 2 2" xfId="42323" xr:uid="{F9938379-2A1A-4A50-A179-BE3CC053D28A}"/>
    <cellStyle name="Normal 5 2 2 2 3 6 2 2 3" xfId="17020" xr:uid="{00000000-0005-0000-0000-00006A440000}"/>
    <cellStyle name="Normal 5 2 2 2 3 6 2 2 4" xfId="33889" xr:uid="{FEB92C6C-132A-4F65-9B3E-750C7A6D381B}"/>
    <cellStyle name="Normal 5 2 2 2 3 6 2 3" xfId="21237" xr:uid="{00000000-0005-0000-0000-00006B440000}"/>
    <cellStyle name="Normal 5 2 2 2 3 6 2 3 2" xfId="38106" xr:uid="{B3AC548B-64C4-4F11-B7B4-5A3433ED16CB}"/>
    <cellStyle name="Normal 5 2 2 2 3 6 2 4" xfId="12802" xr:uid="{00000000-0005-0000-0000-00006C440000}"/>
    <cellStyle name="Normal 5 2 2 2 3 6 2 5" xfId="29672" xr:uid="{A858A20E-9C60-464D-AC07-B39A1AA744B6}"/>
    <cellStyle name="Normal 5 2 2 2 3 6 3" xfId="6440" xr:uid="{00000000-0005-0000-0000-00006D440000}"/>
    <cellStyle name="Normal 5 2 2 2 3 6 3 2" xfId="23310" xr:uid="{00000000-0005-0000-0000-00006E440000}"/>
    <cellStyle name="Normal 5 2 2 2 3 6 3 2 2" xfId="40178" xr:uid="{3DE8FA5C-23E8-4333-A612-FF50FDAD75CF}"/>
    <cellStyle name="Normal 5 2 2 2 3 6 3 3" xfId="14875" xr:uid="{00000000-0005-0000-0000-00006F440000}"/>
    <cellStyle name="Normal 5 2 2 2 3 6 3 4" xfId="31744" xr:uid="{FC801AE5-D59B-4B6C-BB64-7BC0293920BA}"/>
    <cellStyle name="Normal 5 2 2 2 3 6 4" xfId="19092" xr:uid="{00000000-0005-0000-0000-000070440000}"/>
    <cellStyle name="Normal 5 2 2 2 3 6 4 2" xfId="35961" xr:uid="{4D65A5C7-B74D-45A6-8AB7-C7F15A1810CB}"/>
    <cellStyle name="Normal 5 2 2 2 3 6 5" xfId="10657" xr:uid="{00000000-0005-0000-0000-000071440000}"/>
    <cellStyle name="Normal 5 2 2 2 3 6 6" xfId="27527" xr:uid="{7EC36B86-64ED-4E2C-8931-32A7B8BA51BA}"/>
    <cellStyle name="Normal 5 2 2 2 3 7" xfId="2569" xr:uid="{00000000-0005-0000-0000-000072440000}"/>
    <cellStyle name="Normal 5 2 2 2 3 7 2" xfId="6853" xr:uid="{00000000-0005-0000-0000-000073440000}"/>
    <cellStyle name="Normal 5 2 2 2 3 7 2 2" xfId="23723" xr:uid="{00000000-0005-0000-0000-000074440000}"/>
    <cellStyle name="Normal 5 2 2 2 3 7 2 2 2" xfId="40591" xr:uid="{78C331E0-6C70-4496-8151-3A20E55306B1}"/>
    <cellStyle name="Normal 5 2 2 2 3 7 2 3" xfId="15288" xr:uid="{00000000-0005-0000-0000-000075440000}"/>
    <cellStyle name="Normal 5 2 2 2 3 7 2 4" xfId="32157" xr:uid="{3EF993D6-A945-4C2A-AC78-57BA5EFEC5FD}"/>
    <cellStyle name="Normal 5 2 2 2 3 7 3" xfId="19505" xr:uid="{00000000-0005-0000-0000-000076440000}"/>
    <cellStyle name="Normal 5 2 2 2 3 7 3 2" xfId="36374" xr:uid="{29851AA1-6598-467B-BAF9-1C03BFC09128}"/>
    <cellStyle name="Normal 5 2 2 2 3 7 4" xfId="11070" xr:uid="{00000000-0005-0000-0000-000077440000}"/>
    <cellStyle name="Normal 5 2 2 2 3 7 5" xfId="27940" xr:uid="{C735BFF7-D8E5-40D0-A095-332EF2B64182}"/>
    <cellStyle name="Normal 5 2 2 2 3 8" xfId="4788" xr:uid="{00000000-0005-0000-0000-000078440000}"/>
    <cellStyle name="Normal 5 2 2 2 3 8 2" xfId="21658" xr:uid="{00000000-0005-0000-0000-000079440000}"/>
    <cellStyle name="Normal 5 2 2 2 3 8 2 2" xfId="38526" xr:uid="{15B58023-F678-4DF2-A581-BC2707DB95EA}"/>
    <cellStyle name="Normal 5 2 2 2 3 8 3" xfId="13223" xr:uid="{00000000-0005-0000-0000-00007A440000}"/>
    <cellStyle name="Normal 5 2 2 2 3 8 4" xfId="30092" xr:uid="{FE7B3A97-3E57-4A3F-9CAA-0107048449BA}"/>
    <cellStyle name="Normal 5 2 2 2 3 9" xfId="17440" xr:uid="{00000000-0005-0000-0000-00007B440000}"/>
    <cellStyle name="Normal 5 2 2 2 3 9 2" xfId="34309" xr:uid="{7C7B7A7A-C140-4D72-91AB-53FA6C827380}"/>
    <cellStyle name="Normal 5 2 2 2 4" xfId="416" xr:uid="{00000000-0005-0000-0000-00007C440000}"/>
    <cellStyle name="Normal 5 2 2 2 4 10" xfId="25877" xr:uid="{735343A4-3B5A-4DB7-AA2D-C0034152A71A}"/>
    <cellStyle name="Normal 5 2 2 2 4 2" xfId="890" xr:uid="{00000000-0005-0000-0000-00007D440000}"/>
    <cellStyle name="Normal 5 2 2 2 4 2 2" xfId="3125" xr:uid="{00000000-0005-0000-0000-00007E440000}"/>
    <cellStyle name="Normal 5 2 2 2 4 2 2 2" xfId="7348" xr:uid="{00000000-0005-0000-0000-00007F440000}"/>
    <cellStyle name="Normal 5 2 2 2 4 2 2 2 2" xfId="24218" xr:uid="{00000000-0005-0000-0000-000080440000}"/>
    <cellStyle name="Normal 5 2 2 2 4 2 2 2 2 2" xfId="41086" xr:uid="{5272895A-023B-4442-845E-3D802B7B2FFA}"/>
    <cellStyle name="Normal 5 2 2 2 4 2 2 2 3" xfId="15783" xr:uid="{00000000-0005-0000-0000-000081440000}"/>
    <cellStyle name="Normal 5 2 2 2 4 2 2 2 4" xfId="32652" xr:uid="{005E4625-8E01-4A6B-A9B3-119928BE8E9B}"/>
    <cellStyle name="Normal 5 2 2 2 4 2 2 3" xfId="20000" xr:uid="{00000000-0005-0000-0000-000082440000}"/>
    <cellStyle name="Normal 5 2 2 2 4 2 2 3 2" xfId="36869" xr:uid="{12D75D6E-1B59-4CC7-AA29-DD9F4B84359A}"/>
    <cellStyle name="Normal 5 2 2 2 4 2 2 4" xfId="11565" xr:uid="{00000000-0005-0000-0000-000083440000}"/>
    <cellStyle name="Normal 5 2 2 2 4 2 2 5" xfId="28435" xr:uid="{7992CE34-73F0-4A0C-85E9-ED4E7FE086FB}"/>
    <cellStyle name="Normal 5 2 2 2 4 2 3" xfId="5203" xr:uid="{00000000-0005-0000-0000-000084440000}"/>
    <cellStyle name="Normal 5 2 2 2 4 2 3 2" xfId="22073" xr:uid="{00000000-0005-0000-0000-000085440000}"/>
    <cellStyle name="Normal 5 2 2 2 4 2 3 2 2" xfId="38941" xr:uid="{4E9A4703-53DC-4253-BC38-AEFE5F9C1742}"/>
    <cellStyle name="Normal 5 2 2 2 4 2 3 3" xfId="13638" xr:uid="{00000000-0005-0000-0000-000086440000}"/>
    <cellStyle name="Normal 5 2 2 2 4 2 3 4" xfId="30507" xr:uid="{1B66C761-B7F2-4429-BD84-0FEF89C42BFE}"/>
    <cellStyle name="Normal 5 2 2 2 4 2 4" xfId="17855" xr:uid="{00000000-0005-0000-0000-000087440000}"/>
    <cellStyle name="Normal 5 2 2 2 4 2 4 2" xfId="34724" xr:uid="{F9ECED92-9EAC-4981-89EC-52617770B4EF}"/>
    <cellStyle name="Normal 5 2 2 2 4 2 5" xfId="9420" xr:uid="{00000000-0005-0000-0000-000088440000}"/>
    <cellStyle name="Normal 5 2 2 2 4 2 6" xfId="26290" xr:uid="{65166381-0B8E-4D66-B08E-08A80DD8CDA6}"/>
    <cellStyle name="Normal 5 2 2 2 4 3" xfId="1308" xr:uid="{00000000-0005-0000-0000-000089440000}"/>
    <cellStyle name="Normal 5 2 2 2 4 3 2" xfId="3538" xr:uid="{00000000-0005-0000-0000-00008A440000}"/>
    <cellStyle name="Normal 5 2 2 2 4 3 2 2" xfId="7761" xr:uid="{00000000-0005-0000-0000-00008B440000}"/>
    <cellStyle name="Normal 5 2 2 2 4 3 2 2 2" xfId="24631" xr:uid="{00000000-0005-0000-0000-00008C440000}"/>
    <cellStyle name="Normal 5 2 2 2 4 3 2 2 2 2" xfId="41499" xr:uid="{9B7472FD-E3E9-4C40-A84B-0421749E2407}"/>
    <cellStyle name="Normal 5 2 2 2 4 3 2 2 3" xfId="16196" xr:uid="{00000000-0005-0000-0000-00008D440000}"/>
    <cellStyle name="Normal 5 2 2 2 4 3 2 2 4" xfId="33065" xr:uid="{D0172C8E-5E31-4650-A467-32C424003F04}"/>
    <cellStyle name="Normal 5 2 2 2 4 3 2 3" xfId="20413" xr:uid="{00000000-0005-0000-0000-00008E440000}"/>
    <cellStyle name="Normal 5 2 2 2 4 3 2 3 2" xfId="37282" xr:uid="{E56CEA79-EAA2-428F-ADEC-14D2DEA91E98}"/>
    <cellStyle name="Normal 5 2 2 2 4 3 2 4" xfId="11978" xr:uid="{00000000-0005-0000-0000-00008F440000}"/>
    <cellStyle name="Normal 5 2 2 2 4 3 2 5" xfId="28848" xr:uid="{29D1F770-8B39-4D3C-A9A1-076E20BFDBBE}"/>
    <cellStyle name="Normal 5 2 2 2 4 3 3" xfId="5616" xr:uid="{00000000-0005-0000-0000-000090440000}"/>
    <cellStyle name="Normal 5 2 2 2 4 3 3 2" xfId="22486" xr:uid="{00000000-0005-0000-0000-000091440000}"/>
    <cellStyle name="Normal 5 2 2 2 4 3 3 2 2" xfId="39354" xr:uid="{B764F5D0-6759-4E0F-A4EF-9BB022B8277E}"/>
    <cellStyle name="Normal 5 2 2 2 4 3 3 3" xfId="14051" xr:uid="{00000000-0005-0000-0000-000092440000}"/>
    <cellStyle name="Normal 5 2 2 2 4 3 3 4" xfId="30920" xr:uid="{EA57BE4E-1367-4525-95B8-11E1D2634F72}"/>
    <cellStyle name="Normal 5 2 2 2 4 3 4" xfId="18268" xr:uid="{00000000-0005-0000-0000-000093440000}"/>
    <cellStyle name="Normal 5 2 2 2 4 3 4 2" xfId="35137" xr:uid="{CE09DEF4-DD9C-4564-8798-8CA32A582107}"/>
    <cellStyle name="Normal 5 2 2 2 4 3 5" xfId="9833" xr:uid="{00000000-0005-0000-0000-000094440000}"/>
    <cellStyle name="Normal 5 2 2 2 4 3 6" xfId="26703" xr:uid="{A8D64791-9105-4B34-9022-9EA1D1B44E13}"/>
    <cellStyle name="Normal 5 2 2 2 4 4" xfId="1721" xr:uid="{00000000-0005-0000-0000-000095440000}"/>
    <cellStyle name="Normal 5 2 2 2 4 4 2" xfId="3951" xr:uid="{00000000-0005-0000-0000-000096440000}"/>
    <cellStyle name="Normal 5 2 2 2 4 4 2 2" xfId="8174" xr:uid="{00000000-0005-0000-0000-000097440000}"/>
    <cellStyle name="Normal 5 2 2 2 4 4 2 2 2" xfId="25044" xr:uid="{00000000-0005-0000-0000-000098440000}"/>
    <cellStyle name="Normal 5 2 2 2 4 4 2 2 2 2" xfId="41912" xr:uid="{629E81BE-D5BC-4C03-83AE-C74CF466A09D}"/>
    <cellStyle name="Normal 5 2 2 2 4 4 2 2 3" xfId="16609" xr:uid="{00000000-0005-0000-0000-000099440000}"/>
    <cellStyle name="Normal 5 2 2 2 4 4 2 2 4" xfId="33478" xr:uid="{B59533F3-E5CB-4882-86F3-7B79DCC4FF9C}"/>
    <cellStyle name="Normal 5 2 2 2 4 4 2 3" xfId="20826" xr:uid="{00000000-0005-0000-0000-00009A440000}"/>
    <cellStyle name="Normal 5 2 2 2 4 4 2 3 2" xfId="37695" xr:uid="{FDB21483-B5ED-4150-BC94-4342DB02D037}"/>
    <cellStyle name="Normal 5 2 2 2 4 4 2 4" xfId="12391" xr:uid="{00000000-0005-0000-0000-00009B440000}"/>
    <cellStyle name="Normal 5 2 2 2 4 4 2 5" xfId="29261" xr:uid="{0DD19DE7-38B9-44CE-916E-27DF4992D79D}"/>
    <cellStyle name="Normal 5 2 2 2 4 4 3" xfId="6029" xr:uid="{00000000-0005-0000-0000-00009C440000}"/>
    <cellStyle name="Normal 5 2 2 2 4 4 3 2" xfId="22899" xr:uid="{00000000-0005-0000-0000-00009D440000}"/>
    <cellStyle name="Normal 5 2 2 2 4 4 3 2 2" xfId="39767" xr:uid="{C0D5433A-123D-485E-A8FE-E65EC01B3FF8}"/>
    <cellStyle name="Normal 5 2 2 2 4 4 3 3" xfId="14464" xr:uid="{00000000-0005-0000-0000-00009E440000}"/>
    <cellStyle name="Normal 5 2 2 2 4 4 3 4" xfId="31333" xr:uid="{7B156E00-BC7D-4ADD-AF86-EDFF1A518509}"/>
    <cellStyle name="Normal 5 2 2 2 4 4 4" xfId="18681" xr:uid="{00000000-0005-0000-0000-00009F440000}"/>
    <cellStyle name="Normal 5 2 2 2 4 4 4 2" xfId="35550" xr:uid="{04CBE97C-56E5-482F-A149-6EA984C0B069}"/>
    <cellStyle name="Normal 5 2 2 2 4 4 5" xfId="10246" xr:uid="{00000000-0005-0000-0000-0000A0440000}"/>
    <cellStyle name="Normal 5 2 2 2 4 4 6" xfId="27116" xr:uid="{B2060895-2B2A-462A-B610-A6ABB5D0967C}"/>
    <cellStyle name="Normal 5 2 2 2 4 5" xfId="2135" xr:uid="{00000000-0005-0000-0000-0000A1440000}"/>
    <cellStyle name="Normal 5 2 2 2 4 5 2" xfId="4364" xr:uid="{00000000-0005-0000-0000-0000A2440000}"/>
    <cellStyle name="Normal 5 2 2 2 4 5 2 2" xfId="8587" xr:uid="{00000000-0005-0000-0000-0000A3440000}"/>
    <cellStyle name="Normal 5 2 2 2 4 5 2 2 2" xfId="25457" xr:uid="{00000000-0005-0000-0000-0000A4440000}"/>
    <cellStyle name="Normal 5 2 2 2 4 5 2 2 2 2" xfId="42325" xr:uid="{3EDBDD86-86AD-4F43-A20A-3939BBA4BDEF}"/>
    <cellStyle name="Normal 5 2 2 2 4 5 2 2 3" xfId="17022" xr:uid="{00000000-0005-0000-0000-0000A5440000}"/>
    <cellStyle name="Normal 5 2 2 2 4 5 2 2 4" xfId="33891" xr:uid="{431C7B9C-54A6-4E0F-92FC-94FC8504EB38}"/>
    <cellStyle name="Normal 5 2 2 2 4 5 2 3" xfId="21239" xr:uid="{00000000-0005-0000-0000-0000A6440000}"/>
    <cellStyle name="Normal 5 2 2 2 4 5 2 3 2" xfId="38108" xr:uid="{6E16B2A3-5353-4CFF-B6B3-194C92179ADE}"/>
    <cellStyle name="Normal 5 2 2 2 4 5 2 4" xfId="12804" xr:uid="{00000000-0005-0000-0000-0000A7440000}"/>
    <cellStyle name="Normal 5 2 2 2 4 5 2 5" xfId="29674" xr:uid="{943A7E30-5488-4A52-A76E-80D6D9B3C2F7}"/>
    <cellStyle name="Normal 5 2 2 2 4 5 3" xfId="6442" xr:uid="{00000000-0005-0000-0000-0000A8440000}"/>
    <cellStyle name="Normal 5 2 2 2 4 5 3 2" xfId="23312" xr:uid="{00000000-0005-0000-0000-0000A9440000}"/>
    <cellStyle name="Normal 5 2 2 2 4 5 3 2 2" xfId="40180" xr:uid="{602BF826-A9DB-4A9F-8DA8-0979FC96F92D}"/>
    <cellStyle name="Normal 5 2 2 2 4 5 3 3" xfId="14877" xr:uid="{00000000-0005-0000-0000-0000AA440000}"/>
    <cellStyle name="Normal 5 2 2 2 4 5 3 4" xfId="31746" xr:uid="{E7C64D8F-A80B-4112-BBD0-7B8A59035DAA}"/>
    <cellStyle name="Normal 5 2 2 2 4 5 4" xfId="19094" xr:uid="{00000000-0005-0000-0000-0000AB440000}"/>
    <cellStyle name="Normal 5 2 2 2 4 5 4 2" xfId="35963" xr:uid="{E52183E2-9A4A-4C79-B22E-F4544DE1FCDF}"/>
    <cellStyle name="Normal 5 2 2 2 4 5 5" xfId="10659" xr:uid="{00000000-0005-0000-0000-0000AC440000}"/>
    <cellStyle name="Normal 5 2 2 2 4 5 6" xfId="27529" xr:uid="{9E744262-5794-400B-ADB4-3E7E38F9D0FF}"/>
    <cellStyle name="Normal 5 2 2 2 4 6" xfId="2571" xr:uid="{00000000-0005-0000-0000-0000AD440000}"/>
    <cellStyle name="Normal 5 2 2 2 4 6 2" xfId="6855" xr:uid="{00000000-0005-0000-0000-0000AE440000}"/>
    <cellStyle name="Normal 5 2 2 2 4 6 2 2" xfId="23725" xr:uid="{00000000-0005-0000-0000-0000AF440000}"/>
    <cellStyle name="Normal 5 2 2 2 4 6 2 2 2" xfId="40593" xr:uid="{1B4C7429-E27D-4F12-875A-04BE09D82F5C}"/>
    <cellStyle name="Normal 5 2 2 2 4 6 2 3" xfId="15290" xr:uid="{00000000-0005-0000-0000-0000B0440000}"/>
    <cellStyle name="Normal 5 2 2 2 4 6 2 4" xfId="32159" xr:uid="{1EC8437E-E035-4974-BDFB-C6C0C40F4841}"/>
    <cellStyle name="Normal 5 2 2 2 4 6 3" xfId="19507" xr:uid="{00000000-0005-0000-0000-0000B1440000}"/>
    <cellStyle name="Normal 5 2 2 2 4 6 3 2" xfId="36376" xr:uid="{F83D5D1D-EC77-4E9D-B0A1-FDCEE4DD1A9B}"/>
    <cellStyle name="Normal 5 2 2 2 4 6 4" xfId="11072" xr:uid="{00000000-0005-0000-0000-0000B2440000}"/>
    <cellStyle name="Normal 5 2 2 2 4 6 5" xfId="27942" xr:uid="{9FEE9C2F-7FCE-4D76-A518-3404B51BCF3A}"/>
    <cellStyle name="Normal 5 2 2 2 4 7" xfId="4790" xr:uid="{00000000-0005-0000-0000-0000B3440000}"/>
    <cellStyle name="Normal 5 2 2 2 4 7 2" xfId="21660" xr:uid="{00000000-0005-0000-0000-0000B4440000}"/>
    <cellStyle name="Normal 5 2 2 2 4 7 2 2" xfId="38528" xr:uid="{DE13C986-DB59-4C89-9D6B-6EE4DB4C2DD9}"/>
    <cellStyle name="Normal 5 2 2 2 4 7 3" xfId="13225" xr:uid="{00000000-0005-0000-0000-0000B5440000}"/>
    <cellStyle name="Normal 5 2 2 2 4 7 4" xfId="30094" xr:uid="{679ACA72-5FCD-41A8-857B-E8F167C2E63C}"/>
    <cellStyle name="Normal 5 2 2 2 4 8" xfId="17442" xr:uid="{00000000-0005-0000-0000-0000B6440000}"/>
    <cellStyle name="Normal 5 2 2 2 4 8 2" xfId="34311" xr:uid="{9069F24E-AC80-4138-8D82-C06238593B73}"/>
    <cellStyle name="Normal 5 2 2 2 4 9" xfId="9007" xr:uid="{00000000-0005-0000-0000-0000B7440000}"/>
    <cellStyle name="Normal 5 2 2 2 5" xfId="883" xr:uid="{00000000-0005-0000-0000-0000B8440000}"/>
    <cellStyle name="Normal 5 2 2 2 5 2" xfId="3118" xr:uid="{00000000-0005-0000-0000-0000B9440000}"/>
    <cellStyle name="Normal 5 2 2 2 5 2 2" xfId="7341" xr:uid="{00000000-0005-0000-0000-0000BA440000}"/>
    <cellStyle name="Normal 5 2 2 2 5 2 2 2" xfId="24211" xr:uid="{00000000-0005-0000-0000-0000BB440000}"/>
    <cellStyle name="Normal 5 2 2 2 5 2 2 2 2" xfId="41079" xr:uid="{533F3FA4-3112-46CD-8EF4-E8FB2F8A251F}"/>
    <cellStyle name="Normal 5 2 2 2 5 2 2 3" xfId="15776" xr:uid="{00000000-0005-0000-0000-0000BC440000}"/>
    <cellStyle name="Normal 5 2 2 2 5 2 2 4" xfId="32645" xr:uid="{75514F1C-2CCD-4A83-8498-1CC3EE84B727}"/>
    <cellStyle name="Normal 5 2 2 2 5 2 3" xfId="19993" xr:uid="{00000000-0005-0000-0000-0000BD440000}"/>
    <cellStyle name="Normal 5 2 2 2 5 2 3 2" xfId="36862" xr:uid="{F70244B0-520C-41CC-B947-B0DE91D6ECC2}"/>
    <cellStyle name="Normal 5 2 2 2 5 2 4" xfId="11558" xr:uid="{00000000-0005-0000-0000-0000BE440000}"/>
    <cellStyle name="Normal 5 2 2 2 5 2 5" xfId="28428" xr:uid="{532BA8F8-7F7A-463F-A5EB-D8177C560E4D}"/>
    <cellStyle name="Normal 5 2 2 2 5 3" xfId="5196" xr:uid="{00000000-0005-0000-0000-0000BF440000}"/>
    <cellStyle name="Normal 5 2 2 2 5 3 2" xfId="22066" xr:uid="{00000000-0005-0000-0000-0000C0440000}"/>
    <cellStyle name="Normal 5 2 2 2 5 3 2 2" xfId="38934" xr:uid="{F775AD74-8646-411C-8F77-251420F6FA7C}"/>
    <cellStyle name="Normal 5 2 2 2 5 3 3" xfId="13631" xr:uid="{00000000-0005-0000-0000-0000C1440000}"/>
    <cellStyle name="Normal 5 2 2 2 5 3 4" xfId="30500" xr:uid="{6B59368F-B476-486D-918C-820549249B11}"/>
    <cellStyle name="Normal 5 2 2 2 5 4" xfId="17848" xr:uid="{00000000-0005-0000-0000-0000C2440000}"/>
    <cellStyle name="Normal 5 2 2 2 5 4 2" xfId="34717" xr:uid="{E04C324C-6ECA-48B8-9B06-EAD5F5CFB30E}"/>
    <cellStyle name="Normal 5 2 2 2 5 5" xfId="9413" xr:uid="{00000000-0005-0000-0000-0000C3440000}"/>
    <cellStyle name="Normal 5 2 2 2 5 6" xfId="26283" xr:uid="{CF94CA13-A8A2-4DB7-855F-258FA08E8306}"/>
    <cellStyle name="Normal 5 2 2 2 6" xfId="1301" xr:uid="{00000000-0005-0000-0000-0000C4440000}"/>
    <cellStyle name="Normal 5 2 2 2 6 2" xfId="3531" xr:uid="{00000000-0005-0000-0000-0000C5440000}"/>
    <cellStyle name="Normal 5 2 2 2 6 2 2" xfId="7754" xr:uid="{00000000-0005-0000-0000-0000C6440000}"/>
    <cellStyle name="Normal 5 2 2 2 6 2 2 2" xfId="24624" xr:uid="{00000000-0005-0000-0000-0000C7440000}"/>
    <cellStyle name="Normal 5 2 2 2 6 2 2 2 2" xfId="41492" xr:uid="{5CAE0128-3316-4916-A70B-DDF9211976E6}"/>
    <cellStyle name="Normal 5 2 2 2 6 2 2 3" xfId="16189" xr:uid="{00000000-0005-0000-0000-0000C8440000}"/>
    <cellStyle name="Normal 5 2 2 2 6 2 2 4" xfId="33058" xr:uid="{12FDC18D-F423-4CD7-8D19-21D781721A87}"/>
    <cellStyle name="Normal 5 2 2 2 6 2 3" xfId="20406" xr:uid="{00000000-0005-0000-0000-0000C9440000}"/>
    <cellStyle name="Normal 5 2 2 2 6 2 3 2" xfId="37275" xr:uid="{3E9C89B7-19B5-4A47-B347-3D526FA100BF}"/>
    <cellStyle name="Normal 5 2 2 2 6 2 4" xfId="11971" xr:uid="{00000000-0005-0000-0000-0000CA440000}"/>
    <cellStyle name="Normal 5 2 2 2 6 2 5" xfId="28841" xr:uid="{C58D2226-E821-47DE-8C1E-42FF73FDBB6C}"/>
    <cellStyle name="Normal 5 2 2 2 6 3" xfId="5609" xr:uid="{00000000-0005-0000-0000-0000CB440000}"/>
    <cellStyle name="Normal 5 2 2 2 6 3 2" xfId="22479" xr:uid="{00000000-0005-0000-0000-0000CC440000}"/>
    <cellStyle name="Normal 5 2 2 2 6 3 2 2" xfId="39347" xr:uid="{E0AA1896-1464-4565-B0FB-8D0DDC3143B9}"/>
    <cellStyle name="Normal 5 2 2 2 6 3 3" xfId="14044" xr:uid="{00000000-0005-0000-0000-0000CD440000}"/>
    <cellStyle name="Normal 5 2 2 2 6 3 4" xfId="30913" xr:uid="{794FACBF-B997-433A-BB10-10C505CC06C3}"/>
    <cellStyle name="Normal 5 2 2 2 6 4" xfId="18261" xr:uid="{00000000-0005-0000-0000-0000CE440000}"/>
    <cellStyle name="Normal 5 2 2 2 6 4 2" xfId="35130" xr:uid="{2FB8003C-7EC9-4B7A-9CD9-919EA7C4E6AD}"/>
    <cellStyle name="Normal 5 2 2 2 6 5" xfId="9826" xr:uid="{00000000-0005-0000-0000-0000CF440000}"/>
    <cellStyle name="Normal 5 2 2 2 6 6" xfId="26696" xr:uid="{0BB0C32A-D3C5-47C3-9CB5-F616456920CC}"/>
    <cellStyle name="Normal 5 2 2 2 7" xfId="1714" xr:uid="{00000000-0005-0000-0000-0000D0440000}"/>
    <cellStyle name="Normal 5 2 2 2 7 2" xfId="3944" xr:uid="{00000000-0005-0000-0000-0000D1440000}"/>
    <cellStyle name="Normal 5 2 2 2 7 2 2" xfId="8167" xr:uid="{00000000-0005-0000-0000-0000D2440000}"/>
    <cellStyle name="Normal 5 2 2 2 7 2 2 2" xfId="25037" xr:uid="{00000000-0005-0000-0000-0000D3440000}"/>
    <cellStyle name="Normal 5 2 2 2 7 2 2 2 2" xfId="41905" xr:uid="{07B948C8-5F9B-478B-9B1A-D2FFC5E71082}"/>
    <cellStyle name="Normal 5 2 2 2 7 2 2 3" xfId="16602" xr:uid="{00000000-0005-0000-0000-0000D4440000}"/>
    <cellStyle name="Normal 5 2 2 2 7 2 2 4" xfId="33471" xr:uid="{09EC2F3F-08E6-4D10-96F7-9C666EB8C25E}"/>
    <cellStyle name="Normal 5 2 2 2 7 2 3" xfId="20819" xr:uid="{00000000-0005-0000-0000-0000D5440000}"/>
    <cellStyle name="Normal 5 2 2 2 7 2 3 2" xfId="37688" xr:uid="{5E118715-9D7D-40BB-8A93-00DFF7CA1D1D}"/>
    <cellStyle name="Normal 5 2 2 2 7 2 4" xfId="12384" xr:uid="{00000000-0005-0000-0000-0000D6440000}"/>
    <cellStyle name="Normal 5 2 2 2 7 2 5" xfId="29254" xr:uid="{509301FB-003B-406B-A5E5-73411E754A05}"/>
    <cellStyle name="Normal 5 2 2 2 7 3" xfId="6022" xr:uid="{00000000-0005-0000-0000-0000D7440000}"/>
    <cellStyle name="Normal 5 2 2 2 7 3 2" xfId="22892" xr:uid="{00000000-0005-0000-0000-0000D8440000}"/>
    <cellStyle name="Normal 5 2 2 2 7 3 2 2" xfId="39760" xr:uid="{C29B1EC8-8BC4-49CB-B5B7-DD162E88D845}"/>
    <cellStyle name="Normal 5 2 2 2 7 3 3" xfId="14457" xr:uid="{00000000-0005-0000-0000-0000D9440000}"/>
    <cellStyle name="Normal 5 2 2 2 7 3 4" xfId="31326" xr:uid="{18285AAA-D170-43A3-8B20-3E9EC6546AA9}"/>
    <cellStyle name="Normal 5 2 2 2 7 4" xfId="18674" xr:uid="{00000000-0005-0000-0000-0000DA440000}"/>
    <cellStyle name="Normal 5 2 2 2 7 4 2" xfId="35543" xr:uid="{56C05FAB-F302-46AD-8E68-0B033F3917D4}"/>
    <cellStyle name="Normal 5 2 2 2 7 5" xfId="10239" xr:uid="{00000000-0005-0000-0000-0000DB440000}"/>
    <cellStyle name="Normal 5 2 2 2 7 6" xfId="27109" xr:uid="{66CE0D50-6DFE-4338-BF93-0E81FCF75FE0}"/>
    <cellStyle name="Normal 5 2 2 2 8" xfId="2128" xr:uid="{00000000-0005-0000-0000-0000DC440000}"/>
    <cellStyle name="Normal 5 2 2 2 8 2" xfId="4357" xr:uid="{00000000-0005-0000-0000-0000DD440000}"/>
    <cellStyle name="Normal 5 2 2 2 8 2 2" xfId="8580" xr:uid="{00000000-0005-0000-0000-0000DE440000}"/>
    <cellStyle name="Normal 5 2 2 2 8 2 2 2" xfId="25450" xr:uid="{00000000-0005-0000-0000-0000DF440000}"/>
    <cellStyle name="Normal 5 2 2 2 8 2 2 2 2" xfId="42318" xr:uid="{4EB9467D-2650-46DF-8B90-192EE81B35D5}"/>
    <cellStyle name="Normal 5 2 2 2 8 2 2 3" xfId="17015" xr:uid="{00000000-0005-0000-0000-0000E0440000}"/>
    <cellStyle name="Normal 5 2 2 2 8 2 2 4" xfId="33884" xr:uid="{C57210E6-A5F7-40E5-ACDD-DF81569116F8}"/>
    <cellStyle name="Normal 5 2 2 2 8 2 3" xfId="21232" xr:uid="{00000000-0005-0000-0000-0000E1440000}"/>
    <cellStyle name="Normal 5 2 2 2 8 2 3 2" xfId="38101" xr:uid="{E3769B2B-6624-4565-822F-F61C9B2170C8}"/>
    <cellStyle name="Normal 5 2 2 2 8 2 4" xfId="12797" xr:uid="{00000000-0005-0000-0000-0000E2440000}"/>
    <cellStyle name="Normal 5 2 2 2 8 2 5" xfId="29667" xr:uid="{CF2B26EA-BA46-4C91-B853-062C2497E90A}"/>
    <cellStyle name="Normal 5 2 2 2 8 3" xfId="6435" xr:uid="{00000000-0005-0000-0000-0000E3440000}"/>
    <cellStyle name="Normal 5 2 2 2 8 3 2" xfId="23305" xr:uid="{00000000-0005-0000-0000-0000E4440000}"/>
    <cellStyle name="Normal 5 2 2 2 8 3 2 2" xfId="40173" xr:uid="{D37401C1-8B0E-4327-AAE5-082C56D9CB8F}"/>
    <cellStyle name="Normal 5 2 2 2 8 3 3" xfId="14870" xr:uid="{00000000-0005-0000-0000-0000E5440000}"/>
    <cellStyle name="Normal 5 2 2 2 8 3 4" xfId="31739" xr:uid="{584F1E3E-286D-4A11-B292-D006FB6B9AD8}"/>
    <cellStyle name="Normal 5 2 2 2 8 4" xfId="19087" xr:uid="{00000000-0005-0000-0000-0000E6440000}"/>
    <cellStyle name="Normal 5 2 2 2 8 4 2" xfId="35956" xr:uid="{7C204077-AD15-4136-B14E-42875DF5BC59}"/>
    <cellStyle name="Normal 5 2 2 2 8 5" xfId="10652" xr:uid="{00000000-0005-0000-0000-0000E7440000}"/>
    <cellStyle name="Normal 5 2 2 2 8 6" xfId="27522" xr:uid="{0B196E5F-85C4-416B-97AB-EC47F10BE0C6}"/>
    <cellStyle name="Normal 5 2 2 2 9" xfId="2564" xr:uid="{00000000-0005-0000-0000-0000E8440000}"/>
    <cellStyle name="Normal 5 2 2 2 9 2" xfId="6848" xr:uid="{00000000-0005-0000-0000-0000E9440000}"/>
    <cellStyle name="Normal 5 2 2 2 9 2 2" xfId="23718" xr:uid="{00000000-0005-0000-0000-0000EA440000}"/>
    <cellStyle name="Normal 5 2 2 2 9 2 2 2" xfId="40586" xr:uid="{E8C9BBD3-64E4-47BD-AF6C-A02130B683F8}"/>
    <cellStyle name="Normal 5 2 2 2 9 2 3" xfId="15283" xr:uid="{00000000-0005-0000-0000-0000EB440000}"/>
    <cellStyle name="Normal 5 2 2 2 9 2 4" xfId="32152" xr:uid="{7DEBC0AE-5D57-4497-B75F-0969B1330CCC}"/>
    <cellStyle name="Normal 5 2 2 2 9 3" xfId="19500" xr:uid="{00000000-0005-0000-0000-0000EC440000}"/>
    <cellStyle name="Normal 5 2 2 2 9 3 2" xfId="36369" xr:uid="{253229CE-5A17-4FA0-8A82-5CE93462A61E}"/>
    <cellStyle name="Normal 5 2 2 2 9 4" xfId="11065" xr:uid="{00000000-0005-0000-0000-0000ED440000}"/>
    <cellStyle name="Normal 5 2 2 2 9 5" xfId="27935" xr:uid="{C3CE676A-AACE-424E-A71E-9BBBB0C02D8F}"/>
    <cellStyle name="Normal 5 2 2 3" xfId="417" xr:uid="{00000000-0005-0000-0000-0000EE440000}"/>
    <cellStyle name="Normal 5 2 2 3 10" xfId="17443" xr:uid="{00000000-0005-0000-0000-0000EF440000}"/>
    <cellStyle name="Normal 5 2 2 3 10 2" xfId="34312" xr:uid="{9EF6BB86-55A7-471A-A57E-381AAB3E1AD6}"/>
    <cellStyle name="Normal 5 2 2 3 11" xfId="9008" xr:uid="{00000000-0005-0000-0000-0000F0440000}"/>
    <cellStyle name="Normal 5 2 2 3 12" xfId="25878" xr:uid="{D164ADFE-206C-4F07-BC9F-BEB4AFF094BC}"/>
    <cellStyle name="Normal 5 2 2 3 2" xfId="418" xr:uid="{00000000-0005-0000-0000-0000F1440000}"/>
    <cellStyle name="Normal 5 2 2 3 2 10" xfId="9009" xr:uid="{00000000-0005-0000-0000-0000F2440000}"/>
    <cellStyle name="Normal 5 2 2 3 2 11" xfId="25879" xr:uid="{3C1A11EA-BE20-45E7-9D89-922A12BE9BFC}"/>
    <cellStyle name="Normal 5 2 2 3 2 2" xfId="419" xr:uid="{00000000-0005-0000-0000-0000F3440000}"/>
    <cellStyle name="Normal 5 2 2 3 2 2 10" xfId="25880" xr:uid="{98043096-F857-4933-9192-32CAFF1F35F0}"/>
    <cellStyle name="Normal 5 2 2 3 2 2 2" xfId="893" xr:uid="{00000000-0005-0000-0000-0000F4440000}"/>
    <cellStyle name="Normal 5 2 2 3 2 2 2 2" xfId="3128" xr:uid="{00000000-0005-0000-0000-0000F5440000}"/>
    <cellStyle name="Normal 5 2 2 3 2 2 2 2 2" xfId="7351" xr:uid="{00000000-0005-0000-0000-0000F6440000}"/>
    <cellStyle name="Normal 5 2 2 3 2 2 2 2 2 2" xfId="24221" xr:uid="{00000000-0005-0000-0000-0000F7440000}"/>
    <cellStyle name="Normal 5 2 2 3 2 2 2 2 2 2 2" xfId="41089" xr:uid="{B8691B68-BE97-4ADD-BDB9-CA8CA05999A6}"/>
    <cellStyle name="Normal 5 2 2 3 2 2 2 2 2 3" xfId="15786" xr:uid="{00000000-0005-0000-0000-0000F8440000}"/>
    <cellStyle name="Normal 5 2 2 3 2 2 2 2 2 4" xfId="32655" xr:uid="{82CAC4C4-4E60-4CD6-B4DC-C4AAD059B38D}"/>
    <cellStyle name="Normal 5 2 2 3 2 2 2 2 3" xfId="20003" xr:uid="{00000000-0005-0000-0000-0000F9440000}"/>
    <cellStyle name="Normal 5 2 2 3 2 2 2 2 3 2" xfId="36872" xr:uid="{D27BEE7B-7003-4C12-A4BB-4A874541E3A2}"/>
    <cellStyle name="Normal 5 2 2 3 2 2 2 2 4" xfId="11568" xr:uid="{00000000-0005-0000-0000-0000FA440000}"/>
    <cellStyle name="Normal 5 2 2 3 2 2 2 2 5" xfId="28438" xr:uid="{AF05B376-FC7E-420D-A4BB-8FF81094836B}"/>
    <cellStyle name="Normal 5 2 2 3 2 2 2 3" xfId="5206" xr:uid="{00000000-0005-0000-0000-0000FB440000}"/>
    <cellStyle name="Normal 5 2 2 3 2 2 2 3 2" xfId="22076" xr:uid="{00000000-0005-0000-0000-0000FC440000}"/>
    <cellStyle name="Normal 5 2 2 3 2 2 2 3 2 2" xfId="38944" xr:uid="{0014540E-79FE-42AD-9C0C-D52828451E6B}"/>
    <cellStyle name="Normal 5 2 2 3 2 2 2 3 3" xfId="13641" xr:uid="{00000000-0005-0000-0000-0000FD440000}"/>
    <cellStyle name="Normal 5 2 2 3 2 2 2 3 4" xfId="30510" xr:uid="{DE96AC26-8BBC-4DB1-95C8-398BA0CA3CB2}"/>
    <cellStyle name="Normal 5 2 2 3 2 2 2 4" xfId="17858" xr:uid="{00000000-0005-0000-0000-0000FE440000}"/>
    <cellStyle name="Normal 5 2 2 3 2 2 2 4 2" xfId="34727" xr:uid="{68168E45-CE76-48AA-94C3-ADB9D833B768}"/>
    <cellStyle name="Normal 5 2 2 3 2 2 2 5" xfId="9423" xr:uid="{00000000-0005-0000-0000-0000FF440000}"/>
    <cellStyle name="Normal 5 2 2 3 2 2 2 6" xfId="26293" xr:uid="{E3B03B24-F4B1-4EBB-A368-4A9FE745E3E7}"/>
    <cellStyle name="Normal 5 2 2 3 2 2 3" xfId="1311" xr:uid="{00000000-0005-0000-0000-000000450000}"/>
    <cellStyle name="Normal 5 2 2 3 2 2 3 2" xfId="3541" xr:uid="{00000000-0005-0000-0000-000001450000}"/>
    <cellStyle name="Normal 5 2 2 3 2 2 3 2 2" xfId="7764" xr:uid="{00000000-0005-0000-0000-000002450000}"/>
    <cellStyle name="Normal 5 2 2 3 2 2 3 2 2 2" xfId="24634" xr:uid="{00000000-0005-0000-0000-000003450000}"/>
    <cellStyle name="Normal 5 2 2 3 2 2 3 2 2 2 2" xfId="41502" xr:uid="{BB3EFC97-1D15-46CC-B57B-2BDFB0C53F5B}"/>
    <cellStyle name="Normal 5 2 2 3 2 2 3 2 2 3" xfId="16199" xr:uid="{00000000-0005-0000-0000-000004450000}"/>
    <cellStyle name="Normal 5 2 2 3 2 2 3 2 2 4" xfId="33068" xr:uid="{F63122CF-34AF-4759-B2F3-AB68608B7197}"/>
    <cellStyle name="Normal 5 2 2 3 2 2 3 2 3" xfId="20416" xr:uid="{00000000-0005-0000-0000-000005450000}"/>
    <cellStyle name="Normal 5 2 2 3 2 2 3 2 3 2" xfId="37285" xr:uid="{1CA946F4-256B-4BBA-8BA3-6DDA63F8689C}"/>
    <cellStyle name="Normal 5 2 2 3 2 2 3 2 4" xfId="11981" xr:uid="{00000000-0005-0000-0000-000006450000}"/>
    <cellStyle name="Normal 5 2 2 3 2 2 3 2 5" xfId="28851" xr:uid="{EB208E78-CEA0-4FCE-8B8D-1DC59E0A668D}"/>
    <cellStyle name="Normal 5 2 2 3 2 2 3 3" xfId="5619" xr:uid="{00000000-0005-0000-0000-000007450000}"/>
    <cellStyle name="Normal 5 2 2 3 2 2 3 3 2" xfId="22489" xr:uid="{00000000-0005-0000-0000-000008450000}"/>
    <cellStyle name="Normal 5 2 2 3 2 2 3 3 2 2" xfId="39357" xr:uid="{6015EEAB-7B3F-40A2-ADA5-AF51B670C3AB}"/>
    <cellStyle name="Normal 5 2 2 3 2 2 3 3 3" xfId="14054" xr:uid="{00000000-0005-0000-0000-000009450000}"/>
    <cellStyle name="Normal 5 2 2 3 2 2 3 3 4" xfId="30923" xr:uid="{7EA9FA11-7691-4BB2-B1F0-0D823DD3C32A}"/>
    <cellStyle name="Normal 5 2 2 3 2 2 3 4" xfId="18271" xr:uid="{00000000-0005-0000-0000-00000A450000}"/>
    <cellStyle name="Normal 5 2 2 3 2 2 3 4 2" xfId="35140" xr:uid="{658C553E-D2BC-4C01-BABA-E2A07662A460}"/>
    <cellStyle name="Normal 5 2 2 3 2 2 3 5" xfId="9836" xr:uid="{00000000-0005-0000-0000-00000B450000}"/>
    <cellStyle name="Normal 5 2 2 3 2 2 3 6" xfId="26706" xr:uid="{995B148E-042A-4C58-93C0-668888372E78}"/>
    <cellStyle name="Normal 5 2 2 3 2 2 4" xfId="1724" xr:uid="{00000000-0005-0000-0000-00000C450000}"/>
    <cellStyle name="Normal 5 2 2 3 2 2 4 2" xfId="3954" xr:uid="{00000000-0005-0000-0000-00000D450000}"/>
    <cellStyle name="Normal 5 2 2 3 2 2 4 2 2" xfId="8177" xr:uid="{00000000-0005-0000-0000-00000E450000}"/>
    <cellStyle name="Normal 5 2 2 3 2 2 4 2 2 2" xfId="25047" xr:uid="{00000000-0005-0000-0000-00000F450000}"/>
    <cellStyle name="Normal 5 2 2 3 2 2 4 2 2 2 2" xfId="41915" xr:uid="{C3406D5D-F1DB-4BF0-B62C-FD1DFC6AE520}"/>
    <cellStyle name="Normal 5 2 2 3 2 2 4 2 2 3" xfId="16612" xr:uid="{00000000-0005-0000-0000-000010450000}"/>
    <cellStyle name="Normal 5 2 2 3 2 2 4 2 2 4" xfId="33481" xr:uid="{1210461F-1F3A-470B-9AB6-0D13604FB00D}"/>
    <cellStyle name="Normal 5 2 2 3 2 2 4 2 3" xfId="20829" xr:uid="{00000000-0005-0000-0000-000011450000}"/>
    <cellStyle name="Normal 5 2 2 3 2 2 4 2 3 2" xfId="37698" xr:uid="{23D5A553-7DD5-49C9-A822-089770F95F58}"/>
    <cellStyle name="Normal 5 2 2 3 2 2 4 2 4" xfId="12394" xr:uid="{00000000-0005-0000-0000-000012450000}"/>
    <cellStyle name="Normal 5 2 2 3 2 2 4 2 5" xfId="29264" xr:uid="{BB1FA245-4B73-44BA-8F32-7E86B56A1DF6}"/>
    <cellStyle name="Normal 5 2 2 3 2 2 4 3" xfId="6032" xr:uid="{00000000-0005-0000-0000-000013450000}"/>
    <cellStyle name="Normal 5 2 2 3 2 2 4 3 2" xfId="22902" xr:uid="{00000000-0005-0000-0000-000014450000}"/>
    <cellStyle name="Normal 5 2 2 3 2 2 4 3 2 2" xfId="39770" xr:uid="{19BE8EE7-DC99-42F2-85DE-431FD3450BB9}"/>
    <cellStyle name="Normal 5 2 2 3 2 2 4 3 3" xfId="14467" xr:uid="{00000000-0005-0000-0000-000015450000}"/>
    <cellStyle name="Normal 5 2 2 3 2 2 4 3 4" xfId="31336" xr:uid="{0BF349D6-0FB6-4F4D-9D65-A844A804AF67}"/>
    <cellStyle name="Normal 5 2 2 3 2 2 4 4" xfId="18684" xr:uid="{00000000-0005-0000-0000-000016450000}"/>
    <cellStyle name="Normal 5 2 2 3 2 2 4 4 2" xfId="35553" xr:uid="{9F476C29-4431-44E3-A4EA-D8899EE06251}"/>
    <cellStyle name="Normal 5 2 2 3 2 2 4 5" xfId="10249" xr:uid="{00000000-0005-0000-0000-000017450000}"/>
    <cellStyle name="Normal 5 2 2 3 2 2 4 6" xfId="27119" xr:uid="{86F63E82-AA09-4B18-B63D-42A3D8E4F832}"/>
    <cellStyle name="Normal 5 2 2 3 2 2 5" xfId="2138" xr:uid="{00000000-0005-0000-0000-000018450000}"/>
    <cellStyle name="Normal 5 2 2 3 2 2 5 2" xfId="4367" xr:uid="{00000000-0005-0000-0000-000019450000}"/>
    <cellStyle name="Normal 5 2 2 3 2 2 5 2 2" xfId="8590" xr:uid="{00000000-0005-0000-0000-00001A450000}"/>
    <cellStyle name="Normal 5 2 2 3 2 2 5 2 2 2" xfId="25460" xr:uid="{00000000-0005-0000-0000-00001B450000}"/>
    <cellStyle name="Normal 5 2 2 3 2 2 5 2 2 2 2" xfId="42328" xr:uid="{EEBF1E30-D685-4676-A66C-FE3FDAC4A12E}"/>
    <cellStyle name="Normal 5 2 2 3 2 2 5 2 2 3" xfId="17025" xr:uid="{00000000-0005-0000-0000-00001C450000}"/>
    <cellStyle name="Normal 5 2 2 3 2 2 5 2 2 4" xfId="33894" xr:uid="{8BA8D745-4B45-4C3B-85D6-E5404DA6D323}"/>
    <cellStyle name="Normal 5 2 2 3 2 2 5 2 3" xfId="21242" xr:uid="{00000000-0005-0000-0000-00001D450000}"/>
    <cellStyle name="Normal 5 2 2 3 2 2 5 2 3 2" xfId="38111" xr:uid="{60197E4E-FEA0-40C5-B012-332358858D04}"/>
    <cellStyle name="Normal 5 2 2 3 2 2 5 2 4" xfId="12807" xr:uid="{00000000-0005-0000-0000-00001E450000}"/>
    <cellStyle name="Normal 5 2 2 3 2 2 5 2 5" xfId="29677" xr:uid="{E4B944D0-3605-4F9F-AA56-A6A776DD7AE9}"/>
    <cellStyle name="Normal 5 2 2 3 2 2 5 3" xfId="6445" xr:uid="{00000000-0005-0000-0000-00001F450000}"/>
    <cellStyle name="Normal 5 2 2 3 2 2 5 3 2" xfId="23315" xr:uid="{00000000-0005-0000-0000-000020450000}"/>
    <cellStyle name="Normal 5 2 2 3 2 2 5 3 2 2" xfId="40183" xr:uid="{69619C34-4573-424A-B9FB-BDBFC19B651B}"/>
    <cellStyle name="Normal 5 2 2 3 2 2 5 3 3" xfId="14880" xr:uid="{00000000-0005-0000-0000-000021450000}"/>
    <cellStyle name="Normal 5 2 2 3 2 2 5 3 4" xfId="31749" xr:uid="{5417A845-180F-4142-A0AF-FCF9ACC6914C}"/>
    <cellStyle name="Normal 5 2 2 3 2 2 5 4" xfId="19097" xr:uid="{00000000-0005-0000-0000-000022450000}"/>
    <cellStyle name="Normal 5 2 2 3 2 2 5 4 2" xfId="35966" xr:uid="{966BD409-6C79-4641-9880-4852159D94D8}"/>
    <cellStyle name="Normal 5 2 2 3 2 2 5 5" xfId="10662" xr:uid="{00000000-0005-0000-0000-000023450000}"/>
    <cellStyle name="Normal 5 2 2 3 2 2 5 6" xfId="27532" xr:uid="{E2FD33FB-844D-4C15-B7DD-540054AA56CB}"/>
    <cellStyle name="Normal 5 2 2 3 2 2 6" xfId="2574" xr:uid="{00000000-0005-0000-0000-000024450000}"/>
    <cellStyle name="Normal 5 2 2 3 2 2 6 2" xfId="6858" xr:uid="{00000000-0005-0000-0000-000025450000}"/>
    <cellStyle name="Normal 5 2 2 3 2 2 6 2 2" xfId="23728" xr:uid="{00000000-0005-0000-0000-000026450000}"/>
    <cellStyle name="Normal 5 2 2 3 2 2 6 2 2 2" xfId="40596" xr:uid="{80E5679D-9199-4EB2-BD70-C6314332D2AF}"/>
    <cellStyle name="Normal 5 2 2 3 2 2 6 2 3" xfId="15293" xr:uid="{00000000-0005-0000-0000-000027450000}"/>
    <cellStyle name="Normal 5 2 2 3 2 2 6 2 4" xfId="32162" xr:uid="{B9FB5E8F-A29B-4FE2-8786-52B6757C92B1}"/>
    <cellStyle name="Normal 5 2 2 3 2 2 6 3" xfId="19510" xr:uid="{00000000-0005-0000-0000-000028450000}"/>
    <cellStyle name="Normal 5 2 2 3 2 2 6 3 2" xfId="36379" xr:uid="{F0ACCA70-D588-46E9-A850-7479EC6ECC7C}"/>
    <cellStyle name="Normal 5 2 2 3 2 2 6 4" xfId="11075" xr:uid="{00000000-0005-0000-0000-000029450000}"/>
    <cellStyle name="Normal 5 2 2 3 2 2 6 5" xfId="27945" xr:uid="{A97D0009-A580-42D2-A8D4-96C13DE5FE08}"/>
    <cellStyle name="Normal 5 2 2 3 2 2 7" xfId="4793" xr:uid="{00000000-0005-0000-0000-00002A450000}"/>
    <cellStyle name="Normal 5 2 2 3 2 2 7 2" xfId="21663" xr:uid="{00000000-0005-0000-0000-00002B450000}"/>
    <cellStyle name="Normal 5 2 2 3 2 2 7 2 2" xfId="38531" xr:uid="{01092518-5D15-45EB-B5C6-4FA7C3D10072}"/>
    <cellStyle name="Normal 5 2 2 3 2 2 7 3" xfId="13228" xr:uid="{00000000-0005-0000-0000-00002C450000}"/>
    <cellStyle name="Normal 5 2 2 3 2 2 7 4" xfId="30097" xr:uid="{254891FA-2F6A-4B19-8944-E5BE0A75B0BD}"/>
    <cellStyle name="Normal 5 2 2 3 2 2 8" xfId="17445" xr:uid="{00000000-0005-0000-0000-00002D450000}"/>
    <cellStyle name="Normal 5 2 2 3 2 2 8 2" xfId="34314" xr:uid="{BA4D23A9-ABB4-423D-832B-D211FAF32E82}"/>
    <cellStyle name="Normal 5 2 2 3 2 2 9" xfId="9010" xr:uid="{00000000-0005-0000-0000-00002E450000}"/>
    <cellStyle name="Normal 5 2 2 3 2 3" xfId="892" xr:uid="{00000000-0005-0000-0000-00002F450000}"/>
    <cellStyle name="Normal 5 2 2 3 2 3 2" xfId="3127" xr:uid="{00000000-0005-0000-0000-000030450000}"/>
    <cellStyle name="Normal 5 2 2 3 2 3 2 2" xfId="7350" xr:uid="{00000000-0005-0000-0000-000031450000}"/>
    <cellStyle name="Normal 5 2 2 3 2 3 2 2 2" xfId="24220" xr:uid="{00000000-0005-0000-0000-000032450000}"/>
    <cellStyle name="Normal 5 2 2 3 2 3 2 2 2 2" xfId="41088" xr:uid="{8FFBE335-AEE1-494B-B927-E36E972B71A6}"/>
    <cellStyle name="Normal 5 2 2 3 2 3 2 2 3" xfId="15785" xr:uid="{00000000-0005-0000-0000-000033450000}"/>
    <cellStyle name="Normal 5 2 2 3 2 3 2 2 4" xfId="32654" xr:uid="{AACB1FEC-4232-4E25-A52D-5EFB77779F0B}"/>
    <cellStyle name="Normal 5 2 2 3 2 3 2 3" xfId="20002" xr:uid="{00000000-0005-0000-0000-000034450000}"/>
    <cellStyle name="Normal 5 2 2 3 2 3 2 3 2" xfId="36871" xr:uid="{20916375-ABDF-4BD8-B7A5-4978AD716D17}"/>
    <cellStyle name="Normal 5 2 2 3 2 3 2 4" xfId="11567" xr:uid="{00000000-0005-0000-0000-000035450000}"/>
    <cellStyle name="Normal 5 2 2 3 2 3 2 5" xfId="28437" xr:uid="{5AADB5C0-6175-4C40-BAA4-FC4C25F2D5FC}"/>
    <cellStyle name="Normal 5 2 2 3 2 3 3" xfId="5205" xr:uid="{00000000-0005-0000-0000-000036450000}"/>
    <cellStyle name="Normal 5 2 2 3 2 3 3 2" xfId="22075" xr:uid="{00000000-0005-0000-0000-000037450000}"/>
    <cellStyle name="Normal 5 2 2 3 2 3 3 2 2" xfId="38943" xr:uid="{71E4518E-A557-43DF-A7DA-6F7ADDFB9735}"/>
    <cellStyle name="Normal 5 2 2 3 2 3 3 3" xfId="13640" xr:uid="{00000000-0005-0000-0000-000038450000}"/>
    <cellStyle name="Normal 5 2 2 3 2 3 3 4" xfId="30509" xr:uid="{9B049C29-6190-4F06-A215-EB8684564D4D}"/>
    <cellStyle name="Normal 5 2 2 3 2 3 4" xfId="17857" xr:uid="{00000000-0005-0000-0000-000039450000}"/>
    <cellStyle name="Normal 5 2 2 3 2 3 4 2" xfId="34726" xr:uid="{77D328DD-67F4-4A6A-8EFF-CDE9C10F5415}"/>
    <cellStyle name="Normal 5 2 2 3 2 3 5" xfId="9422" xr:uid="{00000000-0005-0000-0000-00003A450000}"/>
    <cellStyle name="Normal 5 2 2 3 2 3 6" xfId="26292" xr:uid="{5EDD0303-986A-4049-91D2-5BB98FFAF3CF}"/>
    <cellStyle name="Normal 5 2 2 3 2 4" xfId="1310" xr:uid="{00000000-0005-0000-0000-00003B450000}"/>
    <cellStyle name="Normal 5 2 2 3 2 4 2" xfId="3540" xr:uid="{00000000-0005-0000-0000-00003C450000}"/>
    <cellStyle name="Normal 5 2 2 3 2 4 2 2" xfId="7763" xr:uid="{00000000-0005-0000-0000-00003D450000}"/>
    <cellStyle name="Normal 5 2 2 3 2 4 2 2 2" xfId="24633" xr:uid="{00000000-0005-0000-0000-00003E450000}"/>
    <cellStyle name="Normal 5 2 2 3 2 4 2 2 2 2" xfId="41501" xr:uid="{DF7E25BD-DB80-40AA-8D01-CBE25316E5DC}"/>
    <cellStyle name="Normal 5 2 2 3 2 4 2 2 3" xfId="16198" xr:uid="{00000000-0005-0000-0000-00003F450000}"/>
    <cellStyle name="Normal 5 2 2 3 2 4 2 2 4" xfId="33067" xr:uid="{12864844-9330-46B8-BB97-5350CE0BDCDC}"/>
    <cellStyle name="Normal 5 2 2 3 2 4 2 3" xfId="20415" xr:uid="{00000000-0005-0000-0000-000040450000}"/>
    <cellStyle name="Normal 5 2 2 3 2 4 2 3 2" xfId="37284" xr:uid="{9F26FFA1-E0D1-424C-ABB3-AC7E5B99C7CF}"/>
    <cellStyle name="Normal 5 2 2 3 2 4 2 4" xfId="11980" xr:uid="{00000000-0005-0000-0000-000041450000}"/>
    <cellStyle name="Normal 5 2 2 3 2 4 2 5" xfId="28850" xr:uid="{3F9DC584-45F1-4CCD-9643-DB8EF0128A31}"/>
    <cellStyle name="Normal 5 2 2 3 2 4 3" xfId="5618" xr:uid="{00000000-0005-0000-0000-000042450000}"/>
    <cellStyle name="Normal 5 2 2 3 2 4 3 2" xfId="22488" xr:uid="{00000000-0005-0000-0000-000043450000}"/>
    <cellStyle name="Normal 5 2 2 3 2 4 3 2 2" xfId="39356" xr:uid="{6C2D81C8-BFA8-4C52-BEF7-DE6136D37184}"/>
    <cellStyle name="Normal 5 2 2 3 2 4 3 3" xfId="14053" xr:uid="{00000000-0005-0000-0000-000044450000}"/>
    <cellStyle name="Normal 5 2 2 3 2 4 3 4" xfId="30922" xr:uid="{71443A01-D069-4178-A16B-960A5E3F3FE8}"/>
    <cellStyle name="Normal 5 2 2 3 2 4 4" xfId="18270" xr:uid="{00000000-0005-0000-0000-000045450000}"/>
    <cellStyle name="Normal 5 2 2 3 2 4 4 2" xfId="35139" xr:uid="{8C6AD442-0823-41AF-9701-45DEB4CD4228}"/>
    <cellStyle name="Normal 5 2 2 3 2 4 5" xfId="9835" xr:uid="{00000000-0005-0000-0000-000046450000}"/>
    <cellStyle name="Normal 5 2 2 3 2 4 6" xfId="26705" xr:uid="{69D95DF9-AB72-4263-936A-E12E8A75C1D0}"/>
    <cellStyle name="Normal 5 2 2 3 2 5" xfId="1723" xr:uid="{00000000-0005-0000-0000-000047450000}"/>
    <cellStyle name="Normal 5 2 2 3 2 5 2" xfId="3953" xr:uid="{00000000-0005-0000-0000-000048450000}"/>
    <cellStyle name="Normal 5 2 2 3 2 5 2 2" xfId="8176" xr:uid="{00000000-0005-0000-0000-000049450000}"/>
    <cellStyle name="Normal 5 2 2 3 2 5 2 2 2" xfId="25046" xr:uid="{00000000-0005-0000-0000-00004A450000}"/>
    <cellStyle name="Normal 5 2 2 3 2 5 2 2 2 2" xfId="41914" xr:uid="{3ED5EE95-59AB-47C5-925D-35CB81750551}"/>
    <cellStyle name="Normal 5 2 2 3 2 5 2 2 3" xfId="16611" xr:uid="{00000000-0005-0000-0000-00004B450000}"/>
    <cellStyle name="Normal 5 2 2 3 2 5 2 2 4" xfId="33480" xr:uid="{79AC33B6-09E1-45A9-8464-3A23EE67B6D5}"/>
    <cellStyle name="Normal 5 2 2 3 2 5 2 3" xfId="20828" xr:uid="{00000000-0005-0000-0000-00004C450000}"/>
    <cellStyle name="Normal 5 2 2 3 2 5 2 3 2" xfId="37697" xr:uid="{FB6FD89A-59D7-45D6-BBA5-6EBE4B2B09D7}"/>
    <cellStyle name="Normal 5 2 2 3 2 5 2 4" xfId="12393" xr:uid="{00000000-0005-0000-0000-00004D450000}"/>
    <cellStyle name="Normal 5 2 2 3 2 5 2 5" xfId="29263" xr:uid="{AC3C5E81-9FF9-4669-B291-331FDF8E58BB}"/>
    <cellStyle name="Normal 5 2 2 3 2 5 3" xfId="6031" xr:uid="{00000000-0005-0000-0000-00004E450000}"/>
    <cellStyle name="Normal 5 2 2 3 2 5 3 2" xfId="22901" xr:uid="{00000000-0005-0000-0000-00004F450000}"/>
    <cellStyle name="Normal 5 2 2 3 2 5 3 2 2" xfId="39769" xr:uid="{A3C0DBE5-88D8-4B7C-81CC-28C49003B4BE}"/>
    <cellStyle name="Normal 5 2 2 3 2 5 3 3" xfId="14466" xr:uid="{00000000-0005-0000-0000-000050450000}"/>
    <cellStyle name="Normal 5 2 2 3 2 5 3 4" xfId="31335" xr:uid="{8CB5AF46-C4AB-4297-82D1-A098CB347E46}"/>
    <cellStyle name="Normal 5 2 2 3 2 5 4" xfId="18683" xr:uid="{00000000-0005-0000-0000-000051450000}"/>
    <cellStyle name="Normal 5 2 2 3 2 5 4 2" xfId="35552" xr:uid="{38A91E2C-F280-4A2F-94DB-DEC9C94ED8F7}"/>
    <cellStyle name="Normal 5 2 2 3 2 5 5" xfId="10248" xr:uid="{00000000-0005-0000-0000-000052450000}"/>
    <cellStyle name="Normal 5 2 2 3 2 5 6" xfId="27118" xr:uid="{60C06CE8-9BD6-4B96-A57B-E2637CB18E43}"/>
    <cellStyle name="Normal 5 2 2 3 2 6" xfId="2137" xr:uid="{00000000-0005-0000-0000-000053450000}"/>
    <cellStyle name="Normal 5 2 2 3 2 6 2" xfId="4366" xr:uid="{00000000-0005-0000-0000-000054450000}"/>
    <cellStyle name="Normal 5 2 2 3 2 6 2 2" xfId="8589" xr:uid="{00000000-0005-0000-0000-000055450000}"/>
    <cellStyle name="Normal 5 2 2 3 2 6 2 2 2" xfId="25459" xr:uid="{00000000-0005-0000-0000-000056450000}"/>
    <cellStyle name="Normal 5 2 2 3 2 6 2 2 2 2" xfId="42327" xr:uid="{19472196-CBF4-40FB-ACCF-67ADBA68024D}"/>
    <cellStyle name="Normal 5 2 2 3 2 6 2 2 3" xfId="17024" xr:uid="{00000000-0005-0000-0000-000057450000}"/>
    <cellStyle name="Normal 5 2 2 3 2 6 2 2 4" xfId="33893" xr:uid="{22688E65-4BA6-43DA-8497-0228B5DAF20E}"/>
    <cellStyle name="Normal 5 2 2 3 2 6 2 3" xfId="21241" xr:uid="{00000000-0005-0000-0000-000058450000}"/>
    <cellStyle name="Normal 5 2 2 3 2 6 2 3 2" xfId="38110" xr:uid="{26AF32A2-4AFC-4DCB-9884-DA0E14404216}"/>
    <cellStyle name="Normal 5 2 2 3 2 6 2 4" xfId="12806" xr:uid="{00000000-0005-0000-0000-000059450000}"/>
    <cellStyle name="Normal 5 2 2 3 2 6 2 5" xfId="29676" xr:uid="{F986EE45-4670-449A-A02F-5C82CA9FCC57}"/>
    <cellStyle name="Normal 5 2 2 3 2 6 3" xfId="6444" xr:uid="{00000000-0005-0000-0000-00005A450000}"/>
    <cellStyle name="Normal 5 2 2 3 2 6 3 2" xfId="23314" xr:uid="{00000000-0005-0000-0000-00005B450000}"/>
    <cellStyle name="Normal 5 2 2 3 2 6 3 2 2" xfId="40182" xr:uid="{22B78CB4-68A5-4039-8E36-361F5C0C33A7}"/>
    <cellStyle name="Normal 5 2 2 3 2 6 3 3" xfId="14879" xr:uid="{00000000-0005-0000-0000-00005C450000}"/>
    <cellStyle name="Normal 5 2 2 3 2 6 3 4" xfId="31748" xr:uid="{9E3D6D45-E74A-4777-A23B-B932213D55E6}"/>
    <cellStyle name="Normal 5 2 2 3 2 6 4" xfId="19096" xr:uid="{00000000-0005-0000-0000-00005D450000}"/>
    <cellStyle name="Normal 5 2 2 3 2 6 4 2" xfId="35965" xr:uid="{CA32B463-9213-4B38-BE33-F9090F7E740F}"/>
    <cellStyle name="Normal 5 2 2 3 2 6 5" xfId="10661" xr:uid="{00000000-0005-0000-0000-00005E450000}"/>
    <cellStyle name="Normal 5 2 2 3 2 6 6" xfId="27531" xr:uid="{EA8A02A9-BF7D-4B35-98F9-B40AB666A4DB}"/>
    <cellStyle name="Normal 5 2 2 3 2 7" xfId="2573" xr:uid="{00000000-0005-0000-0000-00005F450000}"/>
    <cellStyle name="Normal 5 2 2 3 2 7 2" xfId="6857" xr:uid="{00000000-0005-0000-0000-000060450000}"/>
    <cellStyle name="Normal 5 2 2 3 2 7 2 2" xfId="23727" xr:uid="{00000000-0005-0000-0000-000061450000}"/>
    <cellStyle name="Normal 5 2 2 3 2 7 2 2 2" xfId="40595" xr:uid="{D42D1E54-081E-41C4-B47C-BEC2BB65CBCA}"/>
    <cellStyle name="Normal 5 2 2 3 2 7 2 3" xfId="15292" xr:uid="{00000000-0005-0000-0000-000062450000}"/>
    <cellStyle name="Normal 5 2 2 3 2 7 2 4" xfId="32161" xr:uid="{B9E9B35D-73DA-49FB-BD0E-B890DFF750ED}"/>
    <cellStyle name="Normal 5 2 2 3 2 7 3" xfId="19509" xr:uid="{00000000-0005-0000-0000-000063450000}"/>
    <cellStyle name="Normal 5 2 2 3 2 7 3 2" xfId="36378" xr:uid="{FD60734D-8399-4EA9-B1DF-19BC9EA3904F}"/>
    <cellStyle name="Normal 5 2 2 3 2 7 4" xfId="11074" xr:uid="{00000000-0005-0000-0000-000064450000}"/>
    <cellStyle name="Normal 5 2 2 3 2 7 5" xfId="27944" xr:uid="{B6ECE72C-EA4B-4DBD-8964-936320409976}"/>
    <cellStyle name="Normal 5 2 2 3 2 8" xfId="4792" xr:uid="{00000000-0005-0000-0000-000065450000}"/>
    <cellStyle name="Normal 5 2 2 3 2 8 2" xfId="21662" xr:uid="{00000000-0005-0000-0000-000066450000}"/>
    <cellStyle name="Normal 5 2 2 3 2 8 2 2" xfId="38530" xr:uid="{2ACE375E-5D71-4CC1-A064-80537CA97024}"/>
    <cellStyle name="Normal 5 2 2 3 2 8 3" xfId="13227" xr:uid="{00000000-0005-0000-0000-000067450000}"/>
    <cellStyle name="Normal 5 2 2 3 2 8 4" xfId="30096" xr:uid="{D410D4F6-BA42-475D-B272-AD7E49A40330}"/>
    <cellStyle name="Normal 5 2 2 3 2 9" xfId="17444" xr:uid="{00000000-0005-0000-0000-000068450000}"/>
    <cellStyle name="Normal 5 2 2 3 2 9 2" xfId="34313" xr:uid="{2736A73B-0488-4A52-A3CB-9388AA082D31}"/>
    <cellStyle name="Normal 5 2 2 3 3" xfId="420" xr:uid="{00000000-0005-0000-0000-000069450000}"/>
    <cellStyle name="Normal 5 2 2 3 3 10" xfId="25881" xr:uid="{AE462ABC-7435-4D1E-9FEE-18B07A5C9676}"/>
    <cellStyle name="Normal 5 2 2 3 3 2" xfId="894" xr:uid="{00000000-0005-0000-0000-00006A450000}"/>
    <cellStyle name="Normal 5 2 2 3 3 2 2" xfId="3129" xr:uid="{00000000-0005-0000-0000-00006B450000}"/>
    <cellStyle name="Normal 5 2 2 3 3 2 2 2" xfId="7352" xr:uid="{00000000-0005-0000-0000-00006C450000}"/>
    <cellStyle name="Normal 5 2 2 3 3 2 2 2 2" xfId="24222" xr:uid="{00000000-0005-0000-0000-00006D450000}"/>
    <cellStyle name="Normal 5 2 2 3 3 2 2 2 2 2" xfId="41090" xr:uid="{6C2315AE-A74E-41C8-9143-972939FCFD92}"/>
    <cellStyle name="Normal 5 2 2 3 3 2 2 2 3" xfId="15787" xr:uid="{00000000-0005-0000-0000-00006E450000}"/>
    <cellStyle name="Normal 5 2 2 3 3 2 2 2 4" xfId="32656" xr:uid="{78F87ECE-B91D-4689-9A39-E60010FE30BA}"/>
    <cellStyle name="Normal 5 2 2 3 3 2 2 3" xfId="20004" xr:uid="{00000000-0005-0000-0000-00006F450000}"/>
    <cellStyle name="Normal 5 2 2 3 3 2 2 3 2" xfId="36873" xr:uid="{6F3DE2DA-B223-47BE-BC97-9100FE3E2D55}"/>
    <cellStyle name="Normal 5 2 2 3 3 2 2 4" xfId="11569" xr:uid="{00000000-0005-0000-0000-000070450000}"/>
    <cellStyle name="Normal 5 2 2 3 3 2 2 5" xfId="28439" xr:uid="{FC06B919-3BCA-4C25-B14F-4C3A7E24AB50}"/>
    <cellStyle name="Normal 5 2 2 3 3 2 3" xfId="5207" xr:uid="{00000000-0005-0000-0000-000071450000}"/>
    <cellStyle name="Normal 5 2 2 3 3 2 3 2" xfId="22077" xr:uid="{00000000-0005-0000-0000-000072450000}"/>
    <cellStyle name="Normal 5 2 2 3 3 2 3 2 2" xfId="38945" xr:uid="{26C5BC18-339B-48A1-83AC-2F1C8445676A}"/>
    <cellStyle name="Normal 5 2 2 3 3 2 3 3" xfId="13642" xr:uid="{00000000-0005-0000-0000-000073450000}"/>
    <cellStyle name="Normal 5 2 2 3 3 2 3 4" xfId="30511" xr:uid="{B2D747A3-DB45-430B-8494-EF4E72185581}"/>
    <cellStyle name="Normal 5 2 2 3 3 2 4" xfId="17859" xr:uid="{00000000-0005-0000-0000-000074450000}"/>
    <cellStyle name="Normal 5 2 2 3 3 2 4 2" xfId="34728" xr:uid="{B70392E2-E910-4DC4-B97D-5BE75F175158}"/>
    <cellStyle name="Normal 5 2 2 3 3 2 5" xfId="9424" xr:uid="{00000000-0005-0000-0000-000075450000}"/>
    <cellStyle name="Normal 5 2 2 3 3 2 6" xfId="26294" xr:uid="{D98A0C5E-19E8-492F-894F-8F6CC0DEB1C5}"/>
    <cellStyle name="Normal 5 2 2 3 3 3" xfId="1312" xr:uid="{00000000-0005-0000-0000-000076450000}"/>
    <cellStyle name="Normal 5 2 2 3 3 3 2" xfId="3542" xr:uid="{00000000-0005-0000-0000-000077450000}"/>
    <cellStyle name="Normal 5 2 2 3 3 3 2 2" xfId="7765" xr:uid="{00000000-0005-0000-0000-000078450000}"/>
    <cellStyle name="Normal 5 2 2 3 3 3 2 2 2" xfId="24635" xr:uid="{00000000-0005-0000-0000-000079450000}"/>
    <cellStyle name="Normal 5 2 2 3 3 3 2 2 2 2" xfId="41503" xr:uid="{BC586827-68E7-48BB-86FA-B422146F45FE}"/>
    <cellStyle name="Normal 5 2 2 3 3 3 2 2 3" xfId="16200" xr:uid="{00000000-0005-0000-0000-00007A450000}"/>
    <cellStyle name="Normal 5 2 2 3 3 3 2 2 4" xfId="33069" xr:uid="{FD0B1E0A-01A8-4963-B5A7-FD00DD746DAC}"/>
    <cellStyle name="Normal 5 2 2 3 3 3 2 3" xfId="20417" xr:uid="{00000000-0005-0000-0000-00007B450000}"/>
    <cellStyle name="Normal 5 2 2 3 3 3 2 3 2" xfId="37286" xr:uid="{0F407F3C-02EA-4070-9D11-CD8AC2D12288}"/>
    <cellStyle name="Normal 5 2 2 3 3 3 2 4" xfId="11982" xr:uid="{00000000-0005-0000-0000-00007C450000}"/>
    <cellStyle name="Normal 5 2 2 3 3 3 2 5" xfId="28852" xr:uid="{BDF2CAC1-FD5D-438C-8A88-22A1DACFA37F}"/>
    <cellStyle name="Normal 5 2 2 3 3 3 3" xfId="5620" xr:uid="{00000000-0005-0000-0000-00007D450000}"/>
    <cellStyle name="Normal 5 2 2 3 3 3 3 2" xfId="22490" xr:uid="{00000000-0005-0000-0000-00007E450000}"/>
    <cellStyle name="Normal 5 2 2 3 3 3 3 2 2" xfId="39358" xr:uid="{91FE4E36-616E-43EF-ABDE-4FAAEE91437D}"/>
    <cellStyle name="Normal 5 2 2 3 3 3 3 3" xfId="14055" xr:uid="{00000000-0005-0000-0000-00007F450000}"/>
    <cellStyle name="Normal 5 2 2 3 3 3 3 4" xfId="30924" xr:uid="{DE6BB6D5-0E8E-4683-ADFA-9B638575BA41}"/>
    <cellStyle name="Normal 5 2 2 3 3 3 4" xfId="18272" xr:uid="{00000000-0005-0000-0000-000080450000}"/>
    <cellStyle name="Normal 5 2 2 3 3 3 4 2" xfId="35141" xr:uid="{378348EB-9C32-4EE5-8B8B-EFDCCA6558EC}"/>
    <cellStyle name="Normal 5 2 2 3 3 3 5" xfId="9837" xr:uid="{00000000-0005-0000-0000-000081450000}"/>
    <cellStyle name="Normal 5 2 2 3 3 3 6" xfId="26707" xr:uid="{AB2F5D88-3967-4A7F-8ED7-4503689FE085}"/>
    <cellStyle name="Normal 5 2 2 3 3 4" xfId="1725" xr:uid="{00000000-0005-0000-0000-000082450000}"/>
    <cellStyle name="Normal 5 2 2 3 3 4 2" xfId="3955" xr:uid="{00000000-0005-0000-0000-000083450000}"/>
    <cellStyle name="Normal 5 2 2 3 3 4 2 2" xfId="8178" xr:uid="{00000000-0005-0000-0000-000084450000}"/>
    <cellStyle name="Normal 5 2 2 3 3 4 2 2 2" xfId="25048" xr:uid="{00000000-0005-0000-0000-000085450000}"/>
    <cellStyle name="Normal 5 2 2 3 3 4 2 2 2 2" xfId="41916" xr:uid="{0DDEC604-10B1-428E-9D37-D91A366B9936}"/>
    <cellStyle name="Normal 5 2 2 3 3 4 2 2 3" xfId="16613" xr:uid="{00000000-0005-0000-0000-000086450000}"/>
    <cellStyle name="Normal 5 2 2 3 3 4 2 2 4" xfId="33482" xr:uid="{07B676EF-E5C7-414A-8B3A-EECEF7B90903}"/>
    <cellStyle name="Normal 5 2 2 3 3 4 2 3" xfId="20830" xr:uid="{00000000-0005-0000-0000-000087450000}"/>
    <cellStyle name="Normal 5 2 2 3 3 4 2 3 2" xfId="37699" xr:uid="{44602BE0-EEA3-4D3D-8A38-799BC2EC667E}"/>
    <cellStyle name="Normal 5 2 2 3 3 4 2 4" xfId="12395" xr:uid="{00000000-0005-0000-0000-000088450000}"/>
    <cellStyle name="Normal 5 2 2 3 3 4 2 5" xfId="29265" xr:uid="{7372E5FC-DB75-4F5A-A738-B060F4FFFBC3}"/>
    <cellStyle name="Normal 5 2 2 3 3 4 3" xfId="6033" xr:uid="{00000000-0005-0000-0000-000089450000}"/>
    <cellStyle name="Normal 5 2 2 3 3 4 3 2" xfId="22903" xr:uid="{00000000-0005-0000-0000-00008A450000}"/>
    <cellStyle name="Normal 5 2 2 3 3 4 3 2 2" xfId="39771" xr:uid="{CEAA1BE7-1BC2-401F-A09B-8B8CE9A08338}"/>
    <cellStyle name="Normal 5 2 2 3 3 4 3 3" xfId="14468" xr:uid="{00000000-0005-0000-0000-00008B450000}"/>
    <cellStyle name="Normal 5 2 2 3 3 4 3 4" xfId="31337" xr:uid="{0ACC77B7-BEA7-469A-8C11-9C1F2D4B5D3E}"/>
    <cellStyle name="Normal 5 2 2 3 3 4 4" xfId="18685" xr:uid="{00000000-0005-0000-0000-00008C450000}"/>
    <cellStyle name="Normal 5 2 2 3 3 4 4 2" xfId="35554" xr:uid="{81E709D7-3331-45A1-8AC8-A04CF9605EF6}"/>
    <cellStyle name="Normal 5 2 2 3 3 4 5" xfId="10250" xr:uid="{00000000-0005-0000-0000-00008D450000}"/>
    <cellStyle name="Normal 5 2 2 3 3 4 6" xfId="27120" xr:uid="{5B942D4B-764F-4DEA-AF56-8533910264FD}"/>
    <cellStyle name="Normal 5 2 2 3 3 5" xfId="2139" xr:uid="{00000000-0005-0000-0000-00008E450000}"/>
    <cellStyle name="Normal 5 2 2 3 3 5 2" xfId="4368" xr:uid="{00000000-0005-0000-0000-00008F450000}"/>
    <cellStyle name="Normal 5 2 2 3 3 5 2 2" xfId="8591" xr:uid="{00000000-0005-0000-0000-000090450000}"/>
    <cellStyle name="Normal 5 2 2 3 3 5 2 2 2" xfId="25461" xr:uid="{00000000-0005-0000-0000-000091450000}"/>
    <cellStyle name="Normal 5 2 2 3 3 5 2 2 2 2" xfId="42329" xr:uid="{F11E9C25-9BAF-44FB-94E8-A297F9908F40}"/>
    <cellStyle name="Normal 5 2 2 3 3 5 2 2 3" xfId="17026" xr:uid="{00000000-0005-0000-0000-000092450000}"/>
    <cellStyle name="Normal 5 2 2 3 3 5 2 2 4" xfId="33895" xr:uid="{EB3A00B4-9322-4DFC-9392-4E40BFD93398}"/>
    <cellStyle name="Normal 5 2 2 3 3 5 2 3" xfId="21243" xr:uid="{00000000-0005-0000-0000-000093450000}"/>
    <cellStyle name="Normal 5 2 2 3 3 5 2 3 2" xfId="38112" xr:uid="{CBCB7490-9DFF-4707-B700-0FF8C5ED3967}"/>
    <cellStyle name="Normal 5 2 2 3 3 5 2 4" xfId="12808" xr:uid="{00000000-0005-0000-0000-000094450000}"/>
    <cellStyle name="Normal 5 2 2 3 3 5 2 5" xfId="29678" xr:uid="{837AD52A-3A89-47F8-A04B-CB618F15E50E}"/>
    <cellStyle name="Normal 5 2 2 3 3 5 3" xfId="6446" xr:uid="{00000000-0005-0000-0000-000095450000}"/>
    <cellStyle name="Normal 5 2 2 3 3 5 3 2" xfId="23316" xr:uid="{00000000-0005-0000-0000-000096450000}"/>
    <cellStyle name="Normal 5 2 2 3 3 5 3 2 2" xfId="40184" xr:uid="{FE6268BF-6C92-48F2-A49B-14B3BB3C1C86}"/>
    <cellStyle name="Normal 5 2 2 3 3 5 3 3" xfId="14881" xr:uid="{00000000-0005-0000-0000-000097450000}"/>
    <cellStyle name="Normal 5 2 2 3 3 5 3 4" xfId="31750" xr:uid="{5C04EA4E-45FF-48E1-9C99-703C6EBB4880}"/>
    <cellStyle name="Normal 5 2 2 3 3 5 4" xfId="19098" xr:uid="{00000000-0005-0000-0000-000098450000}"/>
    <cellStyle name="Normal 5 2 2 3 3 5 4 2" xfId="35967" xr:uid="{BA61D4FE-C66A-47D0-869B-707F72F5FD7D}"/>
    <cellStyle name="Normal 5 2 2 3 3 5 5" xfId="10663" xr:uid="{00000000-0005-0000-0000-000099450000}"/>
    <cellStyle name="Normal 5 2 2 3 3 5 6" xfId="27533" xr:uid="{988200AA-AA67-4BD3-8F40-B3D6FABC7ADD}"/>
    <cellStyle name="Normal 5 2 2 3 3 6" xfId="2575" xr:uid="{00000000-0005-0000-0000-00009A450000}"/>
    <cellStyle name="Normal 5 2 2 3 3 6 2" xfId="6859" xr:uid="{00000000-0005-0000-0000-00009B450000}"/>
    <cellStyle name="Normal 5 2 2 3 3 6 2 2" xfId="23729" xr:uid="{00000000-0005-0000-0000-00009C450000}"/>
    <cellStyle name="Normal 5 2 2 3 3 6 2 2 2" xfId="40597" xr:uid="{EF286901-AE26-4A74-95E9-03B0B88C97A0}"/>
    <cellStyle name="Normal 5 2 2 3 3 6 2 3" xfId="15294" xr:uid="{00000000-0005-0000-0000-00009D450000}"/>
    <cellStyle name="Normal 5 2 2 3 3 6 2 4" xfId="32163" xr:uid="{EC63B5C6-0331-4872-997D-065B94FFE02D}"/>
    <cellStyle name="Normal 5 2 2 3 3 6 3" xfId="19511" xr:uid="{00000000-0005-0000-0000-00009E450000}"/>
    <cellStyle name="Normal 5 2 2 3 3 6 3 2" xfId="36380" xr:uid="{9832008A-E00C-4065-9CEE-8B0D800E4331}"/>
    <cellStyle name="Normal 5 2 2 3 3 6 4" xfId="11076" xr:uid="{00000000-0005-0000-0000-00009F450000}"/>
    <cellStyle name="Normal 5 2 2 3 3 6 5" xfId="27946" xr:uid="{13E58A2B-BA93-4594-BC94-BC1D1D5B2559}"/>
    <cellStyle name="Normal 5 2 2 3 3 7" xfId="4794" xr:uid="{00000000-0005-0000-0000-0000A0450000}"/>
    <cellStyle name="Normal 5 2 2 3 3 7 2" xfId="21664" xr:uid="{00000000-0005-0000-0000-0000A1450000}"/>
    <cellStyle name="Normal 5 2 2 3 3 7 2 2" xfId="38532" xr:uid="{7FBE61D7-32E1-42C8-9590-5AC4CBBC8D4F}"/>
    <cellStyle name="Normal 5 2 2 3 3 7 3" xfId="13229" xr:uid="{00000000-0005-0000-0000-0000A2450000}"/>
    <cellStyle name="Normal 5 2 2 3 3 7 4" xfId="30098" xr:uid="{BBBDA8A8-C816-4252-954F-B4BE918D3A50}"/>
    <cellStyle name="Normal 5 2 2 3 3 8" xfId="17446" xr:uid="{00000000-0005-0000-0000-0000A3450000}"/>
    <cellStyle name="Normal 5 2 2 3 3 8 2" xfId="34315" xr:uid="{D785E1BA-AF75-49F3-AE84-E15123C8C3B0}"/>
    <cellStyle name="Normal 5 2 2 3 3 9" xfId="9011" xr:uid="{00000000-0005-0000-0000-0000A4450000}"/>
    <cellStyle name="Normal 5 2 2 3 4" xfId="891" xr:uid="{00000000-0005-0000-0000-0000A5450000}"/>
    <cellStyle name="Normal 5 2 2 3 4 2" xfId="3126" xr:uid="{00000000-0005-0000-0000-0000A6450000}"/>
    <cellStyle name="Normal 5 2 2 3 4 2 2" xfId="7349" xr:uid="{00000000-0005-0000-0000-0000A7450000}"/>
    <cellStyle name="Normal 5 2 2 3 4 2 2 2" xfId="24219" xr:uid="{00000000-0005-0000-0000-0000A8450000}"/>
    <cellStyle name="Normal 5 2 2 3 4 2 2 2 2" xfId="41087" xr:uid="{38CA1806-4083-4CF5-A764-3C9EDA929CAF}"/>
    <cellStyle name="Normal 5 2 2 3 4 2 2 3" xfId="15784" xr:uid="{00000000-0005-0000-0000-0000A9450000}"/>
    <cellStyle name="Normal 5 2 2 3 4 2 2 4" xfId="32653" xr:uid="{4F670DF6-840E-440E-94D5-2AAFE89598DB}"/>
    <cellStyle name="Normal 5 2 2 3 4 2 3" xfId="20001" xr:uid="{00000000-0005-0000-0000-0000AA450000}"/>
    <cellStyle name="Normal 5 2 2 3 4 2 3 2" xfId="36870" xr:uid="{297D2539-9F88-437A-8A82-387EE2487F42}"/>
    <cellStyle name="Normal 5 2 2 3 4 2 4" xfId="11566" xr:uid="{00000000-0005-0000-0000-0000AB450000}"/>
    <cellStyle name="Normal 5 2 2 3 4 2 5" xfId="28436" xr:uid="{C751D01E-2FB1-497D-B940-4610024DC2BA}"/>
    <cellStyle name="Normal 5 2 2 3 4 3" xfId="5204" xr:uid="{00000000-0005-0000-0000-0000AC450000}"/>
    <cellStyle name="Normal 5 2 2 3 4 3 2" xfId="22074" xr:uid="{00000000-0005-0000-0000-0000AD450000}"/>
    <cellStyle name="Normal 5 2 2 3 4 3 2 2" xfId="38942" xr:uid="{C6EFFE9C-79BF-410D-9993-B520C8090134}"/>
    <cellStyle name="Normal 5 2 2 3 4 3 3" xfId="13639" xr:uid="{00000000-0005-0000-0000-0000AE450000}"/>
    <cellStyle name="Normal 5 2 2 3 4 3 4" xfId="30508" xr:uid="{71D3629D-813A-45CD-9BB4-63D699B0F949}"/>
    <cellStyle name="Normal 5 2 2 3 4 4" xfId="17856" xr:uid="{00000000-0005-0000-0000-0000AF450000}"/>
    <cellStyle name="Normal 5 2 2 3 4 4 2" xfId="34725" xr:uid="{D1862E65-54D7-4273-B732-7997550D2AE4}"/>
    <cellStyle name="Normal 5 2 2 3 4 5" xfId="9421" xr:uid="{00000000-0005-0000-0000-0000B0450000}"/>
    <cellStyle name="Normal 5 2 2 3 4 6" xfId="26291" xr:uid="{8983DE65-40FD-4138-B939-FF0DB6CBA49F}"/>
    <cellStyle name="Normal 5 2 2 3 5" xfId="1309" xr:uid="{00000000-0005-0000-0000-0000B1450000}"/>
    <cellStyle name="Normal 5 2 2 3 5 2" xfId="3539" xr:uid="{00000000-0005-0000-0000-0000B2450000}"/>
    <cellStyle name="Normal 5 2 2 3 5 2 2" xfId="7762" xr:uid="{00000000-0005-0000-0000-0000B3450000}"/>
    <cellStyle name="Normal 5 2 2 3 5 2 2 2" xfId="24632" xr:uid="{00000000-0005-0000-0000-0000B4450000}"/>
    <cellStyle name="Normal 5 2 2 3 5 2 2 2 2" xfId="41500" xr:uid="{15C22A37-9A56-4E9C-AE6D-C755BADC2F27}"/>
    <cellStyle name="Normal 5 2 2 3 5 2 2 3" xfId="16197" xr:uid="{00000000-0005-0000-0000-0000B5450000}"/>
    <cellStyle name="Normal 5 2 2 3 5 2 2 4" xfId="33066" xr:uid="{CC3008F5-3DA9-442D-9420-B643700BB842}"/>
    <cellStyle name="Normal 5 2 2 3 5 2 3" xfId="20414" xr:uid="{00000000-0005-0000-0000-0000B6450000}"/>
    <cellStyle name="Normal 5 2 2 3 5 2 3 2" xfId="37283" xr:uid="{91FEA690-AE84-45E0-832F-954641BF629B}"/>
    <cellStyle name="Normal 5 2 2 3 5 2 4" xfId="11979" xr:uid="{00000000-0005-0000-0000-0000B7450000}"/>
    <cellStyle name="Normal 5 2 2 3 5 2 5" xfId="28849" xr:uid="{CF2521DD-B905-4AD4-856C-6FB0A4559F5F}"/>
    <cellStyle name="Normal 5 2 2 3 5 3" xfId="5617" xr:uid="{00000000-0005-0000-0000-0000B8450000}"/>
    <cellStyle name="Normal 5 2 2 3 5 3 2" xfId="22487" xr:uid="{00000000-0005-0000-0000-0000B9450000}"/>
    <cellStyle name="Normal 5 2 2 3 5 3 2 2" xfId="39355" xr:uid="{40B35675-8502-43CB-900D-2A15EF05C2E7}"/>
    <cellStyle name="Normal 5 2 2 3 5 3 3" xfId="14052" xr:uid="{00000000-0005-0000-0000-0000BA450000}"/>
    <cellStyle name="Normal 5 2 2 3 5 3 4" xfId="30921" xr:uid="{286C6D3B-7E84-4D75-8602-230DD7042B36}"/>
    <cellStyle name="Normal 5 2 2 3 5 4" xfId="18269" xr:uid="{00000000-0005-0000-0000-0000BB450000}"/>
    <cellStyle name="Normal 5 2 2 3 5 4 2" xfId="35138" xr:uid="{5D8DC1F6-EC91-41D6-928C-E28684F1BEAA}"/>
    <cellStyle name="Normal 5 2 2 3 5 5" xfId="9834" xr:uid="{00000000-0005-0000-0000-0000BC450000}"/>
    <cellStyle name="Normal 5 2 2 3 5 6" xfId="26704" xr:uid="{96B767E5-2130-4477-BA20-2CC0B44B1E67}"/>
    <cellStyle name="Normal 5 2 2 3 6" xfId="1722" xr:uid="{00000000-0005-0000-0000-0000BD450000}"/>
    <cellStyle name="Normal 5 2 2 3 6 2" xfId="3952" xr:uid="{00000000-0005-0000-0000-0000BE450000}"/>
    <cellStyle name="Normal 5 2 2 3 6 2 2" xfId="8175" xr:uid="{00000000-0005-0000-0000-0000BF450000}"/>
    <cellStyle name="Normal 5 2 2 3 6 2 2 2" xfId="25045" xr:uid="{00000000-0005-0000-0000-0000C0450000}"/>
    <cellStyle name="Normal 5 2 2 3 6 2 2 2 2" xfId="41913" xr:uid="{163C4127-9743-4436-90AF-4179173340E3}"/>
    <cellStyle name="Normal 5 2 2 3 6 2 2 3" xfId="16610" xr:uid="{00000000-0005-0000-0000-0000C1450000}"/>
    <cellStyle name="Normal 5 2 2 3 6 2 2 4" xfId="33479" xr:uid="{E4DF6A63-ABEA-48F7-9E9C-188BB94BCB80}"/>
    <cellStyle name="Normal 5 2 2 3 6 2 3" xfId="20827" xr:uid="{00000000-0005-0000-0000-0000C2450000}"/>
    <cellStyle name="Normal 5 2 2 3 6 2 3 2" xfId="37696" xr:uid="{950B5559-FF98-40BE-92D6-F7E311A21161}"/>
    <cellStyle name="Normal 5 2 2 3 6 2 4" xfId="12392" xr:uid="{00000000-0005-0000-0000-0000C3450000}"/>
    <cellStyle name="Normal 5 2 2 3 6 2 5" xfId="29262" xr:uid="{959150C3-C9F3-4E1C-A0BB-AD29821DC43F}"/>
    <cellStyle name="Normal 5 2 2 3 6 3" xfId="6030" xr:uid="{00000000-0005-0000-0000-0000C4450000}"/>
    <cellStyle name="Normal 5 2 2 3 6 3 2" xfId="22900" xr:uid="{00000000-0005-0000-0000-0000C5450000}"/>
    <cellStyle name="Normal 5 2 2 3 6 3 2 2" xfId="39768" xr:uid="{A077795A-9181-4BF6-A90C-4D1EB12952A4}"/>
    <cellStyle name="Normal 5 2 2 3 6 3 3" xfId="14465" xr:uid="{00000000-0005-0000-0000-0000C6450000}"/>
    <cellStyle name="Normal 5 2 2 3 6 3 4" xfId="31334" xr:uid="{FB5A0A4C-881A-4CCF-9129-05DD4F7429EE}"/>
    <cellStyle name="Normal 5 2 2 3 6 4" xfId="18682" xr:uid="{00000000-0005-0000-0000-0000C7450000}"/>
    <cellStyle name="Normal 5 2 2 3 6 4 2" xfId="35551" xr:uid="{8DCF868B-40C4-4CCE-A02D-81D7D424FADF}"/>
    <cellStyle name="Normal 5 2 2 3 6 5" xfId="10247" xr:uid="{00000000-0005-0000-0000-0000C8450000}"/>
    <cellStyle name="Normal 5 2 2 3 6 6" xfId="27117" xr:uid="{F7708118-B800-4A6A-96CD-ADF3115B3E4B}"/>
    <cellStyle name="Normal 5 2 2 3 7" xfId="2136" xr:uid="{00000000-0005-0000-0000-0000C9450000}"/>
    <cellStyle name="Normal 5 2 2 3 7 2" xfId="4365" xr:uid="{00000000-0005-0000-0000-0000CA450000}"/>
    <cellStyle name="Normal 5 2 2 3 7 2 2" xfId="8588" xr:uid="{00000000-0005-0000-0000-0000CB450000}"/>
    <cellStyle name="Normal 5 2 2 3 7 2 2 2" xfId="25458" xr:uid="{00000000-0005-0000-0000-0000CC450000}"/>
    <cellStyle name="Normal 5 2 2 3 7 2 2 2 2" xfId="42326" xr:uid="{400B5654-AA09-4180-B831-F4C74191E52B}"/>
    <cellStyle name="Normal 5 2 2 3 7 2 2 3" xfId="17023" xr:uid="{00000000-0005-0000-0000-0000CD450000}"/>
    <cellStyle name="Normal 5 2 2 3 7 2 2 4" xfId="33892" xr:uid="{6FA13ACB-44B2-4ADD-B997-3F7932688B92}"/>
    <cellStyle name="Normal 5 2 2 3 7 2 3" xfId="21240" xr:uid="{00000000-0005-0000-0000-0000CE450000}"/>
    <cellStyle name="Normal 5 2 2 3 7 2 3 2" xfId="38109" xr:uid="{32626D12-133D-4164-973D-CD2304A0B5C9}"/>
    <cellStyle name="Normal 5 2 2 3 7 2 4" xfId="12805" xr:uid="{00000000-0005-0000-0000-0000CF450000}"/>
    <cellStyle name="Normal 5 2 2 3 7 2 5" xfId="29675" xr:uid="{413C5AE2-E486-494D-9679-92177D09A2EA}"/>
    <cellStyle name="Normal 5 2 2 3 7 3" xfId="6443" xr:uid="{00000000-0005-0000-0000-0000D0450000}"/>
    <cellStyle name="Normal 5 2 2 3 7 3 2" xfId="23313" xr:uid="{00000000-0005-0000-0000-0000D1450000}"/>
    <cellStyle name="Normal 5 2 2 3 7 3 2 2" xfId="40181" xr:uid="{EA32AF94-BF32-49B0-8D4E-22CE4E4C383B}"/>
    <cellStyle name="Normal 5 2 2 3 7 3 3" xfId="14878" xr:uid="{00000000-0005-0000-0000-0000D2450000}"/>
    <cellStyle name="Normal 5 2 2 3 7 3 4" xfId="31747" xr:uid="{49523578-3A71-4508-8902-E820D4750C8E}"/>
    <cellStyle name="Normal 5 2 2 3 7 4" xfId="19095" xr:uid="{00000000-0005-0000-0000-0000D3450000}"/>
    <cellStyle name="Normal 5 2 2 3 7 4 2" xfId="35964" xr:uid="{2A48DFFB-DF0A-4EAD-A06E-F220A69AA355}"/>
    <cellStyle name="Normal 5 2 2 3 7 5" xfId="10660" xr:uid="{00000000-0005-0000-0000-0000D4450000}"/>
    <cellStyle name="Normal 5 2 2 3 7 6" xfId="27530" xr:uid="{76BEE533-5A13-46B8-AFCC-621328C19CD0}"/>
    <cellStyle name="Normal 5 2 2 3 8" xfId="2572" xr:uid="{00000000-0005-0000-0000-0000D5450000}"/>
    <cellStyle name="Normal 5 2 2 3 8 2" xfId="6856" xr:uid="{00000000-0005-0000-0000-0000D6450000}"/>
    <cellStyle name="Normal 5 2 2 3 8 2 2" xfId="23726" xr:uid="{00000000-0005-0000-0000-0000D7450000}"/>
    <cellStyle name="Normal 5 2 2 3 8 2 2 2" xfId="40594" xr:uid="{F136E4FC-1D94-4168-A5EA-A49B58E0340A}"/>
    <cellStyle name="Normal 5 2 2 3 8 2 3" xfId="15291" xr:uid="{00000000-0005-0000-0000-0000D8450000}"/>
    <cellStyle name="Normal 5 2 2 3 8 2 4" xfId="32160" xr:uid="{63EB2E13-A1B4-48F0-A285-630787607AC1}"/>
    <cellStyle name="Normal 5 2 2 3 8 3" xfId="19508" xr:uid="{00000000-0005-0000-0000-0000D9450000}"/>
    <cellStyle name="Normal 5 2 2 3 8 3 2" xfId="36377" xr:uid="{3D892C01-4A8E-41C0-B6A7-0F35507FB1B3}"/>
    <cellStyle name="Normal 5 2 2 3 8 4" xfId="11073" xr:uid="{00000000-0005-0000-0000-0000DA450000}"/>
    <cellStyle name="Normal 5 2 2 3 8 5" xfId="27943" xr:uid="{287BD094-05ED-4D88-A67C-5ABC66F12C8E}"/>
    <cellStyle name="Normal 5 2 2 3 9" xfId="4791" xr:uid="{00000000-0005-0000-0000-0000DB450000}"/>
    <cellStyle name="Normal 5 2 2 3 9 2" xfId="21661" xr:uid="{00000000-0005-0000-0000-0000DC450000}"/>
    <cellStyle name="Normal 5 2 2 3 9 2 2" xfId="38529" xr:uid="{2C4FDBC5-1D17-45ED-B2B7-6082A54749B7}"/>
    <cellStyle name="Normal 5 2 2 3 9 3" xfId="13226" xr:uid="{00000000-0005-0000-0000-0000DD450000}"/>
    <cellStyle name="Normal 5 2 2 3 9 4" xfId="30095" xr:uid="{A50CF149-D7E4-49F8-BEA3-883FA22CD7B3}"/>
    <cellStyle name="Normal 5 2 2 4" xfId="421" xr:uid="{00000000-0005-0000-0000-0000DE450000}"/>
    <cellStyle name="Normal 5 2 2 4 10" xfId="9012" xr:uid="{00000000-0005-0000-0000-0000DF450000}"/>
    <cellStyle name="Normal 5 2 2 4 11" xfId="25882" xr:uid="{486E4FF9-D3BB-491E-BA89-025B3134DF30}"/>
    <cellStyle name="Normal 5 2 2 4 2" xfId="422" xr:uid="{00000000-0005-0000-0000-0000E0450000}"/>
    <cellStyle name="Normal 5 2 2 4 2 10" xfId="25883" xr:uid="{8543B301-368E-4238-9A2F-4D5C03A7EF76}"/>
    <cellStyle name="Normal 5 2 2 4 2 2" xfId="896" xr:uid="{00000000-0005-0000-0000-0000E1450000}"/>
    <cellStyle name="Normal 5 2 2 4 2 2 2" xfId="3131" xr:uid="{00000000-0005-0000-0000-0000E2450000}"/>
    <cellStyle name="Normal 5 2 2 4 2 2 2 2" xfId="7354" xr:uid="{00000000-0005-0000-0000-0000E3450000}"/>
    <cellStyle name="Normal 5 2 2 4 2 2 2 2 2" xfId="24224" xr:uid="{00000000-0005-0000-0000-0000E4450000}"/>
    <cellStyle name="Normal 5 2 2 4 2 2 2 2 2 2" xfId="41092" xr:uid="{E9540C83-90F8-445A-86F0-84044608584E}"/>
    <cellStyle name="Normal 5 2 2 4 2 2 2 2 3" xfId="15789" xr:uid="{00000000-0005-0000-0000-0000E5450000}"/>
    <cellStyle name="Normal 5 2 2 4 2 2 2 2 4" xfId="32658" xr:uid="{FF4F923F-A5AD-45F2-BED0-44ADD785979C}"/>
    <cellStyle name="Normal 5 2 2 4 2 2 2 3" xfId="20006" xr:uid="{00000000-0005-0000-0000-0000E6450000}"/>
    <cellStyle name="Normal 5 2 2 4 2 2 2 3 2" xfId="36875" xr:uid="{5E7791D6-94AD-4193-9E54-02EFADE272C7}"/>
    <cellStyle name="Normal 5 2 2 4 2 2 2 4" xfId="11571" xr:uid="{00000000-0005-0000-0000-0000E7450000}"/>
    <cellStyle name="Normal 5 2 2 4 2 2 2 5" xfId="28441" xr:uid="{EF95C0A4-1F13-4166-9383-EAB2BBD3B105}"/>
    <cellStyle name="Normal 5 2 2 4 2 2 3" xfId="5209" xr:uid="{00000000-0005-0000-0000-0000E8450000}"/>
    <cellStyle name="Normal 5 2 2 4 2 2 3 2" xfId="22079" xr:uid="{00000000-0005-0000-0000-0000E9450000}"/>
    <cellStyle name="Normal 5 2 2 4 2 2 3 2 2" xfId="38947" xr:uid="{75E43F1B-BC0A-46DF-A6D8-2C410E33575E}"/>
    <cellStyle name="Normal 5 2 2 4 2 2 3 3" xfId="13644" xr:uid="{00000000-0005-0000-0000-0000EA450000}"/>
    <cellStyle name="Normal 5 2 2 4 2 2 3 4" xfId="30513" xr:uid="{81897823-9CF8-4AA4-A5A2-C70DB0DF0E27}"/>
    <cellStyle name="Normal 5 2 2 4 2 2 4" xfId="17861" xr:uid="{00000000-0005-0000-0000-0000EB450000}"/>
    <cellStyle name="Normal 5 2 2 4 2 2 4 2" xfId="34730" xr:uid="{3E9FE451-CAF1-4A39-9049-1B0872CA9178}"/>
    <cellStyle name="Normal 5 2 2 4 2 2 5" xfId="9426" xr:uid="{00000000-0005-0000-0000-0000EC450000}"/>
    <cellStyle name="Normal 5 2 2 4 2 2 6" xfId="26296" xr:uid="{81EFB7D0-CCA0-4714-9752-2DEA1BEB7DCB}"/>
    <cellStyle name="Normal 5 2 2 4 2 3" xfId="1314" xr:uid="{00000000-0005-0000-0000-0000ED450000}"/>
    <cellStyle name="Normal 5 2 2 4 2 3 2" xfId="3544" xr:uid="{00000000-0005-0000-0000-0000EE450000}"/>
    <cellStyle name="Normal 5 2 2 4 2 3 2 2" xfId="7767" xr:uid="{00000000-0005-0000-0000-0000EF450000}"/>
    <cellStyle name="Normal 5 2 2 4 2 3 2 2 2" xfId="24637" xr:uid="{00000000-0005-0000-0000-0000F0450000}"/>
    <cellStyle name="Normal 5 2 2 4 2 3 2 2 2 2" xfId="41505" xr:uid="{06DC7703-5820-4805-98CD-8062EBAE3DF0}"/>
    <cellStyle name="Normal 5 2 2 4 2 3 2 2 3" xfId="16202" xr:uid="{00000000-0005-0000-0000-0000F1450000}"/>
    <cellStyle name="Normal 5 2 2 4 2 3 2 2 4" xfId="33071" xr:uid="{043CCF1F-9FC9-4345-A38D-B1A21804C629}"/>
    <cellStyle name="Normal 5 2 2 4 2 3 2 3" xfId="20419" xr:uid="{00000000-0005-0000-0000-0000F2450000}"/>
    <cellStyle name="Normal 5 2 2 4 2 3 2 3 2" xfId="37288" xr:uid="{BDF1E3E8-38DF-4C35-8035-6B1A7D86E35A}"/>
    <cellStyle name="Normal 5 2 2 4 2 3 2 4" xfId="11984" xr:uid="{00000000-0005-0000-0000-0000F3450000}"/>
    <cellStyle name="Normal 5 2 2 4 2 3 2 5" xfId="28854" xr:uid="{4AD3A93D-A27D-41C4-87A8-55A77B532B14}"/>
    <cellStyle name="Normal 5 2 2 4 2 3 3" xfId="5622" xr:uid="{00000000-0005-0000-0000-0000F4450000}"/>
    <cellStyle name="Normal 5 2 2 4 2 3 3 2" xfId="22492" xr:uid="{00000000-0005-0000-0000-0000F5450000}"/>
    <cellStyle name="Normal 5 2 2 4 2 3 3 2 2" xfId="39360" xr:uid="{032F68DB-B45C-4E95-BACB-B6D9FDED7609}"/>
    <cellStyle name="Normal 5 2 2 4 2 3 3 3" xfId="14057" xr:uid="{00000000-0005-0000-0000-0000F6450000}"/>
    <cellStyle name="Normal 5 2 2 4 2 3 3 4" xfId="30926" xr:uid="{29315412-8E8E-4E8B-9C1B-31DAF49EB3BF}"/>
    <cellStyle name="Normal 5 2 2 4 2 3 4" xfId="18274" xr:uid="{00000000-0005-0000-0000-0000F7450000}"/>
    <cellStyle name="Normal 5 2 2 4 2 3 4 2" xfId="35143" xr:uid="{38CE0420-ADC5-4B23-BE46-F5109DAD3272}"/>
    <cellStyle name="Normal 5 2 2 4 2 3 5" xfId="9839" xr:uid="{00000000-0005-0000-0000-0000F8450000}"/>
    <cellStyle name="Normal 5 2 2 4 2 3 6" xfId="26709" xr:uid="{4D8E46CD-4E08-456C-B0DA-37561CBFA2A8}"/>
    <cellStyle name="Normal 5 2 2 4 2 4" xfId="1727" xr:uid="{00000000-0005-0000-0000-0000F9450000}"/>
    <cellStyle name="Normal 5 2 2 4 2 4 2" xfId="3957" xr:uid="{00000000-0005-0000-0000-0000FA450000}"/>
    <cellStyle name="Normal 5 2 2 4 2 4 2 2" xfId="8180" xr:uid="{00000000-0005-0000-0000-0000FB450000}"/>
    <cellStyle name="Normal 5 2 2 4 2 4 2 2 2" xfId="25050" xr:uid="{00000000-0005-0000-0000-0000FC450000}"/>
    <cellStyle name="Normal 5 2 2 4 2 4 2 2 2 2" xfId="41918" xr:uid="{C77AD5D1-F60D-4C58-8106-64D9EF8EE75C}"/>
    <cellStyle name="Normal 5 2 2 4 2 4 2 2 3" xfId="16615" xr:uid="{00000000-0005-0000-0000-0000FD450000}"/>
    <cellStyle name="Normal 5 2 2 4 2 4 2 2 4" xfId="33484" xr:uid="{75657D1B-84BC-4811-8D17-CF008DA6A2B8}"/>
    <cellStyle name="Normal 5 2 2 4 2 4 2 3" xfId="20832" xr:uid="{00000000-0005-0000-0000-0000FE450000}"/>
    <cellStyle name="Normal 5 2 2 4 2 4 2 3 2" xfId="37701" xr:uid="{E6C47C66-D6FF-4667-8C26-03F9396F64DD}"/>
    <cellStyle name="Normal 5 2 2 4 2 4 2 4" xfId="12397" xr:uid="{00000000-0005-0000-0000-0000FF450000}"/>
    <cellStyle name="Normal 5 2 2 4 2 4 2 5" xfId="29267" xr:uid="{98D7559C-8894-4B2C-9B72-A37EAF96579F}"/>
    <cellStyle name="Normal 5 2 2 4 2 4 3" xfId="6035" xr:uid="{00000000-0005-0000-0000-000000460000}"/>
    <cellStyle name="Normal 5 2 2 4 2 4 3 2" xfId="22905" xr:uid="{00000000-0005-0000-0000-000001460000}"/>
    <cellStyle name="Normal 5 2 2 4 2 4 3 2 2" xfId="39773" xr:uid="{FEFAF877-D1EC-431B-B64E-D2EAC6B4B19E}"/>
    <cellStyle name="Normal 5 2 2 4 2 4 3 3" xfId="14470" xr:uid="{00000000-0005-0000-0000-000002460000}"/>
    <cellStyle name="Normal 5 2 2 4 2 4 3 4" xfId="31339" xr:uid="{22169791-3EF7-40F5-8A56-157118C7C3D2}"/>
    <cellStyle name="Normal 5 2 2 4 2 4 4" xfId="18687" xr:uid="{00000000-0005-0000-0000-000003460000}"/>
    <cellStyle name="Normal 5 2 2 4 2 4 4 2" xfId="35556" xr:uid="{F4FB4C7C-A2CC-4EE9-A94C-BADB15FF1B4C}"/>
    <cellStyle name="Normal 5 2 2 4 2 4 5" xfId="10252" xr:uid="{00000000-0005-0000-0000-000004460000}"/>
    <cellStyle name="Normal 5 2 2 4 2 4 6" xfId="27122" xr:uid="{2CBA1207-8C75-482B-9F65-F2ABB22E7F39}"/>
    <cellStyle name="Normal 5 2 2 4 2 5" xfId="2141" xr:uid="{00000000-0005-0000-0000-000005460000}"/>
    <cellStyle name="Normal 5 2 2 4 2 5 2" xfId="4370" xr:uid="{00000000-0005-0000-0000-000006460000}"/>
    <cellStyle name="Normal 5 2 2 4 2 5 2 2" xfId="8593" xr:uid="{00000000-0005-0000-0000-000007460000}"/>
    <cellStyle name="Normal 5 2 2 4 2 5 2 2 2" xfId="25463" xr:uid="{00000000-0005-0000-0000-000008460000}"/>
    <cellStyle name="Normal 5 2 2 4 2 5 2 2 2 2" xfId="42331" xr:uid="{83B60979-A99C-4966-B97C-95246B582C83}"/>
    <cellStyle name="Normal 5 2 2 4 2 5 2 2 3" xfId="17028" xr:uid="{00000000-0005-0000-0000-000009460000}"/>
    <cellStyle name="Normal 5 2 2 4 2 5 2 2 4" xfId="33897" xr:uid="{B7DB9AD2-12A3-4B58-B587-128AE103EB3D}"/>
    <cellStyle name="Normal 5 2 2 4 2 5 2 3" xfId="21245" xr:uid="{00000000-0005-0000-0000-00000A460000}"/>
    <cellStyle name="Normal 5 2 2 4 2 5 2 3 2" xfId="38114" xr:uid="{A609E4B2-91DE-449D-AF9D-199E517335B5}"/>
    <cellStyle name="Normal 5 2 2 4 2 5 2 4" xfId="12810" xr:uid="{00000000-0005-0000-0000-00000B460000}"/>
    <cellStyle name="Normal 5 2 2 4 2 5 2 5" xfId="29680" xr:uid="{D7576B80-7097-402C-8E31-D20F55B76E34}"/>
    <cellStyle name="Normal 5 2 2 4 2 5 3" xfId="6448" xr:uid="{00000000-0005-0000-0000-00000C460000}"/>
    <cellStyle name="Normal 5 2 2 4 2 5 3 2" xfId="23318" xr:uid="{00000000-0005-0000-0000-00000D460000}"/>
    <cellStyle name="Normal 5 2 2 4 2 5 3 2 2" xfId="40186" xr:uid="{7F1F830B-62C0-422A-A11B-2852DB0CF980}"/>
    <cellStyle name="Normal 5 2 2 4 2 5 3 3" xfId="14883" xr:uid="{00000000-0005-0000-0000-00000E460000}"/>
    <cellStyle name="Normal 5 2 2 4 2 5 3 4" xfId="31752" xr:uid="{B8797089-3C80-4065-AB0A-A69B21E08F59}"/>
    <cellStyle name="Normal 5 2 2 4 2 5 4" xfId="19100" xr:uid="{00000000-0005-0000-0000-00000F460000}"/>
    <cellStyle name="Normal 5 2 2 4 2 5 4 2" xfId="35969" xr:uid="{10A7363B-962B-4A44-AAC7-83B3EA35F9A6}"/>
    <cellStyle name="Normal 5 2 2 4 2 5 5" xfId="10665" xr:uid="{00000000-0005-0000-0000-000010460000}"/>
    <cellStyle name="Normal 5 2 2 4 2 5 6" xfId="27535" xr:uid="{DD996873-CCE3-4203-ADFB-E5B02F320489}"/>
    <cellStyle name="Normal 5 2 2 4 2 6" xfId="2577" xr:uid="{00000000-0005-0000-0000-000011460000}"/>
    <cellStyle name="Normal 5 2 2 4 2 6 2" xfId="6861" xr:uid="{00000000-0005-0000-0000-000012460000}"/>
    <cellStyle name="Normal 5 2 2 4 2 6 2 2" xfId="23731" xr:uid="{00000000-0005-0000-0000-000013460000}"/>
    <cellStyle name="Normal 5 2 2 4 2 6 2 2 2" xfId="40599" xr:uid="{492BC5E9-D932-41A2-B0CD-990F6892CFDB}"/>
    <cellStyle name="Normal 5 2 2 4 2 6 2 3" xfId="15296" xr:uid="{00000000-0005-0000-0000-000014460000}"/>
    <cellStyle name="Normal 5 2 2 4 2 6 2 4" xfId="32165" xr:uid="{E81015E8-FEEC-4E2F-B7A2-449B4C723506}"/>
    <cellStyle name="Normal 5 2 2 4 2 6 3" xfId="19513" xr:uid="{00000000-0005-0000-0000-000015460000}"/>
    <cellStyle name="Normal 5 2 2 4 2 6 3 2" xfId="36382" xr:uid="{9B712A9E-B73B-41D1-9395-C9545AEF6FA8}"/>
    <cellStyle name="Normal 5 2 2 4 2 6 4" xfId="11078" xr:uid="{00000000-0005-0000-0000-000016460000}"/>
    <cellStyle name="Normal 5 2 2 4 2 6 5" xfId="27948" xr:uid="{6B6EB94F-0096-4503-9C6F-33885099F59B}"/>
    <cellStyle name="Normal 5 2 2 4 2 7" xfId="4796" xr:uid="{00000000-0005-0000-0000-000017460000}"/>
    <cellStyle name="Normal 5 2 2 4 2 7 2" xfId="21666" xr:uid="{00000000-0005-0000-0000-000018460000}"/>
    <cellStyle name="Normal 5 2 2 4 2 7 2 2" xfId="38534" xr:uid="{AF394D2D-9600-4408-A529-2C46AC678712}"/>
    <cellStyle name="Normal 5 2 2 4 2 7 3" xfId="13231" xr:uid="{00000000-0005-0000-0000-000019460000}"/>
    <cellStyle name="Normal 5 2 2 4 2 7 4" xfId="30100" xr:uid="{4FCB6203-0190-4847-BEC7-EBC37D062BA7}"/>
    <cellStyle name="Normal 5 2 2 4 2 8" xfId="17448" xr:uid="{00000000-0005-0000-0000-00001A460000}"/>
    <cellStyle name="Normal 5 2 2 4 2 8 2" xfId="34317" xr:uid="{BA913655-9B81-4F2D-99A0-F97285344182}"/>
    <cellStyle name="Normal 5 2 2 4 2 9" xfId="9013" xr:uid="{00000000-0005-0000-0000-00001B460000}"/>
    <cellStyle name="Normal 5 2 2 4 3" xfId="895" xr:uid="{00000000-0005-0000-0000-00001C460000}"/>
    <cellStyle name="Normal 5 2 2 4 3 2" xfId="3130" xr:uid="{00000000-0005-0000-0000-00001D460000}"/>
    <cellStyle name="Normal 5 2 2 4 3 2 2" xfId="7353" xr:uid="{00000000-0005-0000-0000-00001E460000}"/>
    <cellStyle name="Normal 5 2 2 4 3 2 2 2" xfId="24223" xr:uid="{00000000-0005-0000-0000-00001F460000}"/>
    <cellStyle name="Normal 5 2 2 4 3 2 2 2 2" xfId="41091" xr:uid="{0C783DAC-1A63-4609-88A1-942EE4A43FA4}"/>
    <cellStyle name="Normal 5 2 2 4 3 2 2 3" xfId="15788" xr:uid="{00000000-0005-0000-0000-000020460000}"/>
    <cellStyle name="Normal 5 2 2 4 3 2 2 4" xfId="32657" xr:uid="{2C40F0AF-DB66-40B0-8FED-6BF56841BDCF}"/>
    <cellStyle name="Normal 5 2 2 4 3 2 3" xfId="20005" xr:uid="{00000000-0005-0000-0000-000021460000}"/>
    <cellStyle name="Normal 5 2 2 4 3 2 3 2" xfId="36874" xr:uid="{ABA7005C-8C61-4133-910E-3E6972D9EE04}"/>
    <cellStyle name="Normal 5 2 2 4 3 2 4" xfId="11570" xr:uid="{00000000-0005-0000-0000-000022460000}"/>
    <cellStyle name="Normal 5 2 2 4 3 2 5" xfId="28440" xr:uid="{41A99601-FE6D-4D35-933C-D7D15A5A34C1}"/>
    <cellStyle name="Normal 5 2 2 4 3 3" xfId="5208" xr:uid="{00000000-0005-0000-0000-000023460000}"/>
    <cellStyle name="Normal 5 2 2 4 3 3 2" xfId="22078" xr:uid="{00000000-0005-0000-0000-000024460000}"/>
    <cellStyle name="Normal 5 2 2 4 3 3 2 2" xfId="38946" xr:uid="{B48D571E-9DF3-4C00-930D-5EA65BBFA49A}"/>
    <cellStyle name="Normal 5 2 2 4 3 3 3" xfId="13643" xr:uid="{00000000-0005-0000-0000-000025460000}"/>
    <cellStyle name="Normal 5 2 2 4 3 3 4" xfId="30512" xr:uid="{2584A806-A2FD-4C6B-A6CF-478B6270F4FA}"/>
    <cellStyle name="Normal 5 2 2 4 3 4" xfId="17860" xr:uid="{00000000-0005-0000-0000-000026460000}"/>
    <cellStyle name="Normal 5 2 2 4 3 4 2" xfId="34729" xr:uid="{2951042F-0771-47B7-9C16-E0F3D141FC22}"/>
    <cellStyle name="Normal 5 2 2 4 3 5" xfId="9425" xr:uid="{00000000-0005-0000-0000-000027460000}"/>
    <cellStyle name="Normal 5 2 2 4 3 6" xfId="26295" xr:uid="{81FF8B57-F155-4C72-BC71-A8A287384E98}"/>
    <cellStyle name="Normal 5 2 2 4 4" xfId="1313" xr:uid="{00000000-0005-0000-0000-000028460000}"/>
    <cellStyle name="Normal 5 2 2 4 4 2" xfId="3543" xr:uid="{00000000-0005-0000-0000-000029460000}"/>
    <cellStyle name="Normal 5 2 2 4 4 2 2" xfId="7766" xr:uid="{00000000-0005-0000-0000-00002A460000}"/>
    <cellStyle name="Normal 5 2 2 4 4 2 2 2" xfId="24636" xr:uid="{00000000-0005-0000-0000-00002B460000}"/>
    <cellStyle name="Normal 5 2 2 4 4 2 2 2 2" xfId="41504" xr:uid="{F9B0A446-B5F7-4996-A646-9A6FB50EDF40}"/>
    <cellStyle name="Normal 5 2 2 4 4 2 2 3" xfId="16201" xr:uid="{00000000-0005-0000-0000-00002C460000}"/>
    <cellStyle name="Normal 5 2 2 4 4 2 2 4" xfId="33070" xr:uid="{ABCE5003-F756-4063-9747-DD60547DEB17}"/>
    <cellStyle name="Normal 5 2 2 4 4 2 3" xfId="20418" xr:uid="{00000000-0005-0000-0000-00002D460000}"/>
    <cellStyle name="Normal 5 2 2 4 4 2 3 2" xfId="37287" xr:uid="{F6259ACE-930D-4F55-8E21-0B41089E03E3}"/>
    <cellStyle name="Normal 5 2 2 4 4 2 4" xfId="11983" xr:uid="{00000000-0005-0000-0000-00002E460000}"/>
    <cellStyle name="Normal 5 2 2 4 4 2 5" xfId="28853" xr:uid="{B9153F8C-510E-4EB1-A5BD-275D517DA417}"/>
    <cellStyle name="Normal 5 2 2 4 4 3" xfId="5621" xr:uid="{00000000-0005-0000-0000-00002F460000}"/>
    <cellStyle name="Normal 5 2 2 4 4 3 2" xfId="22491" xr:uid="{00000000-0005-0000-0000-000030460000}"/>
    <cellStyle name="Normal 5 2 2 4 4 3 2 2" xfId="39359" xr:uid="{C96A70CA-C4C1-4F6E-8345-B00BBBEEE20D}"/>
    <cellStyle name="Normal 5 2 2 4 4 3 3" xfId="14056" xr:uid="{00000000-0005-0000-0000-000031460000}"/>
    <cellStyle name="Normal 5 2 2 4 4 3 4" xfId="30925" xr:uid="{9E4641CC-4CE0-421A-8D0A-7B7E82BC5309}"/>
    <cellStyle name="Normal 5 2 2 4 4 4" xfId="18273" xr:uid="{00000000-0005-0000-0000-000032460000}"/>
    <cellStyle name="Normal 5 2 2 4 4 4 2" xfId="35142" xr:uid="{AB124FE2-15CE-4BD1-B602-DD7AED58EF3F}"/>
    <cellStyle name="Normal 5 2 2 4 4 5" xfId="9838" xr:uid="{00000000-0005-0000-0000-000033460000}"/>
    <cellStyle name="Normal 5 2 2 4 4 6" xfId="26708" xr:uid="{4B6A0D57-19AA-4490-BAFE-2CAE0328BBF4}"/>
    <cellStyle name="Normal 5 2 2 4 5" xfId="1726" xr:uid="{00000000-0005-0000-0000-000034460000}"/>
    <cellStyle name="Normal 5 2 2 4 5 2" xfId="3956" xr:uid="{00000000-0005-0000-0000-000035460000}"/>
    <cellStyle name="Normal 5 2 2 4 5 2 2" xfId="8179" xr:uid="{00000000-0005-0000-0000-000036460000}"/>
    <cellStyle name="Normal 5 2 2 4 5 2 2 2" xfId="25049" xr:uid="{00000000-0005-0000-0000-000037460000}"/>
    <cellStyle name="Normal 5 2 2 4 5 2 2 2 2" xfId="41917" xr:uid="{C30FCD3B-425F-43A6-A106-F7610B086DE1}"/>
    <cellStyle name="Normal 5 2 2 4 5 2 2 3" xfId="16614" xr:uid="{00000000-0005-0000-0000-000038460000}"/>
    <cellStyle name="Normal 5 2 2 4 5 2 2 4" xfId="33483" xr:uid="{F2F7D13F-B787-4C4B-BA34-3B6917F29965}"/>
    <cellStyle name="Normal 5 2 2 4 5 2 3" xfId="20831" xr:uid="{00000000-0005-0000-0000-000039460000}"/>
    <cellStyle name="Normal 5 2 2 4 5 2 3 2" xfId="37700" xr:uid="{9774BAA1-DC13-4A4B-8BEE-2D98D5E1638A}"/>
    <cellStyle name="Normal 5 2 2 4 5 2 4" xfId="12396" xr:uid="{00000000-0005-0000-0000-00003A460000}"/>
    <cellStyle name="Normal 5 2 2 4 5 2 5" xfId="29266" xr:uid="{3DEE5F64-F9F1-408D-A225-89D55650A9B5}"/>
    <cellStyle name="Normal 5 2 2 4 5 3" xfId="6034" xr:uid="{00000000-0005-0000-0000-00003B460000}"/>
    <cellStyle name="Normal 5 2 2 4 5 3 2" xfId="22904" xr:uid="{00000000-0005-0000-0000-00003C460000}"/>
    <cellStyle name="Normal 5 2 2 4 5 3 2 2" xfId="39772" xr:uid="{E7181E37-CF6D-4B44-BDF5-F6432FA04949}"/>
    <cellStyle name="Normal 5 2 2 4 5 3 3" xfId="14469" xr:uid="{00000000-0005-0000-0000-00003D460000}"/>
    <cellStyle name="Normal 5 2 2 4 5 3 4" xfId="31338" xr:uid="{9086EEC0-7AC3-4BFF-AB38-137D1BFF44BA}"/>
    <cellStyle name="Normal 5 2 2 4 5 4" xfId="18686" xr:uid="{00000000-0005-0000-0000-00003E460000}"/>
    <cellStyle name="Normal 5 2 2 4 5 4 2" xfId="35555" xr:uid="{5E126B97-0DBA-44AE-B5FA-2623B431746D}"/>
    <cellStyle name="Normal 5 2 2 4 5 5" xfId="10251" xr:uid="{00000000-0005-0000-0000-00003F460000}"/>
    <cellStyle name="Normal 5 2 2 4 5 6" xfId="27121" xr:uid="{6FA23162-552E-48B3-B8F7-43C68E70A4A1}"/>
    <cellStyle name="Normal 5 2 2 4 6" xfId="2140" xr:uid="{00000000-0005-0000-0000-000040460000}"/>
    <cellStyle name="Normal 5 2 2 4 6 2" xfId="4369" xr:uid="{00000000-0005-0000-0000-000041460000}"/>
    <cellStyle name="Normal 5 2 2 4 6 2 2" xfId="8592" xr:uid="{00000000-0005-0000-0000-000042460000}"/>
    <cellStyle name="Normal 5 2 2 4 6 2 2 2" xfId="25462" xr:uid="{00000000-0005-0000-0000-000043460000}"/>
    <cellStyle name="Normal 5 2 2 4 6 2 2 2 2" xfId="42330" xr:uid="{0FA7572A-1206-4647-B03A-D5B9E689B4C5}"/>
    <cellStyle name="Normal 5 2 2 4 6 2 2 3" xfId="17027" xr:uid="{00000000-0005-0000-0000-000044460000}"/>
    <cellStyle name="Normal 5 2 2 4 6 2 2 4" xfId="33896" xr:uid="{1EDD2A26-3EE6-4A9C-9A56-6AA670FC2CAF}"/>
    <cellStyle name="Normal 5 2 2 4 6 2 3" xfId="21244" xr:uid="{00000000-0005-0000-0000-000045460000}"/>
    <cellStyle name="Normal 5 2 2 4 6 2 3 2" xfId="38113" xr:uid="{3AC25E68-A3CD-4AC5-A9FA-1C464C45FD46}"/>
    <cellStyle name="Normal 5 2 2 4 6 2 4" xfId="12809" xr:uid="{00000000-0005-0000-0000-000046460000}"/>
    <cellStyle name="Normal 5 2 2 4 6 2 5" xfId="29679" xr:uid="{2AAAE73D-B5CD-4CE5-B90C-BFCC6C7F8449}"/>
    <cellStyle name="Normal 5 2 2 4 6 3" xfId="6447" xr:uid="{00000000-0005-0000-0000-000047460000}"/>
    <cellStyle name="Normal 5 2 2 4 6 3 2" xfId="23317" xr:uid="{00000000-0005-0000-0000-000048460000}"/>
    <cellStyle name="Normal 5 2 2 4 6 3 2 2" xfId="40185" xr:uid="{F0DF3F51-0A85-44E3-8943-FAC570A96B81}"/>
    <cellStyle name="Normal 5 2 2 4 6 3 3" xfId="14882" xr:uid="{00000000-0005-0000-0000-000049460000}"/>
    <cellStyle name="Normal 5 2 2 4 6 3 4" xfId="31751" xr:uid="{DB365C42-5570-4C39-BC1B-7A1EC79FD30C}"/>
    <cellStyle name="Normal 5 2 2 4 6 4" xfId="19099" xr:uid="{00000000-0005-0000-0000-00004A460000}"/>
    <cellStyle name="Normal 5 2 2 4 6 4 2" xfId="35968" xr:uid="{F62F6B75-49BC-4F30-8D46-5155F64F4BF4}"/>
    <cellStyle name="Normal 5 2 2 4 6 5" xfId="10664" xr:uid="{00000000-0005-0000-0000-00004B460000}"/>
    <cellStyle name="Normal 5 2 2 4 6 6" xfId="27534" xr:uid="{2750F13F-48BE-4FE6-806D-92D0AE90BC1F}"/>
    <cellStyle name="Normal 5 2 2 4 7" xfId="2576" xr:uid="{00000000-0005-0000-0000-00004C460000}"/>
    <cellStyle name="Normal 5 2 2 4 7 2" xfId="6860" xr:uid="{00000000-0005-0000-0000-00004D460000}"/>
    <cellStyle name="Normal 5 2 2 4 7 2 2" xfId="23730" xr:uid="{00000000-0005-0000-0000-00004E460000}"/>
    <cellStyle name="Normal 5 2 2 4 7 2 2 2" xfId="40598" xr:uid="{525CA168-0FF4-40BF-B23F-51F8A98AB517}"/>
    <cellStyle name="Normal 5 2 2 4 7 2 3" xfId="15295" xr:uid="{00000000-0005-0000-0000-00004F460000}"/>
    <cellStyle name="Normal 5 2 2 4 7 2 4" xfId="32164" xr:uid="{4A26C482-B08C-4A39-B69E-5903138ED5F1}"/>
    <cellStyle name="Normal 5 2 2 4 7 3" xfId="19512" xr:uid="{00000000-0005-0000-0000-000050460000}"/>
    <cellStyle name="Normal 5 2 2 4 7 3 2" xfId="36381" xr:uid="{1C30E351-67F9-4498-9165-EB42CEF78F8C}"/>
    <cellStyle name="Normal 5 2 2 4 7 4" xfId="11077" xr:uid="{00000000-0005-0000-0000-000051460000}"/>
    <cellStyle name="Normal 5 2 2 4 7 5" xfId="27947" xr:uid="{8BBFB9E3-79C6-49D9-9A99-B943BAE2EF13}"/>
    <cellStyle name="Normal 5 2 2 4 8" xfId="4795" xr:uid="{00000000-0005-0000-0000-000052460000}"/>
    <cellStyle name="Normal 5 2 2 4 8 2" xfId="21665" xr:uid="{00000000-0005-0000-0000-000053460000}"/>
    <cellStyle name="Normal 5 2 2 4 8 2 2" xfId="38533" xr:uid="{48E23650-DE7B-41F0-A0CC-07D5C6A655EC}"/>
    <cellStyle name="Normal 5 2 2 4 8 3" xfId="13230" xr:uid="{00000000-0005-0000-0000-000054460000}"/>
    <cellStyle name="Normal 5 2 2 4 8 4" xfId="30099" xr:uid="{B08B68A0-1D7E-49FD-ADD3-D993A23350AE}"/>
    <cellStyle name="Normal 5 2 2 4 9" xfId="17447" xr:uid="{00000000-0005-0000-0000-000055460000}"/>
    <cellStyle name="Normal 5 2 2 4 9 2" xfId="34316" xr:uid="{FB78B9ED-4E15-4FB3-B7BD-FC06F440321C}"/>
    <cellStyle name="Normal 5 2 2 5" xfId="423" xr:uid="{00000000-0005-0000-0000-000056460000}"/>
    <cellStyle name="Normal 5 2 2 5 10" xfId="25884" xr:uid="{C212C7DE-5972-4595-92EC-08A4153763F4}"/>
    <cellStyle name="Normal 5 2 2 5 2" xfId="897" xr:uid="{00000000-0005-0000-0000-000057460000}"/>
    <cellStyle name="Normal 5 2 2 5 2 2" xfId="3132" xr:uid="{00000000-0005-0000-0000-000058460000}"/>
    <cellStyle name="Normal 5 2 2 5 2 2 2" xfId="7355" xr:uid="{00000000-0005-0000-0000-000059460000}"/>
    <cellStyle name="Normal 5 2 2 5 2 2 2 2" xfId="24225" xr:uid="{00000000-0005-0000-0000-00005A460000}"/>
    <cellStyle name="Normal 5 2 2 5 2 2 2 2 2" xfId="41093" xr:uid="{3218E8D6-9207-4B1B-BCBD-B376471A7D1D}"/>
    <cellStyle name="Normal 5 2 2 5 2 2 2 3" xfId="15790" xr:uid="{00000000-0005-0000-0000-00005B460000}"/>
    <cellStyle name="Normal 5 2 2 5 2 2 2 4" xfId="32659" xr:uid="{CF521BF9-92E2-4BD2-ABEA-C62D6ABA8A0A}"/>
    <cellStyle name="Normal 5 2 2 5 2 2 3" xfId="20007" xr:uid="{00000000-0005-0000-0000-00005C460000}"/>
    <cellStyle name="Normal 5 2 2 5 2 2 3 2" xfId="36876" xr:uid="{79D96B5D-85A9-4CD6-AC32-1C14C2E076F9}"/>
    <cellStyle name="Normal 5 2 2 5 2 2 4" xfId="11572" xr:uid="{00000000-0005-0000-0000-00005D460000}"/>
    <cellStyle name="Normal 5 2 2 5 2 2 5" xfId="28442" xr:uid="{A60E1BB0-03B3-42C9-8F77-F778B3CB299B}"/>
    <cellStyle name="Normal 5 2 2 5 2 3" xfId="5210" xr:uid="{00000000-0005-0000-0000-00005E460000}"/>
    <cellStyle name="Normal 5 2 2 5 2 3 2" xfId="22080" xr:uid="{00000000-0005-0000-0000-00005F460000}"/>
    <cellStyle name="Normal 5 2 2 5 2 3 2 2" xfId="38948" xr:uid="{22974FA4-FEB6-4ECF-A542-85E7D42E5E5E}"/>
    <cellStyle name="Normal 5 2 2 5 2 3 3" xfId="13645" xr:uid="{00000000-0005-0000-0000-000060460000}"/>
    <cellStyle name="Normal 5 2 2 5 2 3 4" xfId="30514" xr:uid="{4CCAF83A-9F37-4A7E-BE83-C6B896CF61D4}"/>
    <cellStyle name="Normal 5 2 2 5 2 4" xfId="17862" xr:uid="{00000000-0005-0000-0000-000061460000}"/>
    <cellStyle name="Normal 5 2 2 5 2 4 2" xfId="34731" xr:uid="{B9373D3A-F4AB-45E7-96B5-B7673CF08F91}"/>
    <cellStyle name="Normal 5 2 2 5 2 5" xfId="9427" xr:uid="{00000000-0005-0000-0000-000062460000}"/>
    <cellStyle name="Normal 5 2 2 5 2 6" xfId="26297" xr:uid="{3FD75C8F-9122-48CA-8FA9-3CB7907FEE7D}"/>
    <cellStyle name="Normal 5 2 2 5 3" xfId="1315" xr:uid="{00000000-0005-0000-0000-000063460000}"/>
    <cellStyle name="Normal 5 2 2 5 3 2" xfId="3545" xr:uid="{00000000-0005-0000-0000-000064460000}"/>
    <cellStyle name="Normal 5 2 2 5 3 2 2" xfId="7768" xr:uid="{00000000-0005-0000-0000-000065460000}"/>
    <cellStyle name="Normal 5 2 2 5 3 2 2 2" xfId="24638" xr:uid="{00000000-0005-0000-0000-000066460000}"/>
    <cellStyle name="Normal 5 2 2 5 3 2 2 2 2" xfId="41506" xr:uid="{6BE6E61C-AC5F-4E27-A809-B92DA24CF74B}"/>
    <cellStyle name="Normal 5 2 2 5 3 2 2 3" xfId="16203" xr:uid="{00000000-0005-0000-0000-000067460000}"/>
    <cellStyle name="Normal 5 2 2 5 3 2 2 4" xfId="33072" xr:uid="{C6B36937-0AFC-471B-85D8-EA77B6A53B86}"/>
    <cellStyle name="Normal 5 2 2 5 3 2 3" xfId="20420" xr:uid="{00000000-0005-0000-0000-000068460000}"/>
    <cellStyle name="Normal 5 2 2 5 3 2 3 2" xfId="37289" xr:uid="{A8717661-7876-49D9-9A89-050A09F681DE}"/>
    <cellStyle name="Normal 5 2 2 5 3 2 4" xfId="11985" xr:uid="{00000000-0005-0000-0000-000069460000}"/>
    <cellStyle name="Normal 5 2 2 5 3 2 5" xfId="28855" xr:uid="{A221DAD4-0330-40C1-8A44-7B49A9CF9405}"/>
    <cellStyle name="Normal 5 2 2 5 3 3" xfId="5623" xr:uid="{00000000-0005-0000-0000-00006A460000}"/>
    <cellStyle name="Normal 5 2 2 5 3 3 2" xfId="22493" xr:uid="{00000000-0005-0000-0000-00006B460000}"/>
    <cellStyle name="Normal 5 2 2 5 3 3 2 2" xfId="39361" xr:uid="{20B239D7-A6A1-4D24-AB3B-189321B29D0A}"/>
    <cellStyle name="Normal 5 2 2 5 3 3 3" xfId="14058" xr:uid="{00000000-0005-0000-0000-00006C460000}"/>
    <cellStyle name="Normal 5 2 2 5 3 3 4" xfId="30927" xr:uid="{BED95A3E-6E93-499E-8883-16085E8A87D1}"/>
    <cellStyle name="Normal 5 2 2 5 3 4" xfId="18275" xr:uid="{00000000-0005-0000-0000-00006D460000}"/>
    <cellStyle name="Normal 5 2 2 5 3 4 2" xfId="35144" xr:uid="{574FF7A8-813D-4065-BC44-31C583EAE8DE}"/>
    <cellStyle name="Normal 5 2 2 5 3 5" xfId="9840" xr:uid="{00000000-0005-0000-0000-00006E460000}"/>
    <cellStyle name="Normal 5 2 2 5 3 6" xfId="26710" xr:uid="{094508D6-82A8-45A0-89C1-ECFDF87BF5E9}"/>
    <cellStyle name="Normal 5 2 2 5 4" xfId="1728" xr:uid="{00000000-0005-0000-0000-00006F460000}"/>
    <cellStyle name="Normal 5 2 2 5 4 2" xfId="3958" xr:uid="{00000000-0005-0000-0000-000070460000}"/>
    <cellStyle name="Normal 5 2 2 5 4 2 2" xfId="8181" xr:uid="{00000000-0005-0000-0000-000071460000}"/>
    <cellStyle name="Normal 5 2 2 5 4 2 2 2" xfId="25051" xr:uid="{00000000-0005-0000-0000-000072460000}"/>
    <cellStyle name="Normal 5 2 2 5 4 2 2 2 2" xfId="41919" xr:uid="{6110FC88-FC4D-40B1-A6B4-4563A903EE44}"/>
    <cellStyle name="Normal 5 2 2 5 4 2 2 3" xfId="16616" xr:uid="{00000000-0005-0000-0000-000073460000}"/>
    <cellStyle name="Normal 5 2 2 5 4 2 2 4" xfId="33485" xr:uid="{4A1F6DF2-1D0F-45C0-A0EC-A4043E61815B}"/>
    <cellStyle name="Normal 5 2 2 5 4 2 3" xfId="20833" xr:uid="{00000000-0005-0000-0000-000074460000}"/>
    <cellStyle name="Normal 5 2 2 5 4 2 3 2" xfId="37702" xr:uid="{D90919DB-2AE0-4CC0-A000-3B7A602F6B8B}"/>
    <cellStyle name="Normal 5 2 2 5 4 2 4" xfId="12398" xr:uid="{00000000-0005-0000-0000-000075460000}"/>
    <cellStyle name="Normal 5 2 2 5 4 2 5" xfId="29268" xr:uid="{FC2AAA39-6B62-425D-982E-377793809C57}"/>
    <cellStyle name="Normal 5 2 2 5 4 3" xfId="6036" xr:uid="{00000000-0005-0000-0000-000076460000}"/>
    <cellStyle name="Normal 5 2 2 5 4 3 2" xfId="22906" xr:uid="{00000000-0005-0000-0000-000077460000}"/>
    <cellStyle name="Normal 5 2 2 5 4 3 2 2" xfId="39774" xr:uid="{D7FE1B49-DD84-4C53-85CF-74390D6942B0}"/>
    <cellStyle name="Normal 5 2 2 5 4 3 3" xfId="14471" xr:uid="{00000000-0005-0000-0000-000078460000}"/>
    <cellStyle name="Normal 5 2 2 5 4 3 4" xfId="31340" xr:uid="{61329DCA-9E0B-4C3C-BB7D-D2050BF24C0F}"/>
    <cellStyle name="Normal 5 2 2 5 4 4" xfId="18688" xr:uid="{00000000-0005-0000-0000-000079460000}"/>
    <cellStyle name="Normal 5 2 2 5 4 4 2" xfId="35557" xr:uid="{D1F9579B-C47A-4AB4-AD77-F143BFB6E240}"/>
    <cellStyle name="Normal 5 2 2 5 4 5" xfId="10253" xr:uid="{00000000-0005-0000-0000-00007A460000}"/>
    <cellStyle name="Normal 5 2 2 5 4 6" xfId="27123" xr:uid="{84ECF372-403A-4E10-975D-E6EB93D63025}"/>
    <cellStyle name="Normal 5 2 2 5 5" xfId="2142" xr:uid="{00000000-0005-0000-0000-00007B460000}"/>
    <cellStyle name="Normal 5 2 2 5 5 2" xfId="4371" xr:uid="{00000000-0005-0000-0000-00007C460000}"/>
    <cellStyle name="Normal 5 2 2 5 5 2 2" xfId="8594" xr:uid="{00000000-0005-0000-0000-00007D460000}"/>
    <cellStyle name="Normal 5 2 2 5 5 2 2 2" xfId="25464" xr:uid="{00000000-0005-0000-0000-00007E460000}"/>
    <cellStyle name="Normal 5 2 2 5 5 2 2 2 2" xfId="42332" xr:uid="{934F935E-A7DA-4899-993E-778E7C2D5F01}"/>
    <cellStyle name="Normal 5 2 2 5 5 2 2 3" xfId="17029" xr:uid="{00000000-0005-0000-0000-00007F460000}"/>
    <cellStyle name="Normal 5 2 2 5 5 2 2 4" xfId="33898" xr:uid="{FC75320D-7E80-4481-98A4-C7487667703F}"/>
    <cellStyle name="Normal 5 2 2 5 5 2 3" xfId="21246" xr:uid="{00000000-0005-0000-0000-000080460000}"/>
    <cellStyle name="Normal 5 2 2 5 5 2 3 2" xfId="38115" xr:uid="{E8251BA6-AF23-42EB-A755-9E9055288238}"/>
    <cellStyle name="Normal 5 2 2 5 5 2 4" xfId="12811" xr:uid="{00000000-0005-0000-0000-000081460000}"/>
    <cellStyle name="Normal 5 2 2 5 5 2 5" xfId="29681" xr:uid="{F47AEC15-CC46-4392-9149-8F7191EDCFC2}"/>
    <cellStyle name="Normal 5 2 2 5 5 3" xfId="6449" xr:uid="{00000000-0005-0000-0000-000082460000}"/>
    <cellStyle name="Normal 5 2 2 5 5 3 2" xfId="23319" xr:uid="{00000000-0005-0000-0000-000083460000}"/>
    <cellStyle name="Normal 5 2 2 5 5 3 2 2" xfId="40187" xr:uid="{FED613A1-F906-4118-968D-01FCA44AE0B2}"/>
    <cellStyle name="Normal 5 2 2 5 5 3 3" xfId="14884" xr:uid="{00000000-0005-0000-0000-000084460000}"/>
    <cellStyle name="Normal 5 2 2 5 5 3 4" xfId="31753" xr:uid="{5A529FAE-7F67-4749-A49D-A9F1582C198D}"/>
    <cellStyle name="Normal 5 2 2 5 5 4" xfId="19101" xr:uid="{00000000-0005-0000-0000-000085460000}"/>
    <cellStyle name="Normal 5 2 2 5 5 4 2" xfId="35970" xr:uid="{041F1FCD-321C-4ED4-A767-E688E6DEC7D9}"/>
    <cellStyle name="Normal 5 2 2 5 5 5" xfId="10666" xr:uid="{00000000-0005-0000-0000-000086460000}"/>
    <cellStyle name="Normal 5 2 2 5 5 6" xfId="27536" xr:uid="{ECED3796-EC3F-4FBA-94DB-96838A0087F7}"/>
    <cellStyle name="Normal 5 2 2 5 6" xfId="2578" xr:uid="{00000000-0005-0000-0000-000087460000}"/>
    <cellStyle name="Normal 5 2 2 5 6 2" xfId="6862" xr:uid="{00000000-0005-0000-0000-000088460000}"/>
    <cellStyle name="Normal 5 2 2 5 6 2 2" xfId="23732" xr:uid="{00000000-0005-0000-0000-000089460000}"/>
    <cellStyle name="Normal 5 2 2 5 6 2 2 2" xfId="40600" xr:uid="{177CD9A3-96CC-4D9B-A4DF-AEB4506FF161}"/>
    <cellStyle name="Normal 5 2 2 5 6 2 3" xfId="15297" xr:uid="{00000000-0005-0000-0000-00008A460000}"/>
    <cellStyle name="Normal 5 2 2 5 6 2 4" xfId="32166" xr:uid="{E0E5C3B5-8B75-414F-95D1-D8AF055CBA69}"/>
    <cellStyle name="Normal 5 2 2 5 6 3" xfId="19514" xr:uid="{00000000-0005-0000-0000-00008B460000}"/>
    <cellStyle name="Normal 5 2 2 5 6 3 2" xfId="36383" xr:uid="{68BB1AC2-B761-4BA9-99D9-E59666836FDE}"/>
    <cellStyle name="Normal 5 2 2 5 6 4" xfId="11079" xr:uid="{00000000-0005-0000-0000-00008C460000}"/>
    <cellStyle name="Normal 5 2 2 5 6 5" xfId="27949" xr:uid="{094CC49A-6A7E-4CC0-9138-A5860DC31169}"/>
    <cellStyle name="Normal 5 2 2 5 7" xfId="4797" xr:uid="{00000000-0005-0000-0000-00008D460000}"/>
    <cellStyle name="Normal 5 2 2 5 7 2" xfId="21667" xr:uid="{00000000-0005-0000-0000-00008E460000}"/>
    <cellStyle name="Normal 5 2 2 5 7 2 2" xfId="38535" xr:uid="{505A0881-E113-4FCA-9A5A-C0623C69BEEA}"/>
    <cellStyle name="Normal 5 2 2 5 7 3" xfId="13232" xr:uid="{00000000-0005-0000-0000-00008F460000}"/>
    <cellStyle name="Normal 5 2 2 5 7 4" xfId="30101" xr:uid="{CBDA1BFE-97BB-4E6D-9D5D-2D48F27E7CED}"/>
    <cellStyle name="Normal 5 2 2 5 8" xfId="17449" xr:uid="{00000000-0005-0000-0000-000090460000}"/>
    <cellStyle name="Normal 5 2 2 5 8 2" xfId="34318" xr:uid="{096AAD52-7AB4-4325-9EAC-9DD5BC7FC145}"/>
    <cellStyle name="Normal 5 2 2 5 9" xfId="9014" xr:uid="{00000000-0005-0000-0000-000091460000}"/>
    <cellStyle name="Normal 5 2 2 6" xfId="882" xr:uid="{00000000-0005-0000-0000-000092460000}"/>
    <cellStyle name="Normal 5 2 2 6 2" xfId="3117" xr:uid="{00000000-0005-0000-0000-000093460000}"/>
    <cellStyle name="Normal 5 2 2 6 2 2" xfId="7340" xr:uid="{00000000-0005-0000-0000-000094460000}"/>
    <cellStyle name="Normal 5 2 2 6 2 2 2" xfId="24210" xr:uid="{00000000-0005-0000-0000-000095460000}"/>
    <cellStyle name="Normal 5 2 2 6 2 2 2 2" xfId="41078" xr:uid="{74C539EC-AA23-4C9C-840F-F566BF0AE2A7}"/>
    <cellStyle name="Normal 5 2 2 6 2 2 3" xfId="15775" xr:uid="{00000000-0005-0000-0000-000096460000}"/>
    <cellStyle name="Normal 5 2 2 6 2 2 4" xfId="32644" xr:uid="{04C4F6F2-8D53-467C-BA31-D6EB886E8587}"/>
    <cellStyle name="Normal 5 2 2 6 2 3" xfId="19992" xr:uid="{00000000-0005-0000-0000-000097460000}"/>
    <cellStyle name="Normal 5 2 2 6 2 3 2" xfId="36861" xr:uid="{9D37F8EB-C313-41CD-81E7-C75940389081}"/>
    <cellStyle name="Normal 5 2 2 6 2 4" xfId="11557" xr:uid="{00000000-0005-0000-0000-000098460000}"/>
    <cellStyle name="Normal 5 2 2 6 2 5" xfId="28427" xr:uid="{65FD84AC-FF2C-4CE8-889A-46C116FD0309}"/>
    <cellStyle name="Normal 5 2 2 6 3" xfId="5195" xr:uid="{00000000-0005-0000-0000-000099460000}"/>
    <cellStyle name="Normal 5 2 2 6 3 2" xfId="22065" xr:uid="{00000000-0005-0000-0000-00009A460000}"/>
    <cellStyle name="Normal 5 2 2 6 3 2 2" xfId="38933" xr:uid="{1E887536-6D8F-4D6F-A189-47435F774EE4}"/>
    <cellStyle name="Normal 5 2 2 6 3 3" xfId="13630" xr:uid="{00000000-0005-0000-0000-00009B460000}"/>
    <cellStyle name="Normal 5 2 2 6 3 4" xfId="30499" xr:uid="{84EB4B74-2D84-40FB-B411-797CF78A61B6}"/>
    <cellStyle name="Normal 5 2 2 6 4" xfId="17847" xr:uid="{00000000-0005-0000-0000-00009C460000}"/>
    <cellStyle name="Normal 5 2 2 6 4 2" xfId="34716" xr:uid="{0C6D1809-57F4-4104-8B2B-5900E7209CA9}"/>
    <cellStyle name="Normal 5 2 2 6 5" xfId="9412" xr:uid="{00000000-0005-0000-0000-00009D460000}"/>
    <cellStyle name="Normal 5 2 2 6 6" xfId="26282" xr:uid="{D8DD9A88-6FA3-4347-8A9C-89C1B1A4DA28}"/>
    <cellStyle name="Normal 5 2 2 7" xfId="1300" xr:uid="{00000000-0005-0000-0000-00009E460000}"/>
    <cellStyle name="Normal 5 2 2 7 2" xfId="3530" xr:uid="{00000000-0005-0000-0000-00009F460000}"/>
    <cellStyle name="Normal 5 2 2 7 2 2" xfId="7753" xr:uid="{00000000-0005-0000-0000-0000A0460000}"/>
    <cellStyle name="Normal 5 2 2 7 2 2 2" xfId="24623" xr:uid="{00000000-0005-0000-0000-0000A1460000}"/>
    <cellStyle name="Normal 5 2 2 7 2 2 2 2" xfId="41491" xr:uid="{1231D417-C8A3-4E72-87F7-AD0202F46D48}"/>
    <cellStyle name="Normal 5 2 2 7 2 2 3" xfId="16188" xr:uid="{00000000-0005-0000-0000-0000A2460000}"/>
    <cellStyle name="Normal 5 2 2 7 2 2 4" xfId="33057" xr:uid="{F2330CDA-AA58-4257-ABD3-816D6E18F711}"/>
    <cellStyle name="Normal 5 2 2 7 2 3" xfId="20405" xr:uid="{00000000-0005-0000-0000-0000A3460000}"/>
    <cellStyle name="Normal 5 2 2 7 2 3 2" xfId="37274" xr:uid="{A41BF2A0-AF72-43EC-A4BA-96CE71BAD429}"/>
    <cellStyle name="Normal 5 2 2 7 2 4" xfId="11970" xr:uid="{00000000-0005-0000-0000-0000A4460000}"/>
    <cellStyle name="Normal 5 2 2 7 2 5" xfId="28840" xr:uid="{418B90CA-725B-4F4D-B80F-1B460A46D93F}"/>
    <cellStyle name="Normal 5 2 2 7 3" xfId="5608" xr:uid="{00000000-0005-0000-0000-0000A5460000}"/>
    <cellStyle name="Normal 5 2 2 7 3 2" xfId="22478" xr:uid="{00000000-0005-0000-0000-0000A6460000}"/>
    <cellStyle name="Normal 5 2 2 7 3 2 2" xfId="39346" xr:uid="{74F04632-18C9-4065-A86A-59E7EA8A55B8}"/>
    <cellStyle name="Normal 5 2 2 7 3 3" xfId="14043" xr:uid="{00000000-0005-0000-0000-0000A7460000}"/>
    <cellStyle name="Normal 5 2 2 7 3 4" xfId="30912" xr:uid="{45637388-030A-461F-807A-DDCB12DF783D}"/>
    <cellStyle name="Normal 5 2 2 7 4" xfId="18260" xr:uid="{00000000-0005-0000-0000-0000A8460000}"/>
    <cellStyle name="Normal 5 2 2 7 4 2" xfId="35129" xr:uid="{31B8F5FA-C6C9-4DDB-B0C8-1E3716A277C9}"/>
    <cellStyle name="Normal 5 2 2 7 5" xfId="9825" xr:uid="{00000000-0005-0000-0000-0000A9460000}"/>
    <cellStyle name="Normal 5 2 2 7 6" xfId="26695" xr:uid="{C10BD67B-51D8-4A87-AC27-F42735067E0C}"/>
    <cellStyle name="Normal 5 2 2 8" xfId="1713" xr:uid="{00000000-0005-0000-0000-0000AA460000}"/>
    <cellStyle name="Normal 5 2 2 8 2" xfId="3943" xr:uid="{00000000-0005-0000-0000-0000AB460000}"/>
    <cellStyle name="Normal 5 2 2 8 2 2" xfId="8166" xr:uid="{00000000-0005-0000-0000-0000AC460000}"/>
    <cellStyle name="Normal 5 2 2 8 2 2 2" xfId="25036" xr:uid="{00000000-0005-0000-0000-0000AD460000}"/>
    <cellStyle name="Normal 5 2 2 8 2 2 2 2" xfId="41904" xr:uid="{34D7A9F0-E6AD-4923-B37B-EE8814993AAE}"/>
    <cellStyle name="Normal 5 2 2 8 2 2 3" xfId="16601" xr:uid="{00000000-0005-0000-0000-0000AE460000}"/>
    <cellStyle name="Normal 5 2 2 8 2 2 4" xfId="33470" xr:uid="{30F4964E-899B-4D16-8664-EFEFD6471E1A}"/>
    <cellStyle name="Normal 5 2 2 8 2 3" xfId="20818" xr:uid="{00000000-0005-0000-0000-0000AF460000}"/>
    <cellStyle name="Normal 5 2 2 8 2 3 2" xfId="37687" xr:uid="{F9D1801A-EEEE-4489-97D4-E83BF9670383}"/>
    <cellStyle name="Normal 5 2 2 8 2 4" xfId="12383" xr:uid="{00000000-0005-0000-0000-0000B0460000}"/>
    <cellStyle name="Normal 5 2 2 8 2 5" xfId="29253" xr:uid="{82A25D99-F43E-4148-AB18-7792C478D99D}"/>
    <cellStyle name="Normal 5 2 2 8 3" xfId="6021" xr:uid="{00000000-0005-0000-0000-0000B1460000}"/>
    <cellStyle name="Normal 5 2 2 8 3 2" xfId="22891" xr:uid="{00000000-0005-0000-0000-0000B2460000}"/>
    <cellStyle name="Normal 5 2 2 8 3 2 2" xfId="39759" xr:uid="{6EC468AB-A48F-4216-8697-FC3F5EBF6705}"/>
    <cellStyle name="Normal 5 2 2 8 3 3" xfId="14456" xr:uid="{00000000-0005-0000-0000-0000B3460000}"/>
    <cellStyle name="Normal 5 2 2 8 3 4" xfId="31325" xr:uid="{355E0F73-1328-47A6-935C-78A742ED42BC}"/>
    <cellStyle name="Normal 5 2 2 8 4" xfId="18673" xr:uid="{00000000-0005-0000-0000-0000B4460000}"/>
    <cellStyle name="Normal 5 2 2 8 4 2" xfId="35542" xr:uid="{35D86636-751D-4C2D-BC83-061BAF451CFF}"/>
    <cellStyle name="Normal 5 2 2 8 5" xfId="10238" xr:uid="{00000000-0005-0000-0000-0000B5460000}"/>
    <cellStyle name="Normal 5 2 2 8 6" xfId="27108" xr:uid="{310D130B-8C27-4567-84C7-94FAF82DF67A}"/>
    <cellStyle name="Normal 5 2 2 9" xfId="2127" xr:uid="{00000000-0005-0000-0000-0000B6460000}"/>
    <cellStyle name="Normal 5 2 2 9 2" xfId="4356" xr:uid="{00000000-0005-0000-0000-0000B7460000}"/>
    <cellStyle name="Normal 5 2 2 9 2 2" xfId="8579" xr:uid="{00000000-0005-0000-0000-0000B8460000}"/>
    <cellStyle name="Normal 5 2 2 9 2 2 2" xfId="25449" xr:uid="{00000000-0005-0000-0000-0000B9460000}"/>
    <cellStyle name="Normal 5 2 2 9 2 2 2 2" xfId="42317" xr:uid="{04A07CE9-980F-450B-BED4-917DB027BF9B}"/>
    <cellStyle name="Normal 5 2 2 9 2 2 3" xfId="17014" xr:uid="{00000000-0005-0000-0000-0000BA460000}"/>
    <cellStyle name="Normal 5 2 2 9 2 2 4" xfId="33883" xr:uid="{EE81C4A5-B132-478F-9DEB-79C6A685DD35}"/>
    <cellStyle name="Normal 5 2 2 9 2 3" xfId="21231" xr:uid="{00000000-0005-0000-0000-0000BB460000}"/>
    <cellStyle name="Normal 5 2 2 9 2 3 2" xfId="38100" xr:uid="{0D35FB34-70AB-4CE1-B6A2-0FB181DB1AFA}"/>
    <cellStyle name="Normal 5 2 2 9 2 4" xfId="12796" xr:uid="{00000000-0005-0000-0000-0000BC460000}"/>
    <cellStyle name="Normal 5 2 2 9 2 5" xfId="29666" xr:uid="{5F0652AB-D293-4EE8-8CCD-43B6492CABD9}"/>
    <cellStyle name="Normal 5 2 2 9 3" xfId="6434" xr:uid="{00000000-0005-0000-0000-0000BD460000}"/>
    <cellStyle name="Normal 5 2 2 9 3 2" xfId="23304" xr:uid="{00000000-0005-0000-0000-0000BE460000}"/>
    <cellStyle name="Normal 5 2 2 9 3 2 2" xfId="40172" xr:uid="{2548AC5A-400E-4DAC-B025-6F56420618EA}"/>
    <cellStyle name="Normal 5 2 2 9 3 3" xfId="14869" xr:uid="{00000000-0005-0000-0000-0000BF460000}"/>
    <cellStyle name="Normal 5 2 2 9 3 4" xfId="31738" xr:uid="{87D3AEC0-69C1-41AA-A7C5-BC55C1693C78}"/>
    <cellStyle name="Normal 5 2 2 9 4" xfId="19086" xr:uid="{00000000-0005-0000-0000-0000C0460000}"/>
    <cellStyle name="Normal 5 2 2 9 4 2" xfId="35955" xr:uid="{1A088559-B5CB-425D-81C3-E881E33117DE}"/>
    <cellStyle name="Normal 5 2 2 9 5" xfId="10651" xr:uid="{00000000-0005-0000-0000-0000C1460000}"/>
    <cellStyle name="Normal 5 2 2 9 6" xfId="27521" xr:uid="{FE4BA5E8-4FE5-4513-BC6F-7162356972E9}"/>
    <cellStyle name="Normal 5 2 3" xfId="424" xr:uid="{00000000-0005-0000-0000-0000C2460000}"/>
    <cellStyle name="Normal 5 2 3 10" xfId="4798" xr:uid="{00000000-0005-0000-0000-0000C3460000}"/>
    <cellStyle name="Normal 5 2 3 10 2" xfId="21668" xr:uid="{00000000-0005-0000-0000-0000C4460000}"/>
    <cellStyle name="Normal 5 2 3 10 2 2" xfId="38536" xr:uid="{7B4046FF-26AB-4009-8832-691D2AA16973}"/>
    <cellStyle name="Normal 5 2 3 10 3" xfId="13233" xr:uid="{00000000-0005-0000-0000-0000C5460000}"/>
    <cellStyle name="Normal 5 2 3 10 4" xfId="30102" xr:uid="{67147D38-4A59-4DE9-B58C-40045FF6CA53}"/>
    <cellStyle name="Normal 5 2 3 11" xfId="17450" xr:uid="{00000000-0005-0000-0000-0000C6460000}"/>
    <cellStyle name="Normal 5 2 3 11 2" xfId="34319" xr:uid="{ADB527FE-D798-4B0D-B49C-AFADD82842A0}"/>
    <cellStyle name="Normal 5 2 3 12" xfId="9015" xr:uid="{00000000-0005-0000-0000-0000C7460000}"/>
    <cellStyle name="Normal 5 2 3 13" xfId="25885" xr:uid="{A7544BB5-04C0-4CC9-86F2-CEEAD78CF3CC}"/>
    <cellStyle name="Normal 5 2 3 2" xfId="425" xr:uid="{00000000-0005-0000-0000-0000C8460000}"/>
    <cellStyle name="Normal 5 2 3 2 10" xfId="17451" xr:uid="{00000000-0005-0000-0000-0000C9460000}"/>
    <cellStyle name="Normal 5 2 3 2 10 2" xfId="34320" xr:uid="{A63C159A-54D2-4E83-B408-B8D338055CD2}"/>
    <cellStyle name="Normal 5 2 3 2 11" xfId="9016" xr:uid="{00000000-0005-0000-0000-0000CA460000}"/>
    <cellStyle name="Normal 5 2 3 2 12" xfId="25886" xr:uid="{37241965-5ED3-468F-874A-83A00D47195D}"/>
    <cellStyle name="Normal 5 2 3 2 2" xfId="426" xr:uid="{00000000-0005-0000-0000-0000CB460000}"/>
    <cellStyle name="Normal 5 2 3 2 2 10" xfId="9017" xr:uid="{00000000-0005-0000-0000-0000CC460000}"/>
    <cellStyle name="Normal 5 2 3 2 2 11" xfId="25887" xr:uid="{D9411234-32E0-461C-AB68-2527AE689F30}"/>
    <cellStyle name="Normal 5 2 3 2 2 2" xfId="427" xr:uid="{00000000-0005-0000-0000-0000CD460000}"/>
    <cellStyle name="Normal 5 2 3 2 2 2 10" xfId="25888" xr:uid="{79F8394A-2EEF-461F-A2AE-5B1C65621D69}"/>
    <cellStyle name="Normal 5 2 3 2 2 2 2" xfId="901" xr:uid="{00000000-0005-0000-0000-0000CE460000}"/>
    <cellStyle name="Normal 5 2 3 2 2 2 2 2" xfId="3136" xr:uid="{00000000-0005-0000-0000-0000CF460000}"/>
    <cellStyle name="Normal 5 2 3 2 2 2 2 2 2" xfId="7359" xr:uid="{00000000-0005-0000-0000-0000D0460000}"/>
    <cellStyle name="Normal 5 2 3 2 2 2 2 2 2 2" xfId="24229" xr:uid="{00000000-0005-0000-0000-0000D1460000}"/>
    <cellStyle name="Normal 5 2 3 2 2 2 2 2 2 2 2" xfId="41097" xr:uid="{40D85D24-7B1F-4B10-82B3-007B3BB386BD}"/>
    <cellStyle name="Normal 5 2 3 2 2 2 2 2 2 3" xfId="15794" xr:uid="{00000000-0005-0000-0000-0000D2460000}"/>
    <cellStyle name="Normal 5 2 3 2 2 2 2 2 2 4" xfId="32663" xr:uid="{4C3D02C6-BEC2-4F29-8BDA-5527B4222765}"/>
    <cellStyle name="Normal 5 2 3 2 2 2 2 2 3" xfId="20011" xr:uid="{00000000-0005-0000-0000-0000D3460000}"/>
    <cellStyle name="Normal 5 2 3 2 2 2 2 2 3 2" xfId="36880" xr:uid="{555DCCB6-C01F-4CE0-9548-EF3C429B8001}"/>
    <cellStyle name="Normal 5 2 3 2 2 2 2 2 4" xfId="11576" xr:uid="{00000000-0005-0000-0000-0000D4460000}"/>
    <cellStyle name="Normal 5 2 3 2 2 2 2 2 5" xfId="28446" xr:uid="{1FA69A23-B0C1-424F-B63D-3B3EE50ACFC6}"/>
    <cellStyle name="Normal 5 2 3 2 2 2 2 3" xfId="5214" xr:uid="{00000000-0005-0000-0000-0000D5460000}"/>
    <cellStyle name="Normal 5 2 3 2 2 2 2 3 2" xfId="22084" xr:uid="{00000000-0005-0000-0000-0000D6460000}"/>
    <cellStyle name="Normal 5 2 3 2 2 2 2 3 2 2" xfId="38952" xr:uid="{66E08B58-EF76-4CD0-A641-882EE63C2F7A}"/>
    <cellStyle name="Normal 5 2 3 2 2 2 2 3 3" xfId="13649" xr:uid="{00000000-0005-0000-0000-0000D7460000}"/>
    <cellStyle name="Normal 5 2 3 2 2 2 2 3 4" xfId="30518" xr:uid="{7DD1BD8E-BA02-49D1-BA25-DA342E9FDCB6}"/>
    <cellStyle name="Normal 5 2 3 2 2 2 2 4" xfId="17866" xr:uid="{00000000-0005-0000-0000-0000D8460000}"/>
    <cellStyle name="Normal 5 2 3 2 2 2 2 4 2" xfId="34735" xr:uid="{97E8FF83-784C-499A-9E3D-95E8F554EDDD}"/>
    <cellStyle name="Normal 5 2 3 2 2 2 2 5" xfId="9431" xr:uid="{00000000-0005-0000-0000-0000D9460000}"/>
    <cellStyle name="Normal 5 2 3 2 2 2 2 6" xfId="26301" xr:uid="{4B2DBD43-CF73-415B-94EA-D03FEFDE530B}"/>
    <cellStyle name="Normal 5 2 3 2 2 2 3" xfId="1319" xr:uid="{00000000-0005-0000-0000-0000DA460000}"/>
    <cellStyle name="Normal 5 2 3 2 2 2 3 2" xfId="3549" xr:uid="{00000000-0005-0000-0000-0000DB460000}"/>
    <cellStyle name="Normal 5 2 3 2 2 2 3 2 2" xfId="7772" xr:uid="{00000000-0005-0000-0000-0000DC460000}"/>
    <cellStyle name="Normal 5 2 3 2 2 2 3 2 2 2" xfId="24642" xr:uid="{00000000-0005-0000-0000-0000DD460000}"/>
    <cellStyle name="Normal 5 2 3 2 2 2 3 2 2 2 2" xfId="41510" xr:uid="{0E97B98C-92F1-4B13-AA83-9AC930C1CCD1}"/>
    <cellStyle name="Normal 5 2 3 2 2 2 3 2 2 3" xfId="16207" xr:uid="{00000000-0005-0000-0000-0000DE460000}"/>
    <cellStyle name="Normal 5 2 3 2 2 2 3 2 2 4" xfId="33076" xr:uid="{D33A61CB-9D91-4098-B8CF-586566161FF8}"/>
    <cellStyle name="Normal 5 2 3 2 2 2 3 2 3" xfId="20424" xr:uid="{00000000-0005-0000-0000-0000DF460000}"/>
    <cellStyle name="Normal 5 2 3 2 2 2 3 2 3 2" xfId="37293" xr:uid="{A6F6A349-0271-4EF2-92C4-0867B038A024}"/>
    <cellStyle name="Normal 5 2 3 2 2 2 3 2 4" xfId="11989" xr:uid="{00000000-0005-0000-0000-0000E0460000}"/>
    <cellStyle name="Normal 5 2 3 2 2 2 3 2 5" xfId="28859" xr:uid="{6B39F39C-5BEF-4CA1-A9BE-C416F469C164}"/>
    <cellStyle name="Normal 5 2 3 2 2 2 3 3" xfId="5627" xr:uid="{00000000-0005-0000-0000-0000E1460000}"/>
    <cellStyle name="Normal 5 2 3 2 2 2 3 3 2" xfId="22497" xr:uid="{00000000-0005-0000-0000-0000E2460000}"/>
    <cellStyle name="Normal 5 2 3 2 2 2 3 3 2 2" xfId="39365" xr:uid="{105FF0A2-8B3D-47A3-9923-11482A124188}"/>
    <cellStyle name="Normal 5 2 3 2 2 2 3 3 3" xfId="14062" xr:uid="{00000000-0005-0000-0000-0000E3460000}"/>
    <cellStyle name="Normal 5 2 3 2 2 2 3 3 4" xfId="30931" xr:uid="{DDF62456-AB1C-41A0-8B0E-26C5AC9BBC40}"/>
    <cellStyle name="Normal 5 2 3 2 2 2 3 4" xfId="18279" xr:uid="{00000000-0005-0000-0000-0000E4460000}"/>
    <cellStyle name="Normal 5 2 3 2 2 2 3 4 2" xfId="35148" xr:uid="{8705A7CE-6814-4633-8899-20540FADC627}"/>
    <cellStyle name="Normal 5 2 3 2 2 2 3 5" xfId="9844" xr:uid="{00000000-0005-0000-0000-0000E5460000}"/>
    <cellStyle name="Normal 5 2 3 2 2 2 3 6" xfId="26714" xr:uid="{66258E2D-B27B-4EC5-B126-FB6CE7C4A362}"/>
    <cellStyle name="Normal 5 2 3 2 2 2 4" xfId="1732" xr:uid="{00000000-0005-0000-0000-0000E6460000}"/>
    <cellStyle name="Normal 5 2 3 2 2 2 4 2" xfId="3962" xr:uid="{00000000-0005-0000-0000-0000E7460000}"/>
    <cellStyle name="Normal 5 2 3 2 2 2 4 2 2" xfId="8185" xr:uid="{00000000-0005-0000-0000-0000E8460000}"/>
    <cellStyle name="Normal 5 2 3 2 2 2 4 2 2 2" xfId="25055" xr:uid="{00000000-0005-0000-0000-0000E9460000}"/>
    <cellStyle name="Normal 5 2 3 2 2 2 4 2 2 2 2" xfId="41923" xr:uid="{E36EAF75-F6B3-4128-AB70-164B22556156}"/>
    <cellStyle name="Normal 5 2 3 2 2 2 4 2 2 3" xfId="16620" xr:uid="{00000000-0005-0000-0000-0000EA460000}"/>
    <cellStyle name="Normal 5 2 3 2 2 2 4 2 2 4" xfId="33489" xr:uid="{117CB46E-0B65-457E-9DF0-5F8FE9DEE606}"/>
    <cellStyle name="Normal 5 2 3 2 2 2 4 2 3" xfId="20837" xr:uid="{00000000-0005-0000-0000-0000EB460000}"/>
    <cellStyle name="Normal 5 2 3 2 2 2 4 2 3 2" xfId="37706" xr:uid="{E27B5792-CF52-4752-998F-BCF642ECA69A}"/>
    <cellStyle name="Normal 5 2 3 2 2 2 4 2 4" xfId="12402" xr:uid="{00000000-0005-0000-0000-0000EC460000}"/>
    <cellStyle name="Normal 5 2 3 2 2 2 4 2 5" xfId="29272" xr:uid="{5BF02173-C02B-4F45-9406-5C8F176DCE93}"/>
    <cellStyle name="Normal 5 2 3 2 2 2 4 3" xfId="6040" xr:uid="{00000000-0005-0000-0000-0000ED460000}"/>
    <cellStyle name="Normal 5 2 3 2 2 2 4 3 2" xfId="22910" xr:uid="{00000000-0005-0000-0000-0000EE460000}"/>
    <cellStyle name="Normal 5 2 3 2 2 2 4 3 2 2" xfId="39778" xr:uid="{9ADC2426-6643-4831-A70A-D736AA2413BB}"/>
    <cellStyle name="Normal 5 2 3 2 2 2 4 3 3" xfId="14475" xr:uid="{00000000-0005-0000-0000-0000EF460000}"/>
    <cellStyle name="Normal 5 2 3 2 2 2 4 3 4" xfId="31344" xr:uid="{0857D801-986E-4040-A37B-CC159334295B}"/>
    <cellStyle name="Normal 5 2 3 2 2 2 4 4" xfId="18692" xr:uid="{00000000-0005-0000-0000-0000F0460000}"/>
    <cellStyle name="Normal 5 2 3 2 2 2 4 4 2" xfId="35561" xr:uid="{BFA2B6DB-1461-41F3-B294-2B59D083C808}"/>
    <cellStyle name="Normal 5 2 3 2 2 2 4 5" xfId="10257" xr:uid="{00000000-0005-0000-0000-0000F1460000}"/>
    <cellStyle name="Normal 5 2 3 2 2 2 4 6" xfId="27127" xr:uid="{DF7F4E89-3F2C-4C2F-95D6-D7F289EF6675}"/>
    <cellStyle name="Normal 5 2 3 2 2 2 5" xfId="2146" xr:uid="{00000000-0005-0000-0000-0000F2460000}"/>
    <cellStyle name="Normal 5 2 3 2 2 2 5 2" xfId="4375" xr:uid="{00000000-0005-0000-0000-0000F3460000}"/>
    <cellStyle name="Normal 5 2 3 2 2 2 5 2 2" xfId="8598" xr:uid="{00000000-0005-0000-0000-0000F4460000}"/>
    <cellStyle name="Normal 5 2 3 2 2 2 5 2 2 2" xfId="25468" xr:uid="{00000000-0005-0000-0000-0000F5460000}"/>
    <cellStyle name="Normal 5 2 3 2 2 2 5 2 2 2 2" xfId="42336" xr:uid="{0412401E-DA52-4C67-9344-6CFB10D4ECA6}"/>
    <cellStyle name="Normal 5 2 3 2 2 2 5 2 2 3" xfId="17033" xr:uid="{00000000-0005-0000-0000-0000F6460000}"/>
    <cellStyle name="Normal 5 2 3 2 2 2 5 2 2 4" xfId="33902" xr:uid="{895108BC-E38D-45C4-AE48-1D3E1727CD30}"/>
    <cellStyle name="Normal 5 2 3 2 2 2 5 2 3" xfId="21250" xr:uid="{00000000-0005-0000-0000-0000F7460000}"/>
    <cellStyle name="Normal 5 2 3 2 2 2 5 2 3 2" xfId="38119" xr:uid="{87B047E9-A323-4885-A699-DAFAAA516C02}"/>
    <cellStyle name="Normal 5 2 3 2 2 2 5 2 4" xfId="12815" xr:uid="{00000000-0005-0000-0000-0000F8460000}"/>
    <cellStyle name="Normal 5 2 3 2 2 2 5 2 5" xfId="29685" xr:uid="{203FF77E-10B0-4374-922B-9E5A0C855B05}"/>
    <cellStyle name="Normal 5 2 3 2 2 2 5 3" xfId="6453" xr:uid="{00000000-0005-0000-0000-0000F9460000}"/>
    <cellStyle name="Normal 5 2 3 2 2 2 5 3 2" xfId="23323" xr:uid="{00000000-0005-0000-0000-0000FA460000}"/>
    <cellStyle name="Normal 5 2 3 2 2 2 5 3 2 2" xfId="40191" xr:uid="{812F2D01-F924-4DB7-BE5D-2B5F5CC6FBB1}"/>
    <cellStyle name="Normal 5 2 3 2 2 2 5 3 3" xfId="14888" xr:uid="{00000000-0005-0000-0000-0000FB460000}"/>
    <cellStyle name="Normal 5 2 3 2 2 2 5 3 4" xfId="31757" xr:uid="{FB54F74B-574D-469C-B78A-79A3208F981A}"/>
    <cellStyle name="Normal 5 2 3 2 2 2 5 4" xfId="19105" xr:uid="{00000000-0005-0000-0000-0000FC460000}"/>
    <cellStyle name="Normal 5 2 3 2 2 2 5 4 2" xfId="35974" xr:uid="{590B9F74-3761-433F-85FC-1F147C9B37D5}"/>
    <cellStyle name="Normal 5 2 3 2 2 2 5 5" xfId="10670" xr:uid="{00000000-0005-0000-0000-0000FD460000}"/>
    <cellStyle name="Normal 5 2 3 2 2 2 5 6" xfId="27540" xr:uid="{0754790A-30BF-4484-A6BE-0D6C748E9B17}"/>
    <cellStyle name="Normal 5 2 3 2 2 2 6" xfId="2582" xr:uid="{00000000-0005-0000-0000-0000FE460000}"/>
    <cellStyle name="Normal 5 2 3 2 2 2 6 2" xfId="6866" xr:uid="{00000000-0005-0000-0000-0000FF460000}"/>
    <cellStyle name="Normal 5 2 3 2 2 2 6 2 2" xfId="23736" xr:uid="{00000000-0005-0000-0000-000000470000}"/>
    <cellStyle name="Normal 5 2 3 2 2 2 6 2 2 2" xfId="40604" xr:uid="{DF198D33-00C0-405A-9D24-3BF2E42AA1B4}"/>
    <cellStyle name="Normal 5 2 3 2 2 2 6 2 3" xfId="15301" xr:uid="{00000000-0005-0000-0000-000001470000}"/>
    <cellStyle name="Normal 5 2 3 2 2 2 6 2 4" xfId="32170" xr:uid="{77FCAAAE-B83B-4371-8216-2B12705661C9}"/>
    <cellStyle name="Normal 5 2 3 2 2 2 6 3" xfId="19518" xr:uid="{00000000-0005-0000-0000-000002470000}"/>
    <cellStyle name="Normal 5 2 3 2 2 2 6 3 2" xfId="36387" xr:uid="{4E645775-B9A7-4BD4-B3F6-500D0562DC09}"/>
    <cellStyle name="Normal 5 2 3 2 2 2 6 4" xfId="11083" xr:uid="{00000000-0005-0000-0000-000003470000}"/>
    <cellStyle name="Normal 5 2 3 2 2 2 6 5" xfId="27953" xr:uid="{5C510F13-EBB8-4C59-AE3A-490D180FDE6C}"/>
    <cellStyle name="Normal 5 2 3 2 2 2 7" xfId="4801" xr:uid="{00000000-0005-0000-0000-000004470000}"/>
    <cellStyle name="Normal 5 2 3 2 2 2 7 2" xfId="21671" xr:uid="{00000000-0005-0000-0000-000005470000}"/>
    <cellStyle name="Normal 5 2 3 2 2 2 7 2 2" xfId="38539" xr:uid="{3F3AFE12-08C2-4B4A-AC2D-11AB14655ED7}"/>
    <cellStyle name="Normal 5 2 3 2 2 2 7 3" xfId="13236" xr:uid="{00000000-0005-0000-0000-000006470000}"/>
    <cellStyle name="Normal 5 2 3 2 2 2 7 4" xfId="30105" xr:uid="{A2BA89C0-579F-4287-95BE-F7AABA34BAF8}"/>
    <cellStyle name="Normal 5 2 3 2 2 2 8" xfId="17453" xr:uid="{00000000-0005-0000-0000-000007470000}"/>
    <cellStyle name="Normal 5 2 3 2 2 2 8 2" xfId="34322" xr:uid="{F8EA8A2E-8CEB-44B1-838D-EADC66D51B79}"/>
    <cellStyle name="Normal 5 2 3 2 2 2 9" xfId="9018" xr:uid="{00000000-0005-0000-0000-000008470000}"/>
    <cellStyle name="Normal 5 2 3 2 2 3" xfId="900" xr:uid="{00000000-0005-0000-0000-000009470000}"/>
    <cellStyle name="Normal 5 2 3 2 2 3 2" xfId="3135" xr:uid="{00000000-0005-0000-0000-00000A470000}"/>
    <cellStyle name="Normal 5 2 3 2 2 3 2 2" xfId="7358" xr:uid="{00000000-0005-0000-0000-00000B470000}"/>
    <cellStyle name="Normal 5 2 3 2 2 3 2 2 2" xfId="24228" xr:uid="{00000000-0005-0000-0000-00000C470000}"/>
    <cellStyle name="Normal 5 2 3 2 2 3 2 2 2 2" xfId="41096" xr:uid="{5BF72F87-6673-4736-A83B-E3204E31ECCE}"/>
    <cellStyle name="Normal 5 2 3 2 2 3 2 2 3" xfId="15793" xr:uid="{00000000-0005-0000-0000-00000D470000}"/>
    <cellStyle name="Normal 5 2 3 2 2 3 2 2 4" xfId="32662" xr:uid="{FE861FEF-457A-42D6-857D-10116B3D33AC}"/>
    <cellStyle name="Normal 5 2 3 2 2 3 2 3" xfId="20010" xr:uid="{00000000-0005-0000-0000-00000E470000}"/>
    <cellStyle name="Normal 5 2 3 2 2 3 2 3 2" xfId="36879" xr:uid="{3D175BB2-9B7F-463B-A7E7-DE408F87FC70}"/>
    <cellStyle name="Normal 5 2 3 2 2 3 2 4" xfId="11575" xr:uid="{00000000-0005-0000-0000-00000F470000}"/>
    <cellStyle name="Normal 5 2 3 2 2 3 2 5" xfId="28445" xr:uid="{F97936BA-EE0D-447A-A063-2E9BDD180EA9}"/>
    <cellStyle name="Normal 5 2 3 2 2 3 3" xfId="5213" xr:uid="{00000000-0005-0000-0000-000010470000}"/>
    <cellStyle name="Normal 5 2 3 2 2 3 3 2" xfId="22083" xr:uid="{00000000-0005-0000-0000-000011470000}"/>
    <cellStyle name="Normal 5 2 3 2 2 3 3 2 2" xfId="38951" xr:uid="{D05CE61C-8E2E-4F01-A756-1C59D7A4E736}"/>
    <cellStyle name="Normal 5 2 3 2 2 3 3 3" xfId="13648" xr:uid="{00000000-0005-0000-0000-000012470000}"/>
    <cellStyle name="Normal 5 2 3 2 2 3 3 4" xfId="30517" xr:uid="{4A446A47-3BB3-459D-A08E-0C487300EA36}"/>
    <cellStyle name="Normal 5 2 3 2 2 3 4" xfId="17865" xr:uid="{00000000-0005-0000-0000-000013470000}"/>
    <cellStyle name="Normal 5 2 3 2 2 3 4 2" xfId="34734" xr:uid="{3D99862C-F139-48D9-B620-99F98A5FA447}"/>
    <cellStyle name="Normal 5 2 3 2 2 3 5" xfId="9430" xr:uid="{00000000-0005-0000-0000-000014470000}"/>
    <cellStyle name="Normal 5 2 3 2 2 3 6" xfId="26300" xr:uid="{13CF899A-ACF2-42A6-ACE6-C1E0BE0CD658}"/>
    <cellStyle name="Normal 5 2 3 2 2 4" xfId="1318" xr:uid="{00000000-0005-0000-0000-000015470000}"/>
    <cellStyle name="Normal 5 2 3 2 2 4 2" xfId="3548" xr:uid="{00000000-0005-0000-0000-000016470000}"/>
    <cellStyle name="Normal 5 2 3 2 2 4 2 2" xfId="7771" xr:uid="{00000000-0005-0000-0000-000017470000}"/>
    <cellStyle name="Normal 5 2 3 2 2 4 2 2 2" xfId="24641" xr:uid="{00000000-0005-0000-0000-000018470000}"/>
    <cellStyle name="Normal 5 2 3 2 2 4 2 2 2 2" xfId="41509" xr:uid="{96284D35-0FD7-487F-BCCD-41FB7B64F1B6}"/>
    <cellStyle name="Normal 5 2 3 2 2 4 2 2 3" xfId="16206" xr:uid="{00000000-0005-0000-0000-000019470000}"/>
    <cellStyle name="Normal 5 2 3 2 2 4 2 2 4" xfId="33075" xr:uid="{31F7D813-6E6B-42EF-92BA-388219AC4C9B}"/>
    <cellStyle name="Normal 5 2 3 2 2 4 2 3" xfId="20423" xr:uid="{00000000-0005-0000-0000-00001A470000}"/>
    <cellStyle name="Normal 5 2 3 2 2 4 2 3 2" xfId="37292" xr:uid="{0EA902BE-088A-4032-976C-9C11E5D3F129}"/>
    <cellStyle name="Normal 5 2 3 2 2 4 2 4" xfId="11988" xr:uid="{00000000-0005-0000-0000-00001B470000}"/>
    <cellStyle name="Normal 5 2 3 2 2 4 2 5" xfId="28858" xr:uid="{EF87476B-66FC-4761-9E12-98D4F42E4E8A}"/>
    <cellStyle name="Normal 5 2 3 2 2 4 3" xfId="5626" xr:uid="{00000000-0005-0000-0000-00001C470000}"/>
    <cellStyle name="Normal 5 2 3 2 2 4 3 2" xfId="22496" xr:uid="{00000000-0005-0000-0000-00001D470000}"/>
    <cellStyle name="Normal 5 2 3 2 2 4 3 2 2" xfId="39364" xr:uid="{BCCECB9C-A97F-4448-8E06-E22854C40DE0}"/>
    <cellStyle name="Normal 5 2 3 2 2 4 3 3" xfId="14061" xr:uid="{00000000-0005-0000-0000-00001E470000}"/>
    <cellStyle name="Normal 5 2 3 2 2 4 3 4" xfId="30930" xr:uid="{65BE6CC5-DEB8-4FD4-A60D-F1F28568C136}"/>
    <cellStyle name="Normal 5 2 3 2 2 4 4" xfId="18278" xr:uid="{00000000-0005-0000-0000-00001F470000}"/>
    <cellStyle name="Normal 5 2 3 2 2 4 4 2" xfId="35147" xr:uid="{03DE05DA-DF3C-4829-99E0-9006287BB9FD}"/>
    <cellStyle name="Normal 5 2 3 2 2 4 5" xfId="9843" xr:uid="{00000000-0005-0000-0000-000020470000}"/>
    <cellStyle name="Normal 5 2 3 2 2 4 6" xfId="26713" xr:uid="{F89266F3-0CF3-4FB0-9D09-4E0B942DAFFD}"/>
    <cellStyle name="Normal 5 2 3 2 2 5" xfId="1731" xr:uid="{00000000-0005-0000-0000-000021470000}"/>
    <cellStyle name="Normal 5 2 3 2 2 5 2" xfId="3961" xr:uid="{00000000-0005-0000-0000-000022470000}"/>
    <cellStyle name="Normal 5 2 3 2 2 5 2 2" xfId="8184" xr:uid="{00000000-0005-0000-0000-000023470000}"/>
    <cellStyle name="Normal 5 2 3 2 2 5 2 2 2" xfId="25054" xr:uid="{00000000-0005-0000-0000-000024470000}"/>
    <cellStyle name="Normal 5 2 3 2 2 5 2 2 2 2" xfId="41922" xr:uid="{25D644F6-1371-47CD-B7C2-F118B11DE56B}"/>
    <cellStyle name="Normal 5 2 3 2 2 5 2 2 3" xfId="16619" xr:uid="{00000000-0005-0000-0000-000025470000}"/>
    <cellStyle name="Normal 5 2 3 2 2 5 2 2 4" xfId="33488" xr:uid="{8EBFE189-3587-4FD2-806C-E0C0DC3B81C9}"/>
    <cellStyle name="Normal 5 2 3 2 2 5 2 3" xfId="20836" xr:uid="{00000000-0005-0000-0000-000026470000}"/>
    <cellStyle name="Normal 5 2 3 2 2 5 2 3 2" xfId="37705" xr:uid="{5FDD7C7E-BAAF-4E02-82A0-919525F224DC}"/>
    <cellStyle name="Normal 5 2 3 2 2 5 2 4" xfId="12401" xr:uid="{00000000-0005-0000-0000-000027470000}"/>
    <cellStyle name="Normal 5 2 3 2 2 5 2 5" xfId="29271" xr:uid="{C19F87E8-079E-4C9E-8180-58C45B2D2E49}"/>
    <cellStyle name="Normal 5 2 3 2 2 5 3" xfId="6039" xr:uid="{00000000-0005-0000-0000-000028470000}"/>
    <cellStyle name="Normal 5 2 3 2 2 5 3 2" xfId="22909" xr:uid="{00000000-0005-0000-0000-000029470000}"/>
    <cellStyle name="Normal 5 2 3 2 2 5 3 2 2" xfId="39777" xr:uid="{D1851D23-E162-4BD0-B707-50E02B2E6AE7}"/>
    <cellStyle name="Normal 5 2 3 2 2 5 3 3" xfId="14474" xr:uid="{00000000-0005-0000-0000-00002A470000}"/>
    <cellStyle name="Normal 5 2 3 2 2 5 3 4" xfId="31343" xr:uid="{96F57C05-C0D1-4251-BB99-0EB13BBE4187}"/>
    <cellStyle name="Normal 5 2 3 2 2 5 4" xfId="18691" xr:uid="{00000000-0005-0000-0000-00002B470000}"/>
    <cellStyle name="Normal 5 2 3 2 2 5 4 2" xfId="35560" xr:uid="{011577DD-EDD8-48A6-8ECA-BBAD809B2BE1}"/>
    <cellStyle name="Normal 5 2 3 2 2 5 5" xfId="10256" xr:uid="{00000000-0005-0000-0000-00002C470000}"/>
    <cellStyle name="Normal 5 2 3 2 2 5 6" xfId="27126" xr:uid="{53D70568-27D0-49C2-A4E8-917BF282D455}"/>
    <cellStyle name="Normal 5 2 3 2 2 6" xfId="2145" xr:uid="{00000000-0005-0000-0000-00002D470000}"/>
    <cellStyle name="Normal 5 2 3 2 2 6 2" xfId="4374" xr:uid="{00000000-0005-0000-0000-00002E470000}"/>
    <cellStyle name="Normal 5 2 3 2 2 6 2 2" xfId="8597" xr:uid="{00000000-0005-0000-0000-00002F470000}"/>
    <cellStyle name="Normal 5 2 3 2 2 6 2 2 2" xfId="25467" xr:uid="{00000000-0005-0000-0000-000030470000}"/>
    <cellStyle name="Normal 5 2 3 2 2 6 2 2 2 2" xfId="42335" xr:uid="{294431B6-8A99-4D6F-A590-2AAA68F9C377}"/>
    <cellStyle name="Normal 5 2 3 2 2 6 2 2 3" xfId="17032" xr:uid="{00000000-0005-0000-0000-000031470000}"/>
    <cellStyle name="Normal 5 2 3 2 2 6 2 2 4" xfId="33901" xr:uid="{7EA10257-705E-43B9-B034-026A9DAB4095}"/>
    <cellStyle name="Normal 5 2 3 2 2 6 2 3" xfId="21249" xr:uid="{00000000-0005-0000-0000-000032470000}"/>
    <cellStyle name="Normal 5 2 3 2 2 6 2 3 2" xfId="38118" xr:uid="{5DE88A7D-786B-4284-B8DA-B1FBE8DEE951}"/>
    <cellStyle name="Normal 5 2 3 2 2 6 2 4" xfId="12814" xr:uid="{00000000-0005-0000-0000-000033470000}"/>
    <cellStyle name="Normal 5 2 3 2 2 6 2 5" xfId="29684" xr:uid="{D2FF3557-D6A3-4F7C-B534-1F06753D42CA}"/>
    <cellStyle name="Normal 5 2 3 2 2 6 3" xfId="6452" xr:uid="{00000000-0005-0000-0000-000034470000}"/>
    <cellStyle name="Normal 5 2 3 2 2 6 3 2" xfId="23322" xr:uid="{00000000-0005-0000-0000-000035470000}"/>
    <cellStyle name="Normal 5 2 3 2 2 6 3 2 2" xfId="40190" xr:uid="{CF7FEFFA-61EF-4375-A5A7-830AC8858193}"/>
    <cellStyle name="Normal 5 2 3 2 2 6 3 3" xfId="14887" xr:uid="{00000000-0005-0000-0000-000036470000}"/>
    <cellStyle name="Normal 5 2 3 2 2 6 3 4" xfId="31756" xr:uid="{46591BAA-C72D-405A-9761-E55E5792EE50}"/>
    <cellStyle name="Normal 5 2 3 2 2 6 4" xfId="19104" xr:uid="{00000000-0005-0000-0000-000037470000}"/>
    <cellStyle name="Normal 5 2 3 2 2 6 4 2" xfId="35973" xr:uid="{BA8AEEC1-EF6C-4C9B-8138-3AA4E76A32BF}"/>
    <cellStyle name="Normal 5 2 3 2 2 6 5" xfId="10669" xr:uid="{00000000-0005-0000-0000-000038470000}"/>
    <cellStyle name="Normal 5 2 3 2 2 6 6" xfId="27539" xr:uid="{E2CC458C-FB24-4A90-9D96-51A58BAB5F9F}"/>
    <cellStyle name="Normal 5 2 3 2 2 7" xfId="2581" xr:uid="{00000000-0005-0000-0000-000039470000}"/>
    <cellStyle name="Normal 5 2 3 2 2 7 2" xfId="6865" xr:uid="{00000000-0005-0000-0000-00003A470000}"/>
    <cellStyle name="Normal 5 2 3 2 2 7 2 2" xfId="23735" xr:uid="{00000000-0005-0000-0000-00003B470000}"/>
    <cellStyle name="Normal 5 2 3 2 2 7 2 2 2" xfId="40603" xr:uid="{C902712F-1935-4F29-B90E-5ADB6651922B}"/>
    <cellStyle name="Normal 5 2 3 2 2 7 2 3" xfId="15300" xr:uid="{00000000-0005-0000-0000-00003C470000}"/>
    <cellStyle name="Normal 5 2 3 2 2 7 2 4" xfId="32169" xr:uid="{78C91697-00F1-4EE4-AA75-EE07725555D4}"/>
    <cellStyle name="Normal 5 2 3 2 2 7 3" xfId="19517" xr:uid="{00000000-0005-0000-0000-00003D470000}"/>
    <cellStyle name="Normal 5 2 3 2 2 7 3 2" xfId="36386" xr:uid="{708CDC20-F213-4130-9132-757577D896B2}"/>
    <cellStyle name="Normal 5 2 3 2 2 7 4" xfId="11082" xr:uid="{00000000-0005-0000-0000-00003E470000}"/>
    <cellStyle name="Normal 5 2 3 2 2 7 5" xfId="27952" xr:uid="{731D4BFB-6616-44FE-ABDB-DBA937C82189}"/>
    <cellStyle name="Normal 5 2 3 2 2 8" xfId="4800" xr:uid="{00000000-0005-0000-0000-00003F470000}"/>
    <cellStyle name="Normal 5 2 3 2 2 8 2" xfId="21670" xr:uid="{00000000-0005-0000-0000-000040470000}"/>
    <cellStyle name="Normal 5 2 3 2 2 8 2 2" xfId="38538" xr:uid="{B4FCB095-2A1F-41F5-8B4C-9EBAD3C5C0AC}"/>
    <cellStyle name="Normal 5 2 3 2 2 8 3" xfId="13235" xr:uid="{00000000-0005-0000-0000-000041470000}"/>
    <cellStyle name="Normal 5 2 3 2 2 8 4" xfId="30104" xr:uid="{936C41B0-F726-4824-9A65-ADD45BD0A3D0}"/>
    <cellStyle name="Normal 5 2 3 2 2 9" xfId="17452" xr:uid="{00000000-0005-0000-0000-000042470000}"/>
    <cellStyle name="Normal 5 2 3 2 2 9 2" xfId="34321" xr:uid="{0154E3B0-1D1B-4D2A-AC9A-9C29B3365971}"/>
    <cellStyle name="Normal 5 2 3 2 3" xfId="428" xr:uid="{00000000-0005-0000-0000-000043470000}"/>
    <cellStyle name="Normal 5 2 3 2 3 10" xfId="25889" xr:uid="{F8F01ED2-F1CB-43FC-88D5-9CC956E5945B}"/>
    <cellStyle name="Normal 5 2 3 2 3 2" xfId="902" xr:uid="{00000000-0005-0000-0000-000044470000}"/>
    <cellStyle name="Normal 5 2 3 2 3 2 2" xfId="3137" xr:uid="{00000000-0005-0000-0000-000045470000}"/>
    <cellStyle name="Normal 5 2 3 2 3 2 2 2" xfId="7360" xr:uid="{00000000-0005-0000-0000-000046470000}"/>
    <cellStyle name="Normal 5 2 3 2 3 2 2 2 2" xfId="24230" xr:uid="{00000000-0005-0000-0000-000047470000}"/>
    <cellStyle name="Normal 5 2 3 2 3 2 2 2 2 2" xfId="41098" xr:uid="{6FD72FFB-466E-4A6D-93A2-55A5A55188F3}"/>
    <cellStyle name="Normal 5 2 3 2 3 2 2 2 3" xfId="15795" xr:uid="{00000000-0005-0000-0000-000048470000}"/>
    <cellStyle name="Normal 5 2 3 2 3 2 2 2 4" xfId="32664" xr:uid="{1B22C3C4-1D2A-4B19-B6B4-1970633EDAFE}"/>
    <cellStyle name="Normal 5 2 3 2 3 2 2 3" xfId="20012" xr:uid="{00000000-0005-0000-0000-000049470000}"/>
    <cellStyle name="Normal 5 2 3 2 3 2 2 3 2" xfId="36881" xr:uid="{EF90D852-486A-4BFD-A2AE-2A0AC2645088}"/>
    <cellStyle name="Normal 5 2 3 2 3 2 2 4" xfId="11577" xr:uid="{00000000-0005-0000-0000-00004A470000}"/>
    <cellStyle name="Normal 5 2 3 2 3 2 2 5" xfId="28447" xr:uid="{9DC2BF44-4F1D-4C5A-9273-3D5CC96EBFBD}"/>
    <cellStyle name="Normal 5 2 3 2 3 2 3" xfId="5215" xr:uid="{00000000-0005-0000-0000-00004B470000}"/>
    <cellStyle name="Normal 5 2 3 2 3 2 3 2" xfId="22085" xr:uid="{00000000-0005-0000-0000-00004C470000}"/>
    <cellStyle name="Normal 5 2 3 2 3 2 3 2 2" xfId="38953" xr:uid="{CBA2E48F-AC05-4375-B08A-194CDFB45845}"/>
    <cellStyle name="Normal 5 2 3 2 3 2 3 3" xfId="13650" xr:uid="{00000000-0005-0000-0000-00004D470000}"/>
    <cellStyle name="Normal 5 2 3 2 3 2 3 4" xfId="30519" xr:uid="{29704E03-0236-48D7-BD0D-E4F8F02EE8B6}"/>
    <cellStyle name="Normal 5 2 3 2 3 2 4" xfId="17867" xr:uid="{00000000-0005-0000-0000-00004E470000}"/>
    <cellStyle name="Normal 5 2 3 2 3 2 4 2" xfId="34736" xr:uid="{3C721881-10FC-480D-966B-2D30862D5364}"/>
    <cellStyle name="Normal 5 2 3 2 3 2 5" xfId="9432" xr:uid="{00000000-0005-0000-0000-00004F470000}"/>
    <cellStyle name="Normal 5 2 3 2 3 2 6" xfId="26302" xr:uid="{AC0DFAF7-8A4D-4617-84AF-C78E79B59D8F}"/>
    <cellStyle name="Normal 5 2 3 2 3 3" xfId="1320" xr:uid="{00000000-0005-0000-0000-000050470000}"/>
    <cellStyle name="Normal 5 2 3 2 3 3 2" xfId="3550" xr:uid="{00000000-0005-0000-0000-000051470000}"/>
    <cellStyle name="Normal 5 2 3 2 3 3 2 2" xfId="7773" xr:uid="{00000000-0005-0000-0000-000052470000}"/>
    <cellStyle name="Normal 5 2 3 2 3 3 2 2 2" xfId="24643" xr:uid="{00000000-0005-0000-0000-000053470000}"/>
    <cellStyle name="Normal 5 2 3 2 3 3 2 2 2 2" xfId="41511" xr:uid="{673BD553-C7E6-4531-8B61-07EB02ECA297}"/>
    <cellStyle name="Normal 5 2 3 2 3 3 2 2 3" xfId="16208" xr:uid="{00000000-0005-0000-0000-000054470000}"/>
    <cellStyle name="Normal 5 2 3 2 3 3 2 2 4" xfId="33077" xr:uid="{2C76ED83-8D31-4F59-B623-A04B8BFF0255}"/>
    <cellStyle name="Normal 5 2 3 2 3 3 2 3" xfId="20425" xr:uid="{00000000-0005-0000-0000-000055470000}"/>
    <cellStyle name="Normal 5 2 3 2 3 3 2 3 2" xfId="37294" xr:uid="{AE7690F7-8853-49DF-81DB-286812658CFD}"/>
    <cellStyle name="Normal 5 2 3 2 3 3 2 4" xfId="11990" xr:uid="{00000000-0005-0000-0000-000056470000}"/>
    <cellStyle name="Normal 5 2 3 2 3 3 2 5" xfId="28860" xr:uid="{6A8ABF6D-4909-4AEA-8E62-4965513A58A7}"/>
    <cellStyle name="Normal 5 2 3 2 3 3 3" xfId="5628" xr:uid="{00000000-0005-0000-0000-000057470000}"/>
    <cellStyle name="Normal 5 2 3 2 3 3 3 2" xfId="22498" xr:uid="{00000000-0005-0000-0000-000058470000}"/>
    <cellStyle name="Normal 5 2 3 2 3 3 3 2 2" xfId="39366" xr:uid="{A597ED62-FD87-4D78-85C1-074F0B282841}"/>
    <cellStyle name="Normal 5 2 3 2 3 3 3 3" xfId="14063" xr:uid="{00000000-0005-0000-0000-000059470000}"/>
    <cellStyle name="Normal 5 2 3 2 3 3 3 4" xfId="30932" xr:uid="{14B427A7-E3D3-4751-940E-6BB6500B6D25}"/>
    <cellStyle name="Normal 5 2 3 2 3 3 4" xfId="18280" xr:uid="{00000000-0005-0000-0000-00005A470000}"/>
    <cellStyle name="Normal 5 2 3 2 3 3 4 2" xfId="35149" xr:uid="{10D545E5-AD53-45AD-9D96-F5019B4B419A}"/>
    <cellStyle name="Normal 5 2 3 2 3 3 5" xfId="9845" xr:uid="{00000000-0005-0000-0000-00005B470000}"/>
    <cellStyle name="Normal 5 2 3 2 3 3 6" xfId="26715" xr:uid="{D9C8D78C-89B7-4006-AA7F-491D98C223F6}"/>
    <cellStyle name="Normal 5 2 3 2 3 4" xfId="1733" xr:uid="{00000000-0005-0000-0000-00005C470000}"/>
    <cellStyle name="Normal 5 2 3 2 3 4 2" xfId="3963" xr:uid="{00000000-0005-0000-0000-00005D470000}"/>
    <cellStyle name="Normal 5 2 3 2 3 4 2 2" xfId="8186" xr:uid="{00000000-0005-0000-0000-00005E470000}"/>
    <cellStyle name="Normal 5 2 3 2 3 4 2 2 2" xfId="25056" xr:uid="{00000000-0005-0000-0000-00005F470000}"/>
    <cellStyle name="Normal 5 2 3 2 3 4 2 2 2 2" xfId="41924" xr:uid="{C46C0790-2403-44AC-B721-EF9AF2B52BB0}"/>
    <cellStyle name="Normal 5 2 3 2 3 4 2 2 3" xfId="16621" xr:uid="{00000000-0005-0000-0000-000060470000}"/>
    <cellStyle name="Normal 5 2 3 2 3 4 2 2 4" xfId="33490" xr:uid="{C93D2C4A-AAFC-4630-84E2-D8CC5B9EDE99}"/>
    <cellStyle name="Normal 5 2 3 2 3 4 2 3" xfId="20838" xr:uid="{00000000-0005-0000-0000-000061470000}"/>
    <cellStyle name="Normal 5 2 3 2 3 4 2 3 2" xfId="37707" xr:uid="{ECA43DDA-2F18-46A5-9B71-71981A0F2CE8}"/>
    <cellStyle name="Normal 5 2 3 2 3 4 2 4" xfId="12403" xr:uid="{00000000-0005-0000-0000-000062470000}"/>
    <cellStyle name="Normal 5 2 3 2 3 4 2 5" xfId="29273" xr:uid="{C2C3F5BF-570F-4617-AFDF-9A87C20D6D2D}"/>
    <cellStyle name="Normal 5 2 3 2 3 4 3" xfId="6041" xr:uid="{00000000-0005-0000-0000-000063470000}"/>
    <cellStyle name="Normal 5 2 3 2 3 4 3 2" xfId="22911" xr:uid="{00000000-0005-0000-0000-000064470000}"/>
    <cellStyle name="Normal 5 2 3 2 3 4 3 2 2" xfId="39779" xr:uid="{96D2C24E-21C2-4B16-98BD-BB8D1757FFEA}"/>
    <cellStyle name="Normal 5 2 3 2 3 4 3 3" xfId="14476" xr:uid="{00000000-0005-0000-0000-000065470000}"/>
    <cellStyle name="Normal 5 2 3 2 3 4 3 4" xfId="31345" xr:uid="{D77B1D85-C7CD-4266-AEF7-8E487B8BC8DB}"/>
    <cellStyle name="Normal 5 2 3 2 3 4 4" xfId="18693" xr:uid="{00000000-0005-0000-0000-000066470000}"/>
    <cellStyle name="Normal 5 2 3 2 3 4 4 2" xfId="35562" xr:uid="{12531AA6-D52E-4BCB-8ABF-9880256BD444}"/>
    <cellStyle name="Normal 5 2 3 2 3 4 5" xfId="10258" xr:uid="{00000000-0005-0000-0000-000067470000}"/>
    <cellStyle name="Normal 5 2 3 2 3 4 6" xfId="27128" xr:uid="{E81858B5-7D87-4A21-9CB8-EFBFB9A69945}"/>
    <cellStyle name="Normal 5 2 3 2 3 5" xfId="2147" xr:uid="{00000000-0005-0000-0000-000068470000}"/>
    <cellStyle name="Normal 5 2 3 2 3 5 2" xfId="4376" xr:uid="{00000000-0005-0000-0000-000069470000}"/>
    <cellStyle name="Normal 5 2 3 2 3 5 2 2" xfId="8599" xr:uid="{00000000-0005-0000-0000-00006A470000}"/>
    <cellStyle name="Normal 5 2 3 2 3 5 2 2 2" xfId="25469" xr:uid="{00000000-0005-0000-0000-00006B470000}"/>
    <cellStyle name="Normal 5 2 3 2 3 5 2 2 2 2" xfId="42337" xr:uid="{9635EE0B-21EE-48D7-B54A-6DEF4A1F1B9D}"/>
    <cellStyle name="Normal 5 2 3 2 3 5 2 2 3" xfId="17034" xr:uid="{00000000-0005-0000-0000-00006C470000}"/>
    <cellStyle name="Normal 5 2 3 2 3 5 2 2 4" xfId="33903" xr:uid="{CB2BF03C-690E-4FBA-9D8D-2227CD981496}"/>
    <cellStyle name="Normal 5 2 3 2 3 5 2 3" xfId="21251" xr:uid="{00000000-0005-0000-0000-00006D470000}"/>
    <cellStyle name="Normal 5 2 3 2 3 5 2 3 2" xfId="38120" xr:uid="{C8A764B1-A740-4155-8A98-74C7B5DBB746}"/>
    <cellStyle name="Normal 5 2 3 2 3 5 2 4" xfId="12816" xr:uid="{00000000-0005-0000-0000-00006E470000}"/>
    <cellStyle name="Normal 5 2 3 2 3 5 2 5" xfId="29686" xr:uid="{FE7BD499-322B-4CE0-8D7A-16D10D8F4EAF}"/>
    <cellStyle name="Normal 5 2 3 2 3 5 3" xfId="6454" xr:uid="{00000000-0005-0000-0000-00006F470000}"/>
    <cellStyle name="Normal 5 2 3 2 3 5 3 2" xfId="23324" xr:uid="{00000000-0005-0000-0000-000070470000}"/>
    <cellStyle name="Normal 5 2 3 2 3 5 3 2 2" xfId="40192" xr:uid="{360CA135-28DB-47F6-97E8-F88AEFD20687}"/>
    <cellStyle name="Normal 5 2 3 2 3 5 3 3" xfId="14889" xr:uid="{00000000-0005-0000-0000-000071470000}"/>
    <cellStyle name="Normal 5 2 3 2 3 5 3 4" xfId="31758" xr:uid="{06C3F13D-C73D-4ECD-B347-EF2861831BF4}"/>
    <cellStyle name="Normal 5 2 3 2 3 5 4" xfId="19106" xr:uid="{00000000-0005-0000-0000-000072470000}"/>
    <cellStyle name="Normal 5 2 3 2 3 5 4 2" xfId="35975" xr:uid="{7695EB31-20C3-485F-BDB5-4E2CF1A32551}"/>
    <cellStyle name="Normal 5 2 3 2 3 5 5" xfId="10671" xr:uid="{00000000-0005-0000-0000-000073470000}"/>
    <cellStyle name="Normal 5 2 3 2 3 5 6" xfId="27541" xr:uid="{D8D54974-035D-4A0F-8BBF-17ADE79D0190}"/>
    <cellStyle name="Normal 5 2 3 2 3 6" xfId="2583" xr:uid="{00000000-0005-0000-0000-000074470000}"/>
    <cellStyle name="Normal 5 2 3 2 3 6 2" xfId="6867" xr:uid="{00000000-0005-0000-0000-000075470000}"/>
    <cellStyle name="Normal 5 2 3 2 3 6 2 2" xfId="23737" xr:uid="{00000000-0005-0000-0000-000076470000}"/>
    <cellStyle name="Normal 5 2 3 2 3 6 2 2 2" xfId="40605" xr:uid="{7D89C836-3AEA-41F3-951E-3D4B58D797B6}"/>
    <cellStyle name="Normal 5 2 3 2 3 6 2 3" xfId="15302" xr:uid="{00000000-0005-0000-0000-000077470000}"/>
    <cellStyle name="Normal 5 2 3 2 3 6 2 4" xfId="32171" xr:uid="{145EF888-5B36-4CDD-973B-23DDFD625565}"/>
    <cellStyle name="Normal 5 2 3 2 3 6 3" xfId="19519" xr:uid="{00000000-0005-0000-0000-000078470000}"/>
    <cellStyle name="Normal 5 2 3 2 3 6 3 2" xfId="36388" xr:uid="{00D879EE-B5DB-4E91-8672-BF38679B11BF}"/>
    <cellStyle name="Normal 5 2 3 2 3 6 4" xfId="11084" xr:uid="{00000000-0005-0000-0000-000079470000}"/>
    <cellStyle name="Normal 5 2 3 2 3 6 5" xfId="27954" xr:uid="{3E18B95E-3CC8-4789-A91B-886C21C83837}"/>
    <cellStyle name="Normal 5 2 3 2 3 7" xfId="4802" xr:uid="{00000000-0005-0000-0000-00007A470000}"/>
    <cellStyle name="Normal 5 2 3 2 3 7 2" xfId="21672" xr:uid="{00000000-0005-0000-0000-00007B470000}"/>
    <cellStyle name="Normal 5 2 3 2 3 7 2 2" xfId="38540" xr:uid="{6E77939B-B4C1-4066-8C14-4FCFD1CB6B50}"/>
    <cellStyle name="Normal 5 2 3 2 3 7 3" xfId="13237" xr:uid="{00000000-0005-0000-0000-00007C470000}"/>
    <cellStyle name="Normal 5 2 3 2 3 7 4" xfId="30106" xr:uid="{B679B2E2-5030-4119-AE87-DFBAF0B82F20}"/>
    <cellStyle name="Normal 5 2 3 2 3 8" xfId="17454" xr:uid="{00000000-0005-0000-0000-00007D470000}"/>
    <cellStyle name="Normal 5 2 3 2 3 8 2" xfId="34323" xr:uid="{C595CAE6-8FA9-4605-99CE-08FD9094666D}"/>
    <cellStyle name="Normal 5 2 3 2 3 9" xfId="9019" xr:uid="{00000000-0005-0000-0000-00007E470000}"/>
    <cellStyle name="Normal 5 2 3 2 4" xfId="899" xr:uid="{00000000-0005-0000-0000-00007F470000}"/>
    <cellStyle name="Normal 5 2 3 2 4 2" xfId="3134" xr:uid="{00000000-0005-0000-0000-000080470000}"/>
    <cellStyle name="Normal 5 2 3 2 4 2 2" xfId="7357" xr:uid="{00000000-0005-0000-0000-000081470000}"/>
    <cellStyle name="Normal 5 2 3 2 4 2 2 2" xfId="24227" xr:uid="{00000000-0005-0000-0000-000082470000}"/>
    <cellStyle name="Normal 5 2 3 2 4 2 2 2 2" xfId="41095" xr:uid="{0E35AD64-5513-4317-93DA-E2C0BE623D06}"/>
    <cellStyle name="Normal 5 2 3 2 4 2 2 3" xfId="15792" xr:uid="{00000000-0005-0000-0000-000083470000}"/>
    <cellStyle name="Normal 5 2 3 2 4 2 2 4" xfId="32661" xr:uid="{88F29969-7942-4A55-AE5B-410A971BB568}"/>
    <cellStyle name="Normal 5 2 3 2 4 2 3" xfId="20009" xr:uid="{00000000-0005-0000-0000-000084470000}"/>
    <cellStyle name="Normal 5 2 3 2 4 2 3 2" xfId="36878" xr:uid="{A203A555-1B56-4D8E-B183-48D1972132E4}"/>
    <cellStyle name="Normal 5 2 3 2 4 2 4" xfId="11574" xr:uid="{00000000-0005-0000-0000-000085470000}"/>
    <cellStyle name="Normal 5 2 3 2 4 2 5" xfId="28444" xr:uid="{EA6171B0-5D0B-4E4B-A389-43685CA62F35}"/>
    <cellStyle name="Normal 5 2 3 2 4 3" xfId="5212" xr:uid="{00000000-0005-0000-0000-000086470000}"/>
    <cellStyle name="Normal 5 2 3 2 4 3 2" xfId="22082" xr:uid="{00000000-0005-0000-0000-000087470000}"/>
    <cellStyle name="Normal 5 2 3 2 4 3 2 2" xfId="38950" xr:uid="{AF6D553D-6EB4-48DF-B6D2-0DE6D38A11AC}"/>
    <cellStyle name="Normal 5 2 3 2 4 3 3" xfId="13647" xr:uid="{00000000-0005-0000-0000-000088470000}"/>
    <cellStyle name="Normal 5 2 3 2 4 3 4" xfId="30516" xr:uid="{4C5003C1-2DFE-4CD8-B0FB-D5DB1E16C266}"/>
    <cellStyle name="Normal 5 2 3 2 4 4" xfId="17864" xr:uid="{00000000-0005-0000-0000-000089470000}"/>
    <cellStyle name="Normal 5 2 3 2 4 4 2" xfId="34733" xr:uid="{97723D1A-B838-4768-908F-EEEF7F0499FA}"/>
    <cellStyle name="Normal 5 2 3 2 4 5" xfId="9429" xr:uid="{00000000-0005-0000-0000-00008A470000}"/>
    <cellStyle name="Normal 5 2 3 2 4 6" xfId="26299" xr:uid="{61636A61-96BB-4BA2-BA3F-FE821DC833C9}"/>
    <cellStyle name="Normal 5 2 3 2 5" xfId="1317" xr:uid="{00000000-0005-0000-0000-00008B470000}"/>
    <cellStyle name="Normal 5 2 3 2 5 2" xfId="3547" xr:uid="{00000000-0005-0000-0000-00008C470000}"/>
    <cellStyle name="Normal 5 2 3 2 5 2 2" xfId="7770" xr:uid="{00000000-0005-0000-0000-00008D470000}"/>
    <cellStyle name="Normal 5 2 3 2 5 2 2 2" xfId="24640" xr:uid="{00000000-0005-0000-0000-00008E470000}"/>
    <cellStyle name="Normal 5 2 3 2 5 2 2 2 2" xfId="41508" xr:uid="{4C8E6EFA-60D2-4CD2-8E0F-5E1A6B3874A4}"/>
    <cellStyle name="Normal 5 2 3 2 5 2 2 3" xfId="16205" xr:uid="{00000000-0005-0000-0000-00008F470000}"/>
    <cellStyle name="Normal 5 2 3 2 5 2 2 4" xfId="33074" xr:uid="{6FA79C69-3C65-4DD9-A141-F08356B4F9DB}"/>
    <cellStyle name="Normal 5 2 3 2 5 2 3" xfId="20422" xr:uid="{00000000-0005-0000-0000-000090470000}"/>
    <cellStyle name="Normal 5 2 3 2 5 2 3 2" xfId="37291" xr:uid="{118DEFF6-A1EC-4B1A-8C69-828F0366D4F2}"/>
    <cellStyle name="Normal 5 2 3 2 5 2 4" xfId="11987" xr:uid="{00000000-0005-0000-0000-000091470000}"/>
    <cellStyle name="Normal 5 2 3 2 5 2 5" xfId="28857" xr:uid="{29948016-AD73-4280-B08D-BAA0A25C86BF}"/>
    <cellStyle name="Normal 5 2 3 2 5 3" xfId="5625" xr:uid="{00000000-0005-0000-0000-000092470000}"/>
    <cellStyle name="Normal 5 2 3 2 5 3 2" xfId="22495" xr:uid="{00000000-0005-0000-0000-000093470000}"/>
    <cellStyle name="Normal 5 2 3 2 5 3 2 2" xfId="39363" xr:uid="{1BB61B85-C84E-4AA2-A9BC-87A8C5A85434}"/>
    <cellStyle name="Normal 5 2 3 2 5 3 3" xfId="14060" xr:uid="{00000000-0005-0000-0000-000094470000}"/>
    <cellStyle name="Normal 5 2 3 2 5 3 4" xfId="30929" xr:uid="{C75B0C98-A65D-4212-9509-2D507301C104}"/>
    <cellStyle name="Normal 5 2 3 2 5 4" xfId="18277" xr:uid="{00000000-0005-0000-0000-000095470000}"/>
    <cellStyle name="Normal 5 2 3 2 5 4 2" xfId="35146" xr:uid="{F699A5C8-2B4E-48BB-9DA4-0E20847CCAD1}"/>
    <cellStyle name="Normal 5 2 3 2 5 5" xfId="9842" xr:uid="{00000000-0005-0000-0000-000096470000}"/>
    <cellStyle name="Normal 5 2 3 2 5 6" xfId="26712" xr:uid="{7787E915-3AA5-4DDA-97CD-81BA56008689}"/>
    <cellStyle name="Normal 5 2 3 2 6" xfId="1730" xr:uid="{00000000-0005-0000-0000-000097470000}"/>
    <cellStyle name="Normal 5 2 3 2 6 2" xfId="3960" xr:uid="{00000000-0005-0000-0000-000098470000}"/>
    <cellStyle name="Normal 5 2 3 2 6 2 2" xfId="8183" xr:uid="{00000000-0005-0000-0000-000099470000}"/>
    <cellStyle name="Normal 5 2 3 2 6 2 2 2" xfId="25053" xr:uid="{00000000-0005-0000-0000-00009A470000}"/>
    <cellStyle name="Normal 5 2 3 2 6 2 2 2 2" xfId="41921" xr:uid="{FA18143B-09A3-439D-A9D5-3E29C513D250}"/>
    <cellStyle name="Normal 5 2 3 2 6 2 2 3" xfId="16618" xr:uid="{00000000-0005-0000-0000-00009B470000}"/>
    <cellStyle name="Normal 5 2 3 2 6 2 2 4" xfId="33487" xr:uid="{4DDE3171-D1EA-4FD1-993B-9D09388DFB28}"/>
    <cellStyle name="Normal 5 2 3 2 6 2 3" xfId="20835" xr:uid="{00000000-0005-0000-0000-00009C470000}"/>
    <cellStyle name="Normal 5 2 3 2 6 2 3 2" xfId="37704" xr:uid="{3057BA79-8AB4-474B-94E1-3DC221113E65}"/>
    <cellStyle name="Normal 5 2 3 2 6 2 4" xfId="12400" xr:uid="{00000000-0005-0000-0000-00009D470000}"/>
    <cellStyle name="Normal 5 2 3 2 6 2 5" xfId="29270" xr:uid="{2CCFBB09-5C17-4587-9BDF-04B04AEB97FD}"/>
    <cellStyle name="Normal 5 2 3 2 6 3" xfId="6038" xr:uid="{00000000-0005-0000-0000-00009E470000}"/>
    <cellStyle name="Normal 5 2 3 2 6 3 2" xfId="22908" xr:uid="{00000000-0005-0000-0000-00009F470000}"/>
    <cellStyle name="Normal 5 2 3 2 6 3 2 2" xfId="39776" xr:uid="{95579970-5E01-4B2E-9FB9-E946FEDAF4D1}"/>
    <cellStyle name="Normal 5 2 3 2 6 3 3" xfId="14473" xr:uid="{00000000-0005-0000-0000-0000A0470000}"/>
    <cellStyle name="Normal 5 2 3 2 6 3 4" xfId="31342" xr:uid="{6B7EF9E7-93B3-4FBF-83B7-C10AD56B66F1}"/>
    <cellStyle name="Normal 5 2 3 2 6 4" xfId="18690" xr:uid="{00000000-0005-0000-0000-0000A1470000}"/>
    <cellStyle name="Normal 5 2 3 2 6 4 2" xfId="35559" xr:uid="{A51BA50A-FBBC-4C95-9E9E-4222D1A69F44}"/>
    <cellStyle name="Normal 5 2 3 2 6 5" xfId="10255" xr:uid="{00000000-0005-0000-0000-0000A2470000}"/>
    <cellStyle name="Normal 5 2 3 2 6 6" xfId="27125" xr:uid="{2FA955C5-7E3E-4514-B006-78B5D813C973}"/>
    <cellStyle name="Normal 5 2 3 2 7" xfId="2144" xr:uid="{00000000-0005-0000-0000-0000A3470000}"/>
    <cellStyle name="Normal 5 2 3 2 7 2" xfId="4373" xr:uid="{00000000-0005-0000-0000-0000A4470000}"/>
    <cellStyle name="Normal 5 2 3 2 7 2 2" xfId="8596" xr:uid="{00000000-0005-0000-0000-0000A5470000}"/>
    <cellStyle name="Normal 5 2 3 2 7 2 2 2" xfId="25466" xr:uid="{00000000-0005-0000-0000-0000A6470000}"/>
    <cellStyle name="Normal 5 2 3 2 7 2 2 2 2" xfId="42334" xr:uid="{1D2F40F0-67F6-4DE5-B1AD-D358FC8B3E55}"/>
    <cellStyle name="Normal 5 2 3 2 7 2 2 3" xfId="17031" xr:uid="{00000000-0005-0000-0000-0000A7470000}"/>
    <cellStyle name="Normal 5 2 3 2 7 2 2 4" xfId="33900" xr:uid="{55803E28-6618-48AC-8CF7-2E39A6A023D2}"/>
    <cellStyle name="Normal 5 2 3 2 7 2 3" xfId="21248" xr:uid="{00000000-0005-0000-0000-0000A8470000}"/>
    <cellStyle name="Normal 5 2 3 2 7 2 3 2" xfId="38117" xr:uid="{0FEAF7E5-C196-40C6-9DAF-3201FAFC7F80}"/>
    <cellStyle name="Normal 5 2 3 2 7 2 4" xfId="12813" xr:uid="{00000000-0005-0000-0000-0000A9470000}"/>
    <cellStyle name="Normal 5 2 3 2 7 2 5" xfId="29683" xr:uid="{140089D0-4EDE-453B-980B-5312368A35C2}"/>
    <cellStyle name="Normal 5 2 3 2 7 3" xfId="6451" xr:uid="{00000000-0005-0000-0000-0000AA470000}"/>
    <cellStyle name="Normal 5 2 3 2 7 3 2" xfId="23321" xr:uid="{00000000-0005-0000-0000-0000AB470000}"/>
    <cellStyle name="Normal 5 2 3 2 7 3 2 2" xfId="40189" xr:uid="{52D1B349-0F52-4921-A23A-A960D6EC2A9D}"/>
    <cellStyle name="Normal 5 2 3 2 7 3 3" xfId="14886" xr:uid="{00000000-0005-0000-0000-0000AC470000}"/>
    <cellStyle name="Normal 5 2 3 2 7 3 4" xfId="31755" xr:uid="{4304684A-B0CB-4775-8604-6C3BA163DACA}"/>
    <cellStyle name="Normal 5 2 3 2 7 4" xfId="19103" xr:uid="{00000000-0005-0000-0000-0000AD470000}"/>
    <cellStyle name="Normal 5 2 3 2 7 4 2" xfId="35972" xr:uid="{81A36876-5DEE-4C72-95AF-43042A7ADE08}"/>
    <cellStyle name="Normal 5 2 3 2 7 5" xfId="10668" xr:uid="{00000000-0005-0000-0000-0000AE470000}"/>
    <cellStyle name="Normal 5 2 3 2 7 6" xfId="27538" xr:uid="{9566E5E1-627D-4A22-B5D5-E1F97A8F4244}"/>
    <cellStyle name="Normal 5 2 3 2 8" xfId="2580" xr:uid="{00000000-0005-0000-0000-0000AF470000}"/>
    <cellStyle name="Normal 5 2 3 2 8 2" xfId="6864" xr:uid="{00000000-0005-0000-0000-0000B0470000}"/>
    <cellStyle name="Normal 5 2 3 2 8 2 2" xfId="23734" xr:uid="{00000000-0005-0000-0000-0000B1470000}"/>
    <cellStyle name="Normal 5 2 3 2 8 2 2 2" xfId="40602" xr:uid="{AEA6E05F-E47B-44F4-9812-798A15F69895}"/>
    <cellStyle name="Normal 5 2 3 2 8 2 3" xfId="15299" xr:uid="{00000000-0005-0000-0000-0000B2470000}"/>
    <cellStyle name="Normal 5 2 3 2 8 2 4" xfId="32168" xr:uid="{4F8724A3-CD83-4633-81FB-B9A020486678}"/>
    <cellStyle name="Normal 5 2 3 2 8 3" xfId="19516" xr:uid="{00000000-0005-0000-0000-0000B3470000}"/>
    <cellStyle name="Normal 5 2 3 2 8 3 2" xfId="36385" xr:uid="{32F3C2C2-6721-4E71-9658-FB23EB13B943}"/>
    <cellStyle name="Normal 5 2 3 2 8 4" xfId="11081" xr:uid="{00000000-0005-0000-0000-0000B4470000}"/>
    <cellStyle name="Normal 5 2 3 2 8 5" xfId="27951" xr:uid="{ABCA8A67-FE6E-4358-83F3-D8CA6542DC35}"/>
    <cellStyle name="Normal 5 2 3 2 9" xfId="4799" xr:uid="{00000000-0005-0000-0000-0000B5470000}"/>
    <cellStyle name="Normal 5 2 3 2 9 2" xfId="21669" xr:uid="{00000000-0005-0000-0000-0000B6470000}"/>
    <cellStyle name="Normal 5 2 3 2 9 2 2" xfId="38537" xr:uid="{395BDA7F-845F-49DB-BD1C-77F3109C9BEA}"/>
    <cellStyle name="Normal 5 2 3 2 9 3" xfId="13234" xr:uid="{00000000-0005-0000-0000-0000B7470000}"/>
    <cellStyle name="Normal 5 2 3 2 9 4" xfId="30103" xr:uid="{8174CABB-46E3-41CD-9846-DE0E4A3959B8}"/>
    <cellStyle name="Normal 5 2 3 3" xfId="429" xr:uid="{00000000-0005-0000-0000-0000B8470000}"/>
    <cellStyle name="Normal 5 2 3 3 10" xfId="9020" xr:uid="{00000000-0005-0000-0000-0000B9470000}"/>
    <cellStyle name="Normal 5 2 3 3 11" xfId="25890" xr:uid="{1091C351-B01A-4F4B-9E7E-DB9ECA257208}"/>
    <cellStyle name="Normal 5 2 3 3 2" xfId="430" xr:uid="{00000000-0005-0000-0000-0000BA470000}"/>
    <cellStyle name="Normal 5 2 3 3 2 10" xfId="25891" xr:uid="{791A7A9E-9487-4B89-89E1-6134B8AF2B67}"/>
    <cellStyle name="Normal 5 2 3 3 2 2" xfId="904" xr:uid="{00000000-0005-0000-0000-0000BB470000}"/>
    <cellStyle name="Normal 5 2 3 3 2 2 2" xfId="3139" xr:uid="{00000000-0005-0000-0000-0000BC470000}"/>
    <cellStyle name="Normal 5 2 3 3 2 2 2 2" xfId="7362" xr:uid="{00000000-0005-0000-0000-0000BD470000}"/>
    <cellStyle name="Normal 5 2 3 3 2 2 2 2 2" xfId="24232" xr:uid="{00000000-0005-0000-0000-0000BE470000}"/>
    <cellStyle name="Normal 5 2 3 3 2 2 2 2 2 2" xfId="41100" xr:uid="{0006518A-6320-4313-8023-2B82051AB51D}"/>
    <cellStyle name="Normal 5 2 3 3 2 2 2 2 3" xfId="15797" xr:uid="{00000000-0005-0000-0000-0000BF470000}"/>
    <cellStyle name="Normal 5 2 3 3 2 2 2 2 4" xfId="32666" xr:uid="{0ECC38A7-48E7-4D01-847E-AB9026B73FDA}"/>
    <cellStyle name="Normal 5 2 3 3 2 2 2 3" xfId="20014" xr:uid="{00000000-0005-0000-0000-0000C0470000}"/>
    <cellStyle name="Normal 5 2 3 3 2 2 2 3 2" xfId="36883" xr:uid="{E54CBD74-A4B1-4098-9248-85DDE09C69E6}"/>
    <cellStyle name="Normal 5 2 3 3 2 2 2 4" xfId="11579" xr:uid="{00000000-0005-0000-0000-0000C1470000}"/>
    <cellStyle name="Normal 5 2 3 3 2 2 2 5" xfId="28449" xr:uid="{CEE9D80D-9DBA-4BB1-996A-C499273EE916}"/>
    <cellStyle name="Normal 5 2 3 3 2 2 3" xfId="5217" xr:uid="{00000000-0005-0000-0000-0000C2470000}"/>
    <cellStyle name="Normal 5 2 3 3 2 2 3 2" xfId="22087" xr:uid="{00000000-0005-0000-0000-0000C3470000}"/>
    <cellStyle name="Normal 5 2 3 3 2 2 3 2 2" xfId="38955" xr:uid="{2CE01258-DC7F-4FBC-8A8D-280C6658409D}"/>
    <cellStyle name="Normal 5 2 3 3 2 2 3 3" xfId="13652" xr:uid="{00000000-0005-0000-0000-0000C4470000}"/>
    <cellStyle name="Normal 5 2 3 3 2 2 3 4" xfId="30521" xr:uid="{4BE8C6C8-43F0-467B-9727-ABBB2FE57C9D}"/>
    <cellStyle name="Normal 5 2 3 3 2 2 4" xfId="17869" xr:uid="{00000000-0005-0000-0000-0000C5470000}"/>
    <cellStyle name="Normal 5 2 3 3 2 2 4 2" xfId="34738" xr:uid="{534749EA-1CE1-40D8-A3D3-E9E7FE4D9C50}"/>
    <cellStyle name="Normal 5 2 3 3 2 2 5" xfId="9434" xr:uid="{00000000-0005-0000-0000-0000C6470000}"/>
    <cellStyle name="Normal 5 2 3 3 2 2 6" xfId="26304" xr:uid="{845F4796-701D-4EC6-BB49-C3F28EAD30C2}"/>
    <cellStyle name="Normal 5 2 3 3 2 3" xfId="1322" xr:uid="{00000000-0005-0000-0000-0000C7470000}"/>
    <cellStyle name="Normal 5 2 3 3 2 3 2" xfId="3552" xr:uid="{00000000-0005-0000-0000-0000C8470000}"/>
    <cellStyle name="Normal 5 2 3 3 2 3 2 2" xfId="7775" xr:uid="{00000000-0005-0000-0000-0000C9470000}"/>
    <cellStyle name="Normal 5 2 3 3 2 3 2 2 2" xfId="24645" xr:uid="{00000000-0005-0000-0000-0000CA470000}"/>
    <cellStyle name="Normal 5 2 3 3 2 3 2 2 2 2" xfId="41513" xr:uid="{EDF80219-FAEB-4E13-A131-515FBE751E67}"/>
    <cellStyle name="Normal 5 2 3 3 2 3 2 2 3" xfId="16210" xr:uid="{00000000-0005-0000-0000-0000CB470000}"/>
    <cellStyle name="Normal 5 2 3 3 2 3 2 2 4" xfId="33079" xr:uid="{20172604-2579-4C33-8BF9-29C2D775A283}"/>
    <cellStyle name="Normal 5 2 3 3 2 3 2 3" xfId="20427" xr:uid="{00000000-0005-0000-0000-0000CC470000}"/>
    <cellStyle name="Normal 5 2 3 3 2 3 2 3 2" xfId="37296" xr:uid="{FD067E76-E30D-4930-BFAC-2A64F70C3DAF}"/>
    <cellStyle name="Normal 5 2 3 3 2 3 2 4" xfId="11992" xr:uid="{00000000-0005-0000-0000-0000CD470000}"/>
    <cellStyle name="Normal 5 2 3 3 2 3 2 5" xfId="28862" xr:uid="{361B16FE-76F4-4EC8-B663-CAAB1254527A}"/>
    <cellStyle name="Normal 5 2 3 3 2 3 3" xfId="5630" xr:uid="{00000000-0005-0000-0000-0000CE470000}"/>
    <cellStyle name="Normal 5 2 3 3 2 3 3 2" xfId="22500" xr:uid="{00000000-0005-0000-0000-0000CF470000}"/>
    <cellStyle name="Normal 5 2 3 3 2 3 3 2 2" xfId="39368" xr:uid="{209E7186-97BF-4F7A-9B79-5074A2A81A27}"/>
    <cellStyle name="Normal 5 2 3 3 2 3 3 3" xfId="14065" xr:uid="{00000000-0005-0000-0000-0000D0470000}"/>
    <cellStyle name="Normal 5 2 3 3 2 3 3 4" xfId="30934" xr:uid="{1B017426-01BB-4722-9081-0C24554A6217}"/>
    <cellStyle name="Normal 5 2 3 3 2 3 4" xfId="18282" xr:uid="{00000000-0005-0000-0000-0000D1470000}"/>
    <cellStyle name="Normal 5 2 3 3 2 3 4 2" xfId="35151" xr:uid="{E7958D3B-4C4A-4AE7-BBC2-901D62040CE9}"/>
    <cellStyle name="Normal 5 2 3 3 2 3 5" xfId="9847" xr:uid="{00000000-0005-0000-0000-0000D2470000}"/>
    <cellStyle name="Normal 5 2 3 3 2 3 6" xfId="26717" xr:uid="{E63EE553-BB61-47D0-8475-150E82468CE9}"/>
    <cellStyle name="Normal 5 2 3 3 2 4" xfId="1735" xr:uid="{00000000-0005-0000-0000-0000D3470000}"/>
    <cellStyle name="Normal 5 2 3 3 2 4 2" xfId="3965" xr:uid="{00000000-0005-0000-0000-0000D4470000}"/>
    <cellStyle name="Normal 5 2 3 3 2 4 2 2" xfId="8188" xr:uid="{00000000-0005-0000-0000-0000D5470000}"/>
    <cellStyle name="Normal 5 2 3 3 2 4 2 2 2" xfId="25058" xr:uid="{00000000-0005-0000-0000-0000D6470000}"/>
    <cellStyle name="Normal 5 2 3 3 2 4 2 2 2 2" xfId="41926" xr:uid="{65163017-FA96-48C7-9BA9-FBACC1DF189D}"/>
    <cellStyle name="Normal 5 2 3 3 2 4 2 2 3" xfId="16623" xr:uid="{00000000-0005-0000-0000-0000D7470000}"/>
    <cellStyle name="Normal 5 2 3 3 2 4 2 2 4" xfId="33492" xr:uid="{BE8C0068-B07D-433C-8075-092F83927114}"/>
    <cellStyle name="Normal 5 2 3 3 2 4 2 3" xfId="20840" xr:uid="{00000000-0005-0000-0000-0000D8470000}"/>
    <cellStyle name="Normal 5 2 3 3 2 4 2 3 2" xfId="37709" xr:uid="{493E5C3B-232F-4849-87EE-9D69C22ACCD7}"/>
    <cellStyle name="Normal 5 2 3 3 2 4 2 4" xfId="12405" xr:uid="{00000000-0005-0000-0000-0000D9470000}"/>
    <cellStyle name="Normal 5 2 3 3 2 4 2 5" xfId="29275" xr:uid="{90593DA0-0DFC-4609-991A-69DE60A48A92}"/>
    <cellStyle name="Normal 5 2 3 3 2 4 3" xfId="6043" xr:uid="{00000000-0005-0000-0000-0000DA470000}"/>
    <cellStyle name="Normal 5 2 3 3 2 4 3 2" xfId="22913" xr:uid="{00000000-0005-0000-0000-0000DB470000}"/>
    <cellStyle name="Normal 5 2 3 3 2 4 3 2 2" xfId="39781" xr:uid="{FCCC7543-D49F-4205-8E6C-680EBD625936}"/>
    <cellStyle name="Normal 5 2 3 3 2 4 3 3" xfId="14478" xr:uid="{00000000-0005-0000-0000-0000DC470000}"/>
    <cellStyle name="Normal 5 2 3 3 2 4 3 4" xfId="31347" xr:uid="{D2D599BC-E635-4986-AD87-1991CD495537}"/>
    <cellStyle name="Normal 5 2 3 3 2 4 4" xfId="18695" xr:uid="{00000000-0005-0000-0000-0000DD470000}"/>
    <cellStyle name="Normal 5 2 3 3 2 4 4 2" xfId="35564" xr:uid="{1DB4ADF2-27EA-4A5C-BA82-74EC4FFCF524}"/>
    <cellStyle name="Normal 5 2 3 3 2 4 5" xfId="10260" xr:uid="{00000000-0005-0000-0000-0000DE470000}"/>
    <cellStyle name="Normal 5 2 3 3 2 4 6" xfId="27130" xr:uid="{609AA9AA-270E-4B13-AA4C-FE7F94618F85}"/>
    <cellStyle name="Normal 5 2 3 3 2 5" xfId="2149" xr:uid="{00000000-0005-0000-0000-0000DF470000}"/>
    <cellStyle name="Normal 5 2 3 3 2 5 2" xfId="4378" xr:uid="{00000000-0005-0000-0000-0000E0470000}"/>
    <cellStyle name="Normal 5 2 3 3 2 5 2 2" xfId="8601" xr:uid="{00000000-0005-0000-0000-0000E1470000}"/>
    <cellStyle name="Normal 5 2 3 3 2 5 2 2 2" xfId="25471" xr:uid="{00000000-0005-0000-0000-0000E2470000}"/>
    <cellStyle name="Normal 5 2 3 3 2 5 2 2 2 2" xfId="42339" xr:uid="{648DAC23-0F7D-42BD-A131-86D94A64F3D1}"/>
    <cellStyle name="Normal 5 2 3 3 2 5 2 2 3" xfId="17036" xr:uid="{00000000-0005-0000-0000-0000E3470000}"/>
    <cellStyle name="Normal 5 2 3 3 2 5 2 2 4" xfId="33905" xr:uid="{62AC3F80-85EE-4939-8851-464288257BF4}"/>
    <cellStyle name="Normal 5 2 3 3 2 5 2 3" xfId="21253" xr:uid="{00000000-0005-0000-0000-0000E4470000}"/>
    <cellStyle name="Normal 5 2 3 3 2 5 2 3 2" xfId="38122" xr:uid="{9E9811F7-871F-409E-9DE1-16C25D5E05E6}"/>
    <cellStyle name="Normal 5 2 3 3 2 5 2 4" xfId="12818" xr:uid="{00000000-0005-0000-0000-0000E5470000}"/>
    <cellStyle name="Normal 5 2 3 3 2 5 2 5" xfId="29688" xr:uid="{34CFD7AC-C283-4F6D-9783-8EB006BC8DDD}"/>
    <cellStyle name="Normal 5 2 3 3 2 5 3" xfId="6456" xr:uid="{00000000-0005-0000-0000-0000E6470000}"/>
    <cellStyle name="Normal 5 2 3 3 2 5 3 2" xfId="23326" xr:uid="{00000000-0005-0000-0000-0000E7470000}"/>
    <cellStyle name="Normal 5 2 3 3 2 5 3 2 2" xfId="40194" xr:uid="{AC8D58E4-BD6D-449B-8539-4CCEF72C968D}"/>
    <cellStyle name="Normal 5 2 3 3 2 5 3 3" xfId="14891" xr:uid="{00000000-0005-0000-0000-0000E8470000}"/>
    <cellStyle name="Normal 5 2 3 3 2 5 3 4" xfId="31760" xr:uid="{89B1B878-B5C7-4500-9F2C-75CACF8F6B4D}"/>
    <cellStyle name="Normal 5 2 3 3 2 5 4" xfId="19108" xr:uid="{00000000-0005-0000-0000-0000E9470000}"/>
    <cellStyle name="Normal 5 2 3 3 2 5 4 2" xfId="35977" xr:uid="{0C6CED47-A742-41B0-BDB2-3C095AB834FE}"/>
    <cellStyle name="Normal 5 2 3 3 2 5 5" xfId="10673" xr:uid="{00000000-0005-0000-0000-0000EA470000}"/>
    <cellStyle name="Normal 5 2 3 3 2 5 6" xfId="27543" xr:uid="{8089D4EE-A981-473B-B5C8-BC4BCA07A365}"/>
    <cellStyle name="Normal 5 2 3 3 2 6" xfId="2585" xr:uid="{00000000-0005-0000-0000-0000EB470000}"/>
    <cellStyle name="Normal 5 2 3 3 2 6 2" xfId="6869" xr:uid="{00000000-0005-0000-0000-0000EC470000}"/>
    <cellStyle name="Normal 5 2 3 3 2 6 2 2" xfId="23739" xr:uid="{00000000-0005-0000-0000-0000ED470000}"/>
    <cellStyle name="Normal 5 2 3 3 2 6 2 2 2" xfId="40607" xr:uid="{0EB3B971-4374-4115-B3C4-E64EE7A57985}"/>
    <cellStyle name="Normal 5 2 3 3 2 6 2 3" xfId="15304" xr:uid="{00000000-0005-0000-0000-0000EE470000}"/>
    <cellStyle name="Normal 5 2 3 3 2 6 2 4" xfId="32173" xr:uid="{7BA7E906-E596-4412-B39D-60D9DF099DE7}"/>
    <cellStyle name="Normal 5 2 3 3 2 6 3" xfId="19521" xr:uid="{00000000-0005-0000-0000-0000EF470000}"/>
    <cellStyle name="Normal 5 2 3 3 2 6 3 2" xfId="36390" xr:uid="{D1A983E0-7D59-4372-AD36-3547A480C76B}"/>
    <cellStyle name="Normal 5 2 3 3 2 6 4" xfId="11086" xr:uid="{00000000-0005-0000-0000-0000F0470000}"/>
    <cellStyle name="Normal 5 2 3 3 2 6 5" xfId="27956" xr:uid="{DA4BCF91-C28B-4A96-882E-A88E3623F9A6}"/>
    <cellStyle name="Normal 5 2 3 3 2 7" xfId="4804" xr:uid="{00000000-0005-0000-0000-0000F1470000}"/>
    <cellStyle name="Normal 5 2 3 3 2 7 2" xfId="21674" xr:uid="{00000000-0005-0000-0000-0000F2470000}"/>
    <cellStyle name="Normal 5 2 3 3 2 7 2 2" xfId="38542" xr:uid="{7AA888CF-0D6C-405F-943C-B4E06AAAB704}"/>
    <cellStyle name="Normal 5 2 3 3 2 7 3" xfId="13239" xr:uid="{00000000-0005-0000-0000-0000F3470000}"/>
    <cellStyle name="Normal 5 2 3 3 2 7 4" xfId="30108" xr:uid="{49C920BA-E6A9-4808-8288-97BE0F0B7976}"/>
    <cellStyle name="Normal 5 2 3 3 2 8" xfId="17456" xr:uid="{00000000-0005-0000-0000-0000F4470000}"/>
    <cellStyle name="Normal 5 2 3 3 2 8 2" xfId="34325" xr:uid="{8DEA3790-55C8-4404-982A-05EF4FFB43B6}"/>
    <cellStyle name="Normal 5 2 3 3 2 9" xfId="9021" xr:uid="{00000000-0005-0000-0000-0000F5470000}"/>
    <cellStyle name="Normal 5 2 3 3 3" xfId="903" xr:uid="{00000000-0005-0000-0000-0000F6470000}"/>
    <cellStyle name="Normal 5 2 3 3 3 2" xfId="3138" xr:uid="{00000000-0005-0000-0000-0000F7470000}"/>
    <cellStyle name="Normal 5 2 3 3 3 2 2" xfId="7361" xr:uid="{00000000-0005-0000-0000-0000F8470000}"/>
    <cellStyle name="Normal 5 2 3 3 3 2 2 2" xfId="24231" xr:uid="{00000000-0005-0000-0000-0000F9470000}"/>
    <cellStyle name="Normal 5 2 3 3 3 2 2 2 2" xfId="41099" xr:uid="{713AA8D4-4326-4307-97BE-DA4E544C6E38}"/>
    <cellStyle name="Normal 5 2 3 3 3 2 2 3" xfId="15796" xr:uid="{00000000-0005-0000-0000-0000FA470000}"/>
    <cellStyle name="Normal 5 2 3 3 3 2 2 4" xfId="32665" xr:uid="{EA7F7B7C-A41D-4C65-AA3A-E5365E421629}"/>
    <cellStyle name="Normal 5 2 3 3 3 2 3" xfId="20013" xr:uid="{00000000-0005-0000-0000-0000FB470000}"/>
    <cellStyle name="Normal 5 2 3 3 3 2 3 2" xfId="36882" xr:uid="{86203ABF-FB53-4BDD-8F9E-32BBF3A168CA}"/>
    <cellStyle name="Normal 5 2 3 3 3 2 4" xfId="11578" xr:uid="{00000000-0005-0000-0000-0000FC470000}"/>
    <cellStyle name="Normal 5 2 3 3 3 2 5" xfId="28448" xr:uid="{F6BE352F-AC4C-4FC2-A927-C067DFECE6B4}"/>
    <cellStyle name="Normal 5 2 3 3 3 3" xfId="5216" xr:uid="{00000000-0005-0000-0000-0000FD470000}"/>
    <cellStyle name="Normal 5 2 3 3 3 3 2" xfId="22086" xr:uid="{00000000-0005-0000-0000-0000FE470000}"/>
    <cellStyle name="Normal 5 2 3 3 3 3 2 2" xfId="38954" xr:uid="{659B9456-D705-41DA-A357-8712FB213457}"/>
    <cellStyle name="Normal 5 2 3 3 3 3 3" xfId="13651" xr:uid="{00000000-0005-0000-0000-0000FF470000}"/>
    <cellStyle name="Normal 5 2 3 3 3 3 4" xfId="30520" xr:uid="{0514B4CF-7805-4002-9181-4BCFF706A6A8}"/>
    <cellStyle name="Normal 5 2 3 3 3 4" xfId="17868" xr:uid="{00000000-0005-0000-0000-000000480000}"/>
    <cellStyle name="Normal 5 2 3 3 3 4 2" xfId="34737" xr:uid="{F19120A0-0A77-44EE-A8FF-6BCA8D28FAC5}"/>
    <cellStyle name="Normal 5 2 3 3 3 5" xfId="9433" xr:uid="{00000000-0005-0000-0000-000001480000}"/>
    <cellStyle name="Normal 5 2 3 3 3 6" xfId="26303" xr:uid="{AA8D3B6A-8211-4703-8375-370E9E23D886}"/>
    <cellStyle name="Normal 5 2 3 3 4" xfId="1321" xr:uid="{00000000-0005-0000-0000-000002480000}"/>
    <cellStyle name="Normal 5 2 3 3 4 2" xfId="3551" xr:uid="{00000000-0005-0000-0000-000003480000}"/>
    <cellStyle name="Normal 5 2 3 3 4 2 2" xfId="7774" xr:uid="{00000000-0005-0000-0000-000004480000}"/>
    <cellStyle name="Normal 5 2 3 3 4 2 2 2" xfId="24644" xr:uid="{00000000-0005-0000-0000-000005480000}"/>
    <cellStyle name="Normal 5 2 3 3 4 2 2 2 2" xfId="41512" xr:uid="{92B68C15-33EA-4ABD-ADC9-3CFDC9818F83}"/>
    <cellStyle name="Normal 5 2 3 3 4 2 2 3" xfId="16209" xr:uid="{00000000-0005-0000-0000-000006480000}"/>
    <cellStyle name="Normal 5 2 3 3 4 2 2 4" xfId="33078" xr:uid="{93D23715-2D4C-4D77-B430-5B776784C0F0}"/>
    <cellStyle name="Normal 5 2 3 3 4 2 3" xfId="20426" xr:uid="{00000000-0005-0000-0000-000007480000}"/>
    <cellStyle name="Normal 5 2 3 3 4 2 3 2" xfId="37295" xr:uid="{FDE8F6A7-D998-42D2-A0A7-640CDF50C8F5}"/>
    <cellStyle name="Normal 5 2 3 3 4 2 4" xfId="11991" xr:uid="{00000000-0005-0000-0000-000008480000}"/>
    <cellStyle name="Normal 5 2 3 3 4 2 5" xfId="28861" xr:uid="{58812B7B-F252-4248-A01B-B5DAE5AC8EFD}"/>
    <cellStyle name="Normal 5 2 3 3 4 3" xfId="5629" xr:uid="{00000000-0005-0000-0000-000009480000}"/>
    <cellStyle name="Normal 5 2 3 3 4 3 2" xfId="22499" xr:uid="{00000000-0005-0000-0000-00000A480000}"/>
    <cellStyle name="Normal 5 2 3 3 4 3 2 2" xfId="39367" xr:uid="{A3E0D489-0584-43A3-A0BC-393E06C538B0}"/>
    <cellStyle name="Normal 5 2 3 3 4 3 3" xfId="14064" xr:uid="{00000000-0005-0000-0000-00000B480000}"/>
    <cellStyle name="Normal 5 2 3 3 4 3 4" xfId="30933" xr:uid="{070115FB-32C9-4EDF-8744-89EDD9CC1777}"/>
    <cellStyle name="Normal 5 2 3 3 4 4" xfId="18281" xr:uid="{00000000-0005-0000-0000-00000C480000}"/>
    <cellStyle name="Normal 5 2 3 3 4 4 2" xfId="35150" xr:uid="{8078FA72-B78D-4B11-B27A-EE5F0C23132A}"/>
    <cellStyle name="Normal 5 2 3 3 4 5" xfId="9846" xr:uid="{00000000-0005-0000-0000-00000D480000}"/>
    <cellStyle name="Normal 5 2 3 3 4 6" xfId="26716" xr:uid="{AE87DCFB-FA75-4C26-8DF3-B62BA0912749}"/>
    <cellStyle name="Normal 5 2 3 3 5" xfId="1734" xr:uid="{00000000-0005-0000-0000-00000E480000}"/>
    <cellStyle name="Normal 5 2 3 3 5 2" xfId="3964" xr:uid="{00000000-0005-0000-0000-00000F480000}"/>
    <cellStyle name="Normal 5 2 3 3 5 2 2" xfId="8187" xr:uid="{00000000-0005-0000-0000-000010480000}"/>
    <cellStyle name="Normal 5 2 3 3 5 2 2 2" xfId="25057" xr:uid="{00000000-0005-0000-0000-000011480000}"/>
    <cellStyle name="Normal 5 2 3 3 5 2 2 2 2" xfId="41925" xr:uid="{EB28924F-F1D0-4247-AD05-2BE8E57D2363}"/>
    <cellStyle name="Normal 5 2 3 3 5 2 2 3" xfId="16622" xr:uid="{00000000-0005-0000-0000-000012480000}"/>
    <cellStyle name="Normal 5 2 3 3 5 2 2 4" xfId="33491" xr:uid="{34B25BC0-C738-4E06-8ADD-586978B085D9}"/>
    <cellStyle name="Normal 5 2 3 3 5 2 3" xfId="20839" xr:uid="{00000000-0005-0000-0000-000013480000}"/>
    <cellStyle name="Normal 5 2 3 3 5 2 3 2" xfId="37708" xr:uid="{C3694961-BDC1-4A57-805E-6D9FF23212EE}"/>
    <cellStyle name="Normal 5 2 3 3 5 2 4" xfId="12404" xr:uid="{00000000-0005-0000-0000-000014480000}"/>
    <cellStyle name="Normal 5 2 3 3 5 2 5" xfId="29274" xr:uid="{5D4C7841-EA79-4D06-BF13-0BA3E598C4DD}"/>
    <cellStyle name="Normal 5 2 3 3 5 3" xfId="6042" xr:uid="{00000000-0005-0000-0000-000015480000}"/>
    <cellStyle name="Normal 5 2 3 3 5 3 2" xfId="22912" xr:uid="{00000000-0005-0000-0000-000016480000}"/>
    <cellStyle name="Normal 5 2 3 3 5 3 2 2" xfId="39780" xr:uid="{E59832E9-5719-4AD0-B350-643B2D0B684E}"/>
    <cellStyle name="Normal 5 2 3 3 5 3 3" xfId="14477" xr:uid="{00000000-0005-0000-0000-000017480000}"/>
    <cellStyle name="Normal 5 2 3 3 5 3 4" xfId="31346" xr:uid="{73926BE1-C41A-4944-A4E5-274E8012A3C4}"/>
    <cellStyle name="Normal 5 2 3 3 5 4" xfId="18694" xr:uid="{00000000-0005-0000-0000-000018480000}"/>
    <cellStyle name="Normal 5 2 3 3 5 4 2" xfId="35563" xr:uid="{392C4E87-00A3-4BF8-A9AB-C7CF3E366D9D}"/>
    <cellStyle name="Normal 5 2 3 3 5 5" xfId="10259" xr:uid="{00000000-0005-0000-0000-000019480000}"/>
    <cellStyle name="Normal 5 2 3 3 5 6" xfId="27129" xr:uid="{E0B79DE9-DCF5-4F9D-BB93-1713F151EF87}"/>
    <cellStyle name="Normal 5 2 3 3 6" xfId="2148" xr:uid="{00000000-0005-0000-0000-00001A480000}"/>
    <cellStyle name="Normal 5 2 3 3 6 2" xfId="4377" xr:uid="{00000000-0005-0000-0000-00001B480000}"/>
    <cellStyle name="Normal 5 2 3 3 6 2 2" xfId="8600" xr:uid="{00000000-0005-0000-0000-00001C480000}"/>
    <cellStyle name="Normal 5 2 3 3 6 2 2 2" xfId="25470" xr:uid="{00000000-0005-0000-0000-00001D480000}"/>
    <cellStyle name="Normal 5 2 3 3 6 2 2 2 2" xfId="42338" xr:uid="{060BEB88-87D8-43C8-9B9F-C42050CA89B4}"/>
    <cellStyle name="Normal 5 2 3 3 6 2 2 3" xfId="17035" xr:uid="{00000000-0005-0000-0000-00001E480000}"/>
    <cellStyle name="Normal 5 2 3 3 6 2 2 4" xfId="33904" xr:uid="{A134195C-5713-430D-B0D2-1117B30D710D}"/>
    <cellStyle name="Normal 5 2 3 3 6 2 3" xfId="21252" xr:uid="{00000000-0005-0000-0000-00001F480000}"/>
    <cellStyle name="Normal 5 2 3 3 6 2 3 2" xfId="38121" xr:uid="{3A749781-90FD-48FF-9E75-A54BAD0C245E}"/>
    <cellStyle name="Normal 5 2 3 3 6 2 4" xfId="12817" xr:uid="{00000000-0005-0000-0000-000020480000}"/>
    <cellStyle name="Normal 5 2 3 3 6 2 5" xfId="29687" xr:uid="{AFFCE897-BEF4-412D-865E-0A8D2CCF4F66}"/>
    <cellStyle name="Normal 5 2 3 3 6 3" xfId="6455" xr:uid="{00000000-0005-0000-0000-000021480000}"/>
    <cellStyle name="Normal 5 2 3 3 6 3 2" xfId="23325" xr:uid="{00000000-0005-0000-0000-000022480000}"/>
    <cellStyle name="Normal 5 2 3 3 6 3 2 2" xfId="40193" xr:uid="{3AD1FD2E-3EF5-4F3C-8429-89BA69F5503A}"/>
    <cellStyle name="Normal 5 2 3 3 6 3 3" xfId="14890" xr:uid="{00000000-0005-0000-0000-000023480000}"/>
    <cellStyle name="Normal 5 2 3 3 6 3 4" xfId="31759" xr:uid="{0FA276F0-C03E-4CAC-BA34-8D16B62AC890}"/>
    <cellStyle name="Normal 5 2 3 3 6 4" xfId="19107" xr:uid="{00000000-0005-0000-0000-000024480000}"/>
    <cellStyle name="Normal 5 2 3 3 6 4 2" xfId="35976" xr:uid="{AB514A63-652B-4ECA-BC29-618C40F8A3C6}"/>
    <cellStyle name="Normal 5 2 3 3 6 5" xfId="10672" xr:uid="{00000000-0005-0000-0000-000025480000}"/>
    <cellStyle name="Normal 5 2 3 3 6 6" xfId="27542" xr:uid="{F288A73E-38C6-4377-A62B-0B726A3BD424}"/>
    <cellStyle name="Normal 5 2 3 3 7" xfId="2584" xr:uid="{00000000-0005-0000-0000-000026480000}"/>
    <cellStyle name="Normal 5 2 3 3 7 2" xfId="6868" xr:uid="{00000000-0005-0000-0000-000027480000}"/>
    <cellStyle name="Normal 5 2 3 3 7 2 2" xfId="23738" xr:uid="{00000000-0005-0000-0000-000028480000}"/>
    <cellStyle name="Normal 5 2 3 3 7 2 2 2" xfId="40606" xr:uid="{CBA39E72-B664-4952-9B46-830C82E0CCF7}"/>
    <cellStyle name="Normal 5 2 3 3 7 2 3" xfId="15303" xr:uid="{00000000-0005-0000-0000-000029480000}"/>
    <cellStyle name="Normal 5 2 3 3 7 2 4" xfId="32172" xr:uid="{D21C0307-5C17-495E-AEA4-A3DFDE26EA64}"/>
    <cellStyle name="Normal 5 2 3 3 7 3" xfId="19520" xr:uid="{00000000-0005-0000-0000-00002A480000}"/>
    <cellStyle name="Normal 5 2 3 3 7 3 2" xfId="36389" xr:uid="{8808CFC8-6FC2-4B5D-BD82-5F2E1537B5B1}"/>
    <cellStyle name="Normal 5 2 3 3 7 4" xfId="11085" xr:uid="{00000000-0005-0000-0000-00002B480000}"/>
    <cellStyle name="Normal 5 2 3 3 7 5" xfId="27955" xr:uid="{30C5F89A-BB50-454B-A8B9-91723908B4BB}"/>
    <cellStyle name="Normal 5 2 3 3 8" xfId="4803" xr:uid="{00000000-0005-0000-0000-00002C480000}"/>
    <cellStyle name="Normal 5 2 3 3 8 2" xfId="21673" xr:uid="{00000000-0005-0000-0000-00002D480000}"/>
    <cellStyle name="Normal 5 2 3 3 8 2 2" xfId="38541" xr:uid="{0EE3C934-4EE6-42EE-B63D-546C91743034}"/>
    <cellStyle name="Normal 5 2 3 3 8 3" xfId="13238" xr:uid="{00000000-0005-0000-0000-00002E480000}"/>
    <cellStyle name="Normal 5 2 3 3 8 4" xfId="30107" xr:uid="{220DFD7F-F868-4894-801C-DC2D3F4ECA60}"/>
    <cellStyle name="Normal 5 2 3 3 9" xfId="17455" xr:uid="{00000000-0005-0000-0000-00002F480000}"/>
    <cellStyle name="Normal 5 2 3 3 9 2" xfId="34324" xr:uid="{D8D03C98-13FE-4E42-A575-CA91FC229E02}"/>
    <cellStyle name="Normal 5 2 3 4" xfId="431" xr:uid="{00000000-0005-0000-0000-000030480000}"/>
    <cellStyle name="Normal 5 2 3 4 10" xfId="25892" xr:uid="{D33E9861-2D4A-44B3-A34E-E632F8FABBD4}"/>
    <cellStyle name="Normal 5 2 3 4 2" xfId="905" xr:uid="{00000000-0005-0000-0000-000031480000}"/>
    <cellStyle name="Normal 5 2 3 4 2 2" xfId="3140" xr:uid="{00000000-0005-0000-0000-000032480000}"/>
    <cellStyle name="Normal 5 2 3 4 2 2 2" xfId="7363" xr:uid="{00000000-0005-0000-0000-000033480000}"/>
    <cellStyle name="Normal 5 2 3 4 2 2 2 2" xfId="24233" xr:uid="{00000000-0005-0000-0000-000034480000}"/>
    <cellStyle name="Normal 5 2 3 4 2 2 2 2 2" xfId="41101" xr:uid="{CEC9B099-8769-4668-8AC2-325BF3849C4A}"/>
    <cellStyle name="Normal 5 2 3 4 2 2 2 3" xfId="15798" xr:uid="{00000000-0005-0000-0000-000035480000}"/>
    <cellStyle name="Normal 5 2 3 4 2 2 2 4" xfId="32667" xr:uid="{245925CE-76C0-45A9-AB4B-65F916F7301B}"/>
    <cellStyle name="Normal 5 2 3 4 2 2 3" xfId="20015" xr:uid="{00000000-0005-0000-0000-000036480000}"/>
    <cellStyle name="Normal 5 2 3 4 2 2 3 2" xfId="36884" xr:uid="{E6D8D8B5-C597-4670-88C9-B7C0F300E96F}"/>
    <cellStyle name="Normal 5 2 3 4 2 2 4" xfId="11580" xr:uid="{00000000-0005-0000-0000-000037480000}"/>
    <cellStyle name="Normal 5 2 3 4 2 2 5" xfId="28450" xr:uid="{B4D96089-221A-4108-B240-8653525FE2D5}"/>
    <cellStyle name="Normal 5 2 3 4 2 3" xfId="5218" xr:uid="{00000000-0005-0000-0000-000038480000}"/>
    <cellStyle name="Normal 5 2 3 4 2 3 2" xfId="22088" xr:uid="{00000000-0005-0000-0000-000039480000}"/>
    <cellStyle name="Normal 5 2 3 4 2 3 2 2" xfId="38956" xr:uid="{A963D714-16A2-4D3E-9EC8-54F53E2FA594}"/>
    <cellStyle name="Normal 5 2 3 4 2 3 3" xfId="13653" xr:uid="{00000000-0005-0000-0000-00003A480000}"/>
    <cellStyle name="Normal 5 2 3 4 2 3 4" xfId="30522" xr:uid="{2AD8A6BF-8DC3-4850-8B11-D2C52EF27FF3}"/>
    <cellStyle name="Normal 5 2 3 4 2 4" xfId="17870" xr:uid="{00000000-0005-0000-0000-00003B480000}"/>
    <cellStyle name="Normal 5 2 3 4 2 4 2" xfId="34739" xr:uid="{1B848E8C-9905-48DF-8166-C25B89440DFA}"/>
    <cellStyle name="Normal 5 2 3 4 2 5" xfId="9435" xr:uid="{00000000-0005-0000-0000-00003C480000}"/>
    <cellStyle name="Normal 5 2 3 4 2 6" xfId="26305" xr:uid="{4B900805-A7B6-4A7E-A58D-81AE7C0F2150}"/>
    <cellStyle name="Normal 5 2 3 4 3" xfId="1323" xr:uid="{00000000-0005-0000-0000-00003D480000}"/>
    <cellStyle name="Normal 5 2 3 4 3 2" xfId="3553" xr:uid="{00000000-0005-0000-0000-00003E480000}"/>
    <cellStyle name="Normal 5 2 3 4 3 2 2" xfId="7776" xr:uid="{00000000-0005-0000-0000-00003F480000}"/>
    <cellStyle name="Normal 5 2 3 4 3 2 2 2" xfId="24646" xr:uid="{00000000-0005-0000-0000-000040480000}"/>
    <cellStyle name="Normal 5 2 3 4 3 2 2 2 2" xfId="41514" xr:uid="{A59ACBB5-B6D3-40AF-80C5-B8140D34C56B}"/>
    <cellStyle name="Normal 5 2 3 4 3 2 2 3" xfId="16211" xr:uid="{00000000-0005-0000-0000-000041480000}"/>
    <cellStyle name="Normal 5 2 3 4 3 2 2 4" xfId="33080" xr:uid="{AB09FD24-1CC0-4E3C-82E8-AB0304B44853}"/>
    <cellStyle name="Normal 5 2 3 4 3 2 3" xfId="20428" xr:uid="{00000000-0005-0000-0000-000042480000}"/>
    <cellStyle name="Normal 5 2 3 4 3 2 3 2" xfId="37297" xr:uid="{86D81E8A-ABB6-412F-956E-C30BB6C06A3C}"/>
    <cellStyle name="Normal 5 2 3 4 3 2 4" xfId="11993" xr:uid="{00000000-0005-0000-0000-000043480000}"/>
    <cellStyle name="Normal 5 2 3 4 3 2 5" xfId="28863" xr:uid="{12D8F313-DADC-4AFC-8039-DFAF9E3AEFCF}"/>
    <cellStyle name="Normal 5 2 3 4 3 3" xfId="5631" xr:uid="{00000000-0005-0000-0000-000044480000}"/>
    <cellStyle name="Normal 5 2 3 4 3 3 2" xfId="22501" xr:uid="{00000000-0005-0000-0000-000045480000}"/>
    <cellStyle name="Normal 5 2 3 4 3 3 2 2" xfId="39369" xr:uid="{C65AAEF3-5DB1-4517-8B3D-F7E204053CDC}"/>
    <cellStyle name="Normal 5 2 3 4 3 3 3" xfId="14066" xr:uid="{00000000-0005-0000-0000-000046480000}"/>
    <cellStyle name="Normal 5 2 3 4 3 3 4" xfId="30935" xr:uid="{D2B0253F-3AAB-4178-BE76-B97B8425CA81}"/>
    <cellStyle name="Normal 5 2 3 4 3 4" xfId="18283" xr:uid="{00000000-0005-0000-0000-000047480000}"/>
    <cellStyle name="Normal 5 2 3 4 3 4 2" xfId="35152" xr:uid="{3ADD6429-FD9A-4405-BBF2-A9041F0D77B0}"/>
    <cellStyle name="Normal 5 2 3 4 3 5" xfId="9848" xr:uid="{00000000-0005-0000-0000-000048480000}"/>
    <cellStyle name="Normal 5 2 3 4 3 6" xfId="26718" xr:uid="{9C260799-6D10-4568-93AB-619C521C3F50}"/>
    <cellStyle name="Normal 5 2 3 4 4" xfId="1736" xr:uid="{00000000-0005-0000-0000-000049480000}"/>
    <cellStyle name="Normal 5 2 3 4 4 2" xfId="3966" xr:uid="{00000000-0005-0000-0000-00004A480000}"/>
    <cellStyle name="Normal 5 2 3 4 4 2 2" xfId="8189" xr:uid="{00000000-0005-0000-0000-00004B480000}"/>
    <cellStyle name="Normal 5 2 3 4 4 2 2 2" xfId="25059" xr:uid="{00000000-0005-0000-0000-00004C480000}"/>
    <cellStyle name="Normal 5 2 3 4 4 2 2 2 2" xfId="41927" xr:uid="{DB9C9A6E-E752-4402-BEC5-0C369AF4B494}"/>
    <cellStyle name="Normal 5 2 3 4 4 2 2 3" xfId="16624" xr:uid="{00000000-0005-0000-0000-00004D480000}"/>
    <cellStyle name="Normal 5 2 3 4 4 2 2 4" xfId="33493" xr:uid="{DEB4C97C-8024-4983-86D4-32771BAAB7B2}"/>
    <cellStyle name="Normal 5 2 3 4 4 2 3" xfId="20841" xr:uid="{00000000-0005-0000-0000-00004E480000}"/>
    <cellStyle name="Normal 5 2 3 4 4 2 3 2" xfId="37710" xr:uid="{E57943F9-5E2B-4D93-BFFA-3E4EB421EA9B}"/>
    <cellStyle name="Normal 5 2 3 4 4 2 4" xfId="12406" xr:uid="{00000000-0005-0000-0000-00004F480000}"/>
    <cellStyle name="Normal 5 2 3 4 4 2 5" xfId="29276" xr:uid="{7498EBD5-5880-4AAB-854E-41F8B5E67386}"/>
    <cellStyle name="Normal 5 2 3 4 4 3" xfId="6044" xr:uid="{00000000-0005-0000-0000-000050480000}"/>
    <cellStyle name="Normal 5 2 3 4 4 3 2" xfId="22914" xr:uid="{00000000-0005-0000-0000-000051480000}"/>
    <cellStyle name="Normal 5 2 3 4 4 3 2 2" xfId="39782" xr:uid="{2CA7A011-E0FF-4E3D-BD2B-E87DD2F83709}"/>
    <cellStyle name="Normal 5 2 3 4 4 3 3" xfId="14479" xr:uid="{00000000-0005-0000-0000-000052480000}"/>
    <cellStyle name="Normal 5 2 3 4 4 3 4" xfId="31348" xr:uid="{BE7BF0D1-EC04-41B1-B9EB-57C19853C3C6}"/>
    <cellStyle name="Normal 5 2 3 4 4 4" xfId="18696" xr:uid="{00000000-0005-0000-0000-000053480000}"/>
    <cellStyle name="Normal 5 2 3 4 4 4 2" xfId="35565" xr:uid="{EE45E936-34FB-449E-A4EB-22A00621F332}"/>
    <cellStyle name="Normal 5 2 3 4 4 5" xfId="10261" xr:uid="{00000000-0005-0000-0000-000054480000}"/>
    <cellStyle name="Normal 5 2 3 4 4 6" xfId="27131" xr:uid="{81BC9408-E5F8-459A-BA06-589EBA70ADE5}"/>
    <cellStyle name="Normal 5 2 3 4 5" xfId="2150" xr:uid="{00000000-0005-0000-0000-000055480000}"/>
    <cellStyle name="Normal 5 2 3 4 5 2" xfId="4379" xr:uid="{00000000-0005-0000-0000-000056480000}"/>
    <cellStyle name="Normal 5 2 3 4 5 2 2" xfId="8602" xr:uid="{00000000-0005-0000-0000-000057480000}"/>
    <cellStyle name="Normal 5 2 3 4 5 2 2 2" xfId="25472" xr:uid="{00000000-0005-0000-0000-000058480000}"/>
    <cellStyle name="Normal 5 2 3 4 5 2 2 2 2" xfId="42340" xr:uid="{70433139-8CA5-42ED-BB4E-47E6DB537212}"/>
    <cellStyle name="Normal 5 2 3 4 5 2 2 3" xfId="17037" xr:uid="{00000000-0005-0000-0000-000059480000}"/>
    <cellStyle name="Normal 5 2 3 4 5 2 2 4" xfId="33906" xr:uid="{1B78F589-A44E-414F-8C2B-782B146CF839}"/>
    <cellStyle name="Normal 5 2 3 4 5 2 3" xfId="21254" xr:uid="{00000000-0005-0000-0000-00005A480000}"/>
    <cellStyle name="Normal 5 2 3 4 5 2 3 2" xfId="38123" xr:uid="{A8ADC66F-F3EB-4162-8DCC-DE7E93522E00}"/>
    <cellStyle name="Normal 5 2 3 4 5 2 4" xfId="12819" xr:uid="{00000000-0005-0000-0000-00005B480000}"/>
    <cellStyle name="Normal 5 2 3 4 5 2 5" xfId="29689" xr:uid="{B76F5D11-BB5B-4C8A-9307-DC4008E5BA58}"/>
    <cellStyle name="Normal 5 2 3 4 5 3" xfId="6457" xr:uid="{00000000-0005-0000-0000-00005C480000}"/>
    <cellStyle name="Normal 5 2 3 4 5 3 2" xfId="23327" xr:uid="{00000000-0005-0000-0000-00005D480000}"/>
    <cellStyle name="Normal 5 2 3 4 5 3 2 2" xfId="40195" xr:uid="{065C81CC-E5DA-466D-BE85-02E1C6D958BE}"/>
    <cellStyle name="Normal 5 2 3 4 5 3 3" xfId="14892" xr:uid="{00000000-0005-0000-0000-00005E480000}"/>
    <cellStyle name="Normal 5 2 3 4 5 3 4" xfId="31761" xr:uid="{36F36090-215A-49D7-AFC7-EADA9CEC4A94}"/>
    <cellStyle name="Normal 5 2 3 4 5 4" xfId="19109" xr:uid="{00000000-0005-0000-0000-00005F480000}"/>
    <cellStyle name="Normal 5 2 3 4 5 4 2" xfId="35978" xr:uid="{C7C6AB81-E83D-46C8-8E39-77E6071C8B7C}"/>
    <cellStyle name="Normal 5 2 3 4 5 5" xfId="10674" xr:uid="{00000000-0005-0000-0000-000060480000}"/>
    <cellStyle name="Normal 5 2 3 4 5 6" xfId="27544" xr:uid="{FF417431-226D-48B7-BF5F-1B6498E81E92}"/>
    <cellStyle name="Normal 5 2 3 4 6" xfId="2586" xr:uid="{00000000-0005-0000-0000-000061480000}"/>
    <cellStyle name="Normal 5 2 3 4 6 2" xfId="6870" xr:uid="{00000000-0005-0000-0000-000062480000}"/>
    <cellStyle name="Normal 5 2 3 4 6 2 2" xfId="23740" xr:uid="{00000000-0005-0000-0000-000063480000}"/>
    <cellStyle name="Normal 5 2 3 4 6 2 2 2" xfId="40608" xr:uid="{726CD63C-4034-402A-B097-52B50F2BD47C}"/>
    <cellStyle name="Normal 5 2 3 4 6 2 3" xfId="15305" xr:uid="{00000000-0005-0000-0000-000064480000}"/>
    <cellStyle name="Normal 5 2 3 4 6 2 4" xfId="32174" xr:uid="{C301A3EC-AB04-4DB3-9F29-A4B1B42266A2}"/>
    <cellStyle name="Normal 5 2 3 4 6 3" xfId="19522" xr:uid="{00000000-0005-0000-0000-000065480000}"/>
    <cellStyle name="Normal 5 2 3 4 6 3 2" xfId="36391" xr:uid="{3D567A51-4A10-400F-9127-3F227011D4FA}"/>
    <cellStyle name="Normal 5 2 3 4 6 4" xfId="11087" xr:uid="{00000000-0005-0000-0000-000066480000}"/>
    <cellStyle name="Normal 5 2 3 4 6 5" xfId="27957" xr:uid="{ECD22A70-401C-4712-9B19-10DB2C1A0867}"/>
    <cellStyle name="Normal 5 2 3 4 7" xfId="4805" xr:uid="{00000000-0005-0000-0000-000067480000}"/>
    <cellStyle name="Normal 5 2 3 4 7 2" xfId="21675" xr:uid="{00000000-0005-0000-0000-000068480000}"/>
    <cellStyle name="Normal 5 2 3 4 7 2 2" xfId="38543" xr:uid="{A0B2C519-6711-48D2-A274-628DEE7CCC54}"/>
    <cellStyle name="Normal 5 2 3 4 7 3" xfId="13240" xr:uid="{00000000-0005-0000-0000-000069480000}"/>
    <cellStyle name="Normal 5 2 3 4 7 4" xfId="30109" xr:uid="{59E77514-F34F-4E9F-BC72-9ED78478E60E}"/>
    <cellStyle name="Normal 5 2 3 4 8" xfId="17457" xr:uid="{00000000-0005-0000-0000-00006A480000}"/>
    <cellStyle name="Normal 5 2 3 4 8 2" xfId="34326" xr:uid="{F3EE1835-E33A-443D-8A11-7073BFD9285C}"/>
    <cellStyle name="Normal 5 2 3 4 9" xfId="9022" xr:uid="{00000000-0005-0000-0000-00006B480000}"/>
    <cellStyle name="Normal 5 2 3 5" xfId="898" xr:uid="{00000000-0005-0000-0000-00006C480000}"/>
    <cellStyle name="Normal 5 2 3 5 2" xfId="3133" xr:uid="{00000000-0005-0000-0000-00006D480000}"/>
    <cellStyle name="Normal 5 2 3 5 2 2" xfId="7356" xr:uid="{00000000-0005-0000-0000-00006E480000}"/>
    <cellStyle name="Normal 5 2 3 5 2 2 2" xfId="24226" xr:uid="{00000000-0005-0000-0000-00006F480000}"/>
    <cellStyle name="Normal 5 2 3 5 2 2 2 2" xfId="41094" xr:uid="{6AAB3D68-0751-41F8-9DAC-C13FA1C38D38}"/>
    <cellStyle name="Normal 5 2 3 5 2 2 3" xfId="15791" xr:uid="{00000000-0005-0000-0000-000070480000}"/>
    <cellStyle name="Normal 5 2 3 5 2 2 4" xfId="32660" xr:uid="{4BDE8BB0-CC89-43DD-AAEC-624B02B8B457}"/>
    <cellStyle name="Normal 5 2 3 5 2 3" xfId="20008" xr:uid="{00000000-0005-0000-0000-000071480000}"/>
    <cellStyle name="Normal 5 2 3 5 2 3 2" xfId="36877" xr:uid="{502561B2-C471-4092-83F6-248BEA60163C}"/>
    <cellStyle name="Normal 5 2 3 5 2 4" xfId="11573" xr:uid="{00000000-0005-0000-0000-000072480000}"/>
    <cellStyle name="Normal 5 2 3 5 2 5" xfId="28443" xr:uid="{A514EC2B-93D2-4B6F-A5C4-F1192930DE39}"/>
    <cellStyle name="Normal 5 2 3 5 3" xfId="5211" xr:uid="{00000000-0005-0000-0000-000073480000}"/>
    <cellStyle name="Normal 5 2 3 5 3 2" xfId="22081" xr:uid="{00000000-0005-0000-0000-000074480000}"/>
    <cellStyle name="Normal 5 2 3 5 3 2 2" xfId="38949" xr:uid="{88BE7F6B-8412-4F4C-B97C-F549AED28AC2}"/>
    <cellStyle name="Normal 5 2 3 5 3 3" xfId="13646" xr:uid="{00000000-0005-0000-0000-000075480000}"/>
    <cellStyle name="Normal 5 2 3 5 3 4" xfId="30515" xr:uid="{CF9AE4F9-080F-4A00-9B87-717784CBD90C}"/>
    <cellStyle name="Normal 5 2 3 5 4" xfId="17863" xr:uid="{00000000-0005-0000-0000-000076480000}"/>
    <cellStyle name="Normal 5 2 3 5 4 2" xfId="34732" xr:uid="{D6C674E2-09C3-4053-B455-A9FA39ED4528}"/>
    <cellStyle name="Normal 5 2 3 5 5" xfId="9428" xr:uid="{00000000-0005-0000-0000-000077480000}"/>
    <cellStyle name="Normal 5 2 3 5 6" xfId="26298" xr:uid="{1FF30C92-3631-4C4E-A06F-83BA9EDCF009}"/>
    <cellStyle name="Normal 5 2 3 6" xfId="1316" xr:uid="{00000000-0005-0000-0000-000078480000}"/>
    <cellStyle name="Normal 5 2 3 6 2" xfId="3546" xr:uid="{00000000-0005-0000-0000-000079480000}"/>
    <cellStyle name="Normal 5 2 3 6 2 2" xfId="7769" xr:uid="{00000000-0005-0000-0000-00007A480000}"/>
    <cellStyle name="Normal 5 2 3 6 2 2 2" xfId="24639" xr:uid="{00000000-0005-0000-0000-00007B480000}"/>
    <cellStyle name="Normal 5 2 3 6 2 2 2 2" xfId="41507" xr:uid="{B88B2348-A360-41CD-9354-6D26F384812D}"/>
    <cellStyle name="Normal 5 2 3 6 2 2 3" xfId="16204" xr:uid="{00000000-0005-0000-0000-00007C480000}"/>
    <cellStyle name="Normal 5 2 3 6 2 2 4" xfId="33073" xr:uid="{CB5DCF65-9006-4F4D-BF6A-AC695D67FF38}"/>
    <cellStyle name="Normal 5 2 3 6 2 3" xfId="20421" xr:uid="{00000000-0005-0000-0000-00007D480000}"/>
    <cellStyle name="Normal 5 2 3 6 2 3 2" xfId="37290" xr:uid="{0496E3EC-9375-42DB-A611-9DEEF14A56B0}"/>
    <cellStyle name="Normal 5 2 3 6 2 4" xfId="11986" xr:uid="{00000000-0005-0000-0000-00007E480000}"/>
    <cellStyle name="Normal 5 2 3 6 2 5" xfId="28856" xr:uid="{7CEA8BF4-54E6-427F-B052-46444242BBAF}"/>
    <cellStyle name="Normal 5 2 3 6 3" xfId="5624" xr:uid="{00000000-0005-0000-0000-00007F480000}"/>
    <cellStyle name="Normal 5 2 3 6 3 2" xfId="22494" xr:uid="{00000000-0005-0000-0000-000080480000}"/>
    <cellStyle name="Normal 5 2 3 6 3 2 2" xfId="39362" xr:uid="{2D26FA21-EFBA-4119-9F55-CF9C88BC2EA5}"/>
    <cellStyle name="Normal 5 2 3 6 3 3" xfId="14059" xr:uid="{00000000-0005-0000-0000-000081480000}"/>
    <cellStyle name="Normal 5 2 3 6 3 4" xfId="30928" xr:uid="{EAE0A963-3365-4384-A5C3-10E7B93C0405}"/>
    <cellStyle name="Normal 5 2 3 6 4" xfId="18276" xr:uid="{00000000-0005-0000-0000-000082480000}"/>
    <cellStyle name="Normal 5 2 3 6 4 2" xfId="35145" xr:uid="{10634C40-5612-4241-86DD-69A310131AC9}"/>
    <cellStyle name="Normal 5 2 3 6 5" xfId="9841" xr:uid="{00000000-0005-0000-0000-000083480000}"/>
    <cellStyle name="Normal 5 2 3 6 6" xfId="26711" xr:uid="{E74F5D6B-C70A-4A13-92C9-0FCC0091A7C6}"/>
    <cellStyle name="Normal 5 2 3 7" xfId="1729" xr:uid="{00000000-0005-0000-0000-000084480000}"/>
    <cellStyle name="Normal 5 2 3 7 2" xfId="3959" xr:uid="{00000000-0005-0000-0000-000085480000}"/>
    <cellStyle name="Normal 5 2 3 7 2 2" xfId="8182" xr:uid="{00000000-0005-0000-0000-000086480000}"/>
    <cellStyle name="Normal 5 2 3 7 2 2 2" xfId="25052" xr:uid="{00000000-0005-0000-0000-000087480000}"/>
    <cellStyle name="Normal 5 2 3 7 2 2 2 2" xfId="41920" xr:uid="{D681D90A-EF32-4A1C-979F-A61A2002B6FA}"/>
    <cellStyle name="Normal 5 2 3 7 2 2 3" xfId="16617" xr:uid="{00000000-0005-0000-0000-000088480000}"/>
    <cellStyle name="Normal 5 2 3 7 2 2 4" xfId="33486" xr:uid="{B5ECB430-996E-4100-AF01-8C301C9C1EEC}"/>
    <cellStyle name="Normal 5 2 3 7 2 3" xfId="20834" xr:uid="{00000000-0005-0000-0000-000089480000}"/>
    <cellStyle name="Normal 5 2 3 7 2 3 2" xfId="37703" xr:uid="{023E8215-F870-4CA4-9C0C-B76FB92AF3C1}"/>
    <cellStyle name="Normal 5 2 3 7 2 4" xfId="12399" xr:uid="{00000000-0005-0000-0000-00008A480000}"/>
    <cellStyle name="Normal 5 2 3 7 2 5" xfId="29269" xr:uid="{7713C015-98C8-49BE-B09F-2F5E2622A17B}"/>
    <cellStyle name="Normal 5 2 3 7 3" xfId="6037" xr:uid="{00000000-0005-0000-0000-00008B480000}"/>
    <cellStyle name="Normal 5 2 3 7 3 2" xfId="22907" xr:uid="{00000000-0005-0000-0000-00008C480000}"/>
    <cellStyle name="Normal 5 2 3 7 3 2 2" xfId="39775" xr:uid="{A6327CF0-A355-45AA-81F8-AA8C183ADCE7}"/>
    <cellStyle name="Normal 5 2 3 7 3 3" xfId="14472" xr:uid="{00000000-0005-0000-0000-00008D480000}"/>
    <cellStyle name="Normal 5 2 3 7 3 4" xfId="31341" xr:uid="{F862D747-E694-4D13-B9E0-EFD131DE7B09}"/>
    <cellStyle name="Normal 5 2 3 7 4" xfId="18689" xr:uid="{00000000-0005-0000-0000-00008E480000}"/>
    <cellStyle name="Normal 5 2 3 7 4 2" xfId="35558" xr:uid="{5F6C1B56-4268-483B-8E25-2B59669F549F}"/>
    <cellStyle name="Normal 5 2 3 7 5" xfId="10254" xr:uid="{00000000-0005-0000-0000-00008F480000}"/>
    <cellStyle name="Normal 5 2 3 7 6" xfId="27124" xr:uid="{944ABD15-1762-4F8C-9F08-991E29C9D49E}"/>
    <cellStyle name="Normal 5 2 3 8" xfId="2143" xr:uid="{00000000-0005-0000-0000-000090480000}"/>
    <cellStyle name="Normal 5 2 3 8 2" xfId="4372" xr:uid="{00000000-0005-0000-0000-000091480000}"/>
    <cellStyle name="Normal 5 2 3 8 2 2" xfId="8595" xr:uid="{00000000-0005-0000-0000-000092480000}"/>
    <cellStyle name="Normal 5 2 3 8 2 2 2" xfId="25465" xr:uid="{00000000-0005-0000-0000-000093480000}"/>
    <cellStyle name="Normal 5 2 3 8 2 2 2 2" xfId="42333" xr:uid="{AE4D955B-C86F-491A-83DD-8FD86F78C7A9}"/>
    <cellStyle name="Normal 5 2 3 8 2 2 3" xfId="17030" xr:uid="{00000000-0005-0000-0000-000094480000}"/>
    <cellStyle name="Normal 5 2 3 8 2 2 4" xfId="33899" xr:uid="{C82DB8E5-F5CF-421A-9A4D-FB3F04F699F3}"/>
    <cellStyle name="Normal 5 2 3 8 2 3" xfId="21247" xr:uid="{00000000-0005-0000-0000-000095480000}"/>
    <cellStyle name="Normal 5 2 3 8 2 3 2" xfId="38116" xr:uid="{553D93DE-DF14-4C39-BF10-5048D5F80EDA}"/>
    <cellStyle name="Normal 5 2 3 8 2 4" xfId="12812" xr:uid="{00000000-0005-0000-0000-000096480000}"/>
    <cellStyle name="Normal 5 2 3 8 2 5" xfId="29682" xr:uid="{EB46D13B-0E90-4201-9765-A61E6A4AA33F}"/>
    <cellStyle name="Normal 5 2 3 8 3" xfId="6450" xr:uid="{00000000-0005-0000-0000-000097480000}"/>
    <cellStyle name="Normal 5 2 3 8 3 2" xfId="23320" xr:uid="{00000000-0005-0000-0000-000098480000}"/>
    <cellStyle name="Normal 5 2 3 8 3 2 2" xfId="40188" xr:uid="{C2D48380-2A0A-4DA3-B541-6803894976B4}"/>
    <cellStyle name="Normal 5 2 3 8 3 3" xfId="14885" xr:uid="{00000000-0005-0000-0000-000099480000}"/>
    <cellStyle name="Normal 5 2 3 8 3 4" xfId="31754" xr:uid="{47AC4EFC-C216-4AA6-8C7C-93ACC5194AE5}"/>
    <cellStyle name="Normal 5 2 3 8 4" xfId="19102" xr:uid="{00000000-0005-0000-0000-00009A480000}"/>
    <cellStyle name="Normal 5 2 3 8 4 2" xfId="35971" xr:uid="{D7891F47-B969-4278-8425-DA74B48A79E2}"/>
    <cellStyle name="Normal 5 2 3 8 5" xfId="10667" xr:uid="{00000000-0005-0000-0000-00009B480000}"/>
    <cellStyle name="Normal 5 2 3 8 6" xfId="27537" xr:uid="{4E45FB52-F8D8-4DE1-B3D6-E36CE113EB71}"/>
    <cellStyle name="Normal 5 2 3 9" xfId="2579" xr:uid="{00000000-0005-0000-0000-00009C480000}"/>
    <cellStyle name="Normal 5 2 3 9 2" xfId="6863" xr:uid="{00000000-0005-0000-0000-00009D480000}"/>
    <cellStyle name="Normal 5 2 3 9 2 2" xfId="23733" xr:uid="{00000000-0005-0000-0000-00009E480000}"/>
    <cellStyle name="Normal 5 2 3 9 2 2 2" xfId="40601" xr:uid="{16CA27E0-0C98-43DE-B52D-AF2479A87A5C}"/>
    <cellStyle name="Normal 5 2 3 9 2 3" xfId="15298" xr:uid="{00000000-0005-0000-0000-00009F480000}"/>
    <cellStyle name="Normal 5 2 3 9 2 4" xfId="32167" xr:uid="{BBF18F6F-D196-42D8-A457-35705B80A4D5}"/>
    <cellStyle name="Normal 5 2 3 9 3" xfId="19515" xr:uid="{00000000-0005-0000-0000-0000A0480000}"/>
    <cellStyle name="Normal 5 2 3 9 3 2" xfId="36384" xr:uid="{740E0066-A30D-4624-9CA5-55E4269DB147}"/>
    <cellStyle name="Normal 5 2 3 9 4" xfId="11080" xr:uid="{00000000-0005-0000-0000-0000A1480000}"/>
    <cellStyle name="Normal 5 2 3 9 5" xfId="27950" xr:uid="{0B35CD4E-113A-475A-890B-E1B4C644F133}"/>
    <cellStyle name="Normal 5 2 4" xfId="432" xr:uid="{00000000-0005-0000-0000-0000A2480000}"/>
    <cellStyle name="Normal 5 2 4 10" xfId="17458" xr:uid="{00000000-0005-0000-0000-0000A3480000}"/>
    <cellStyle name="Normal 5 2 4 10 2" xfId="34327" xr:uid="{720643EB-3964-4B36-BB1B-8D2F0D5DFC83}"/>
    <cellStyle name="Normal 5 2 4 11" xfId="9023" xr:uid="{00000000-0005-0000-0000-0000A4480000}"/>
    <cellStyle name="Normal 5 2 4 12" xfId="25893" xr:uid="{5316791A-AB2E-412D-88F9-DD19FE39F4C2}"/>
    <cellStyle name="Normal 5 2 4 2" xfId="433" xr:uid="{00000000-0005-0000-0000-0000A5480000}"/>
    <cellStyle name="Normal 5 2 4 2 10" xfId="9024" xr:uid="{00000000-0005-0000-0000-0000A6480000}"/>
    <cellStyle name="Normal 5 2 4 2 11" xfId="25894" xr:uid="{E708E099-0679-4CAF-B1D0-A80B60FAD651}"/>
    <cellStyle name="Normal 5 2 4 2 2" xfId="434" xr:uid="{00000000-0005-0000-0000-0000A7480000}"/>
    <cellStyle name="Normal 5 2 4 2 2 10" xfId="25895" xr:uid="{8C25F812-DAF7-4CBA-B1CF-B93B86A69107}"/>
    <cellStyle name="Normal 5 2 4 2 2 2" xfId="908" xr:uid="{00000000-0005-0000-0000-0000A8480000}"/>
    <cellStyle name="Normal 5 2 4 2 2 2 2" xfId="3143" xr:uid="{00000000-0005-0000-0000-0000A9480000}"/>
    <cellStyle name="Normal 5 2 4 2 2 2 2 2" xfId="7366" xr:uid="{00000000-0005-0000-0000-0000AA480000}"/>
    <cellStyle name="Normal 5 2 4 2 2 2 2 2 2" xfId="24236" xr:uid="{00000000-0005-0000-0000-0000AB480000}"/>
    <cellStyle name="Normal 5 2 4 2 2 2 2 2 2 2" xfId="41104" xr:uid="{F82FB758-5997-4519-8CBF-2343928B8E2E}"/>
    <cellStyle name="Normal 5 2 4 2 2 2 2 2 3" xfId="15801" xr:uid="{00000000-0005-0000-0000-0000AC480000}"/>
    <cellStyle name="Normal 5 2 4 2 2 2 2 2 4" xfId="32670" xr:uid="{BBA66638-1BF7-495B-B9AD-56C6EA23E4FF}"/>
    <cellStyle name="Normal 5 2 4 2 2 2 2 3" xfId="20018" xr:uid="{00000000-0005-0000-0000-0000AD480000}"/>
    <cellStyle name="Normal 5 2 4 2 2 2 2 3 2" xfId="36887" xr:uid="{3E96BD4B-12A0-4773-A39E-5B4D4FD8E46B}"/>
    <cellStyle name="Normal 5 2 4 2 2 2 2 4" xfId="11583" xr:uid="{00000000-0005-0000-0000-0000AE480000}"/>
    <cellStyle name="Normal 5 2 4 2 2 2 2 5" xfId="28453" xr:uid="{2F2FE25B-C291-4B4A-ADF2-F8F8C7DFC60E}"/>
    <cellStyle name="Normal 5 2 4 2 2 2 3" xfId="5221" xr:uid="{00000000-0005-0000-0000-0000AF480000}"/>
    <cellStyle name="Normal 5 2 4 2 2 2 3 2" xfId="22091" xr:uid="{00000000-0005-0000-0000-0000B0480000}"/>
    <cellStyle name="Normal 5 2 4 2 2 2 3 2 2" xfId="38959" xr:uid="{0E2D83F4-BF48-4D74-B13E-EC94C79385A3}"/>
    <cellStyle name="Normal 5 2 4 2 2 2 3 3" xfId="13656" xr:uid="{00000000-0005-0000-0000-0000B1480000}"/>
    <cellStyle name="Normal 5 2 4 2 2 2 3 4" xfId="30525" xr:uid="{2CF9A8BE-5BDD-4ED5-8B4D-2CDF9E60957E}"/>
    <cellStyle name="Normal 5 2 4 2 2 2 4" xfId="17873" xr:uid="{00000000-0005-0000-0000-0000B2480000}"/>
    <cellStyle name="Normal 5 2 4 2 2 2 4 2" xfId="34742" xr:uid="{46F03A08-0080-4B74-B27A-046C8601A3C8}"/>
    <cellStyle name="Normal 5 2 4 2 2 2 5" xfId="9438" xr:uid="{00000000-0005-0000-0000-0000B3480000}"/>
    <cellStyle name="Normal 5 2 4 2 2 2 6" xfId="26308" xr:uid="{212ED304-1715-417F-AA63-57CBF28BAD38}"/>
    <cellStyle name="Normal 5 2 4 2 2 3" xfId="1326" xr:uid="{00000000-0005-0000-0000-0000B4480000}"/>
    <cellStyle name="Normal 5 2 4 2 2 3 2" xfId="3556" xr:uid="{00000000-0005-0000-0000-0000B5480000}"/>
    <cellStyle name="Normal 5 2 4 2 2 3 2 2" xfId="7779" xr:uid="{00000000-0005-0000-0000-0000B6480000}"/>
    <cellStyle name="Normal 5 2 4 2 2 3 2 2 2" xfId="24649" xr:uid="{00000000-0005-0000-0000-0000B7480000}"/>
    <cellStyle name="Normal 5 2 4 2 2 3 2 2 2 2" xfId="41517" xr:uid="{01A3DC1C-32C8-42DE-B816-2C5562F1E6DF}"/>
    <cellStyle name="Normal 5 2 4 2 2 3 2 2 3" xfId="16214" xr:uid="{00000000-0005-0000-0000-0000B8480000}"/>
    <cellStyle name="Normal 5 2 4 2 2 3 2 2 4" xfId="33083" xr:uid="{30DEE353-67D9-4530-A2FA-875BDEF671A6}"/>
    <cellStyle name="Normal 5 2 4 2 2 3 2 3" xfId="20431" xr:uid="{00000000-0005-0000-0000-0000B9480000}"/>
    <cellStyle name="Normal 5 2 4 2 2 3 2 3 2" xfId="37300" xr:uid="{6171C333-E870-44A6-9C07-DBA7D2E3B502}"/>
    <cellStyle name="Normal 5 2 4 2 2 3 2 4" xfId="11996" xr:uid="{00000000-0005-0000-0000-0000BA480000}"/>
    <cellStyle name="Normal 5 2 4 2 2 3 2 5" xfId="28866" xr:uid="{B333CCA9-BFFF-4E40-A836-486B07E96058}"/>
    <cellStyle name="Normal 5 2 4 2 2 3 3" xfId="5634" xr:uid="{00000000-0005-0000-0000-0000BB480000}"/>
    <cellStyle name="Normal 5 2 4 2 2 3 3 2" xfId="22504" xr:uid="{00000000-0005-0000-0000-0000BC480000}"/>
    <cellStyle name="Normal 5 2 4 2 2 3 3 2 2" xfId="39372" xr:uid="{507B8D98-CE4F-4A23-9111-88C978227109}"/>
    <cellStyle name="Normal 5 2 4 2 2 3 3 3" xfId="14069" xr:uid="{00000000-0005-0000-0000-0000BD480000}"/>
    <cellStyle name="Normal 5 2 4 2 2 3 3 4" xfId="30938" xr:uid="{7EBA0BCE-C148-4375-8295-E1581978C609}"/>
    <cellStyle name="Normal 5 2 4 2 2 3 4" xfId="18286" xr:uid="{00000000-0005-0000-0000-0000BE480000}"/>
    <cellStyle name="Normal 5 2 4 2 2 3 4 2" xfId="35155" xr:uid="{0D52148F-2A73-4C36-995B-269ADCBC565B}"/>
    <cellStyle name="Normal 5 2 4 2 2 3 5" xfId="9851" xr:uid="{00000000-0005-0000-0000-0000BF480000}"/>
    <cellStyle name="Normal 5 2 4 2 2 3 6" xfId="26721" xr:uid="{66D60B09-5D35-4752-924A-632B7B7803D0}"/>
    <cellStyle name="Normal 5 2 4 2 2 4" xfId="1739" xr:uid="{00000000-0005-0000-0000-0000C0480000}"/>
    <cellStyle name="Normal 5 2 4 2 2 4 2" xfId="3969" xr:uid="{00000000-0005-0000-0000-0000C1480000}"/>
    <cellStyle name="Normal 5 2 4 2 2 4 2 2" xfId="8192" xr:uid="{00000000-0005-0000-0000-0000C2480000}"/>
    <cellStyle name="Normal 5 2 4 2 2 4 2 2 2" xfId="25062" xr:uid="{00000000-0005-0000-0000-0000C3480000}"/>
    <cellStyle name="Normal 5 2 4 2 2 4 2 2 2 2" xfId="41930" xr:uid="{0B305F63-3C3E-45A5-BE00-0D63DD34672B}"/>
    <cellStyle name="Normal 5 2 4 2 2 4 2 2 3" xfId="16627" xr:uid="{00000000-0005-0000-0000-0000C4480000}"/>
    <cellStyle name="Normal 5 2 4 2 2 4 2 2 4" xfId="33496" xr:uid="{7E017D14-EA8E-4173-A688-74317E14D73F}"/>
    <cellStyle name="Normal 5 2 4 2 2 4 2 3" xfId="20844" xr:uid="{00000000-0005-0000-0000-0000C5480000}"/>
    <cellStyle name="Normal 5 2 4 2 2 4 2 3 2" xfId="37713" xr:uid="{E0823EAE-106C-4963-A83F-F15C91885706}"/>
    <cellStyle name="Normal 5 2 4 2 2 4 2 4" xfId="12409" xr:uid="{00000000-0005-0000-0000-0000C6480000}"/>
    <cellStyle name="Normal 5 2 4 2 2 4 2 5" xfId="29279" xr:uid="{F5F7826C-3576-4BA4-A06D-C5ADF8FCD092}"/>
    <cellStyle name="Normal 5 2 4 2 2 4 3" xfId="6047" xr:uid="{00000000-0005-0000-0000-0000C7480000}"/>
    <cellStyle name="Normal 5 2 4 2 2 4 3 2" xfId="22917" xr:uid="{00000000-0005-0000-0000-0000C8480000}"/>
    <cellStyle name="Normal 5 2 4 2 2 4 3 2 2" xfId="39785" xr:uid="{18B58257-C630-441D-8271-615FC5797B63}"/>
    <cellStyle name="Normal 5 2 4 2 2 4 3 3" xfId="14482" xr:uid="{00000000-0005-0000-0000-0000C9480000}"/>
    <cellStyle name="Normal 5 2 4 2 2 4 3 4" xfId="31351" xr:uid="{9E4D079E-2F05-4B24-982A-FB4366553B23}"/>
    <cellStyle name="Normal 5 2 4 2 2 4 4" xfId="18699" xr:uid="{00000000-0005-0000-0000-0000CA480000}"/>
    <cellStyle name="Normal 5 2 4 2 2 4 4 2" xfId="35568" xr:uid="{02CB9A5E-6750-4E6A-9C23-5CA9A8AECD03}"/>
    <cellStyle name="Normal 5 2 4 2 2 4 5" xfId="10264" xr:uid="{00000000-0005-0000-0000-0000CB480000}"/>
    <cellStyle name="Normal 5 2 4 2 2 4 6" xfId="27134" xr:uid="{1F9227D9-5F9C-499A-82EF-443306DC8DF0}"/>
    <cellStyle name="Normal 5 2 4 2 2 5" xfId="2153" xr:uid="{00000000-0005-0000-0000-0000CC480000}"/>
    <cellStyle name="Normal 5 2 4 2 2 5 2" xfId="4382" xr:uid="{00000000-0005-0000-0000-0000CD480000}"/>
    <cellStyle name="Normal 5 2 4 2 2 5 2 2" xfId="8605" xr:uid="{00000000-0005-0000-0000-0000CE480000}"/>
    <cellStyle name="Normal 5 2 4 2 2 5 2 2 2" xfId="25475" xr:uid="{00000000-0005-0000-0000-0000CF480000}"/>
    <cellStyle name="Normal 5 2 4 2 2 5 2 2 2 2" xfId="42343" xr:uid="{FE39D49E-2D2F-4148-B593-91594F2BFB32}"/>
    <cellStyle name="Normal 5 2 4 2 2 5 2 2 3" xfId="17040" xr:uid="{00000000-0005-0000-0000-0000D0480000}"/>
    <cellStyle name="Normal 5 2 4 2 2 5 2 2 4" xfId="33909" xr:uid="{E7E74AC5-B50D-4EBC-ABE8-3D77FC129016}"/>
    <cellStyle name="Normal 5 2 4 2 2 5 2 3" xfId="21257" xr:uid="{00000000-0005-0000-0000-0000D1480000}"/>
    <cellStyle name="Normal 5 2 4 2 2 5 2 3 2" xfId="38126" xr:uid="{978AB28C-F4A4-481C-896D-B1873E4163FB}"/>
    <cellStyle name="Normal 5 2 4 2 2 5 2 4" xfId="12822" xr:uid="{00000000-0005-0000-0000-0000D2480000}"/>
    <cellStyle name="Normal 5 2 4 2 2 5 2 5" xfId="29692" xr:uid="{B4141D40-26CF-4E7C-B82C-54E4A89B6650}"/>
    <cellStyle name="Normal 5 2 4 2 2 5 3" xfId="6460" xr:uid="{00000000-0005-0000-0000-0000D3480000}"/>
    <cellStyle name="Normal 5 2 4 2 2 5 3 2" xfId="23330" xr:uid="{00000000-0005-0000-0000-0000D4480000}"/>
    <cellStyle name="Normal 5 2 4 2 2 5 3 2 2" xfId="40198" xr:uid="{F17720CA-CC28-4551-A0BF-1A33564FFF6F}"/>
    <cellStyle name="Normal 5 2 4 2 2 5 3 3" xfId="14895" xr:uid="{00000000-0005-0000-0000-0000D5480000}"/>
    <cellStyle name="Normal 5 2 4 2 2 5 3 4" xfId="31764" xr:uid="{437D7192-A335-4D0F-BC93-037F1C62C110}"/>
    <cellStyle name="Normal 5 2 4 2 2 5 4" xfId="19112" xr:uid="{00000000-0005-0000-0000-0000D6480000}"/>
    <cellStyle name="Normal 5 2 4 2 2 5 4 2" xfId="35981" xr:uid="{00A98E09-9BEC-4F78-9695-4B4E62EA0EF7}"/>
    <cellStyle name="Normal 5 2 4 2 2 5 5" xfId="10677" xr:uid="{00000000-0005-0000-0000-0000D7480000}"/>
    <cellStyle name="Normal 5 2 4 2 2 5 6" xfId="27547" xr:uid="{BA2D9294-C3D0-4F8A-85B4-4A6F68239A77}"/>
    <cellStyle name="Normal 5 2 4 2 2 6" xfId="2589" xr:uid="{00000000-0005-0000-0000-0000D8480000}"/>
    <cellStyle name="Normal 5 2 4 2 2 6 2" xfId="6873" xr:uid="{00000000-0005-0000-0000-0000D9480000}"/>
    <cellStyle name="Normal 5 2 4 2 2 6 2 2" xfId="23743" xr:uid="{00000000-0005-0000-0000-0000DA480000}"/>
    <cellStyle name="Normal 5 2 4 2 2 6 2 2 2" xfId="40611" xr:uid="{5CD17BDF-0028-406D-9637-4575F79D060F}"/>
    <cellStyle name="Normal 5 2 4 2 2 6 2 3" xfId="15308" xr:uid="{00000000-0005-0000-0000-0000DB480000}"/>
    <cellStyle name="Normal 5 2 4 2 2 6 2 4" xfId="32177" xr:uid="{569DC5E6-52BC-46D1-AF08-1B8C40BF792F}"/>
    <cellStyle name="Normal 5 2 4 2 2 6 3" xfId="19525" xr:uid="{00000000-0005-0000-0000-0000DC480000}"/>
    <cellStyle name="Normal 5 2 4 2 2 6 3 2" xfId="36394" xr:uid="{0562DD5A-5351-45A7-841D-1CF26AED1A86}"/>
    <cellStyle name="Normal 5 2 4 2 2 6 4" xfId="11090" xr:uid="{00000000-0005-0000-0000-0000DD480000}"/>
    <cellStyle name="Normal 5 2 4 2 2 6 5" xfId="27960" xr:uid="{B824F15E-9672-4BAC-98A1-E6116AA1C087}"/>
    <cellStyle name="Normal 5 2 4 2 2 7" xfId="4808" xr:uid="{00000000-0005-0000-0000-0000DE480000}"/>
    <cellStyle name="Normal 5 2 4 2 2 7 2" xfId="21678" xr:uid="{00000000-0005-0000-0000-0000DF480000}"/>
    <cellStyle name="Normal 5 2 4 2 2 7 2 2" xfId="38546" xr:uid="{C01FE83C-46F7-4C1E-982C-16D305BDC383}"/>
    <cellStyle name="Normal 5 2 4 2 2 7 3" xfId="13243" xr:uid="{00000000-0005-0000-0000-0000E0480000}"/>
    <cellStyle name="Normal 5 2 4 2 2 7 4" xfId="30112" xr:uid="{1C5AA997-DAD8-4842-8E1E-7004F12C342E}"/>
    <cellStyle name="Normal 5 2 4 2 2 8" xfId="17460" xr:uid="{00000000-0005-0000-0000-0000E1480000}"/>
    <cellStyle name="Normal 5 2 4 2 2 8 2" xfId="34329" xr:uid="{DC984B54-5DE4-488E-A7FE-30DB774EEAEE}"/>
    <cellStyle name="Normal 5 2 4 2 2 9" xfId="9025" xr:uid="{00000000-0005-0000-0000-0000E2480000}"/>
    <cellStyle name="Normal 5 2 4 2 3" xfId="907" xr:uid="{00000000-0005-0000-0000-0000E3480000}"/>
    <cellStyle name="Normal 5 2 4 2 3 2" xfId="3142" xr:uid="{00000000-0005-0000-0000-0000E4480000}"/>
    <cellStyle name="Normal 5 2 4 2 3 2 2" xfId="7365" xr:uid="{00000000-0005-0000-0000-0000E5480000}"/>
    <cellStyle name="Normal 5 2 4 2 3 2 2 2" xfId="24235" xr:uid="{00000000-0005-0000-0000-0000E6480000}"/>
    <cellStyle name="Normal 5 2 4 2 3 2 2 2 2" xfId="41103" xr:uid="{DEEFCA8B-2464-4A31-95DA-94FD4A44651A}"/>
    <cellStyle name="Normal 5 2 4 2 3 2 2 3" xfId="15800" xr:uid="{00000000-0005-0000-0000-0000E7480000}"/>
    <cellStyle name="Normal 5 2 4 2 3 2 2 4" xfId="32669" xr:uid="{3F65EB9A-5D65-4895-92C8-754133D034D0}"/>
    <cellStyle name="Normal 5 2 4 2 3 2 3" xfId="20017" xr:uid="{00000000-0005-0000-0000-0000E8480000}"/>
    <cellStyle name="Normal 5 2 4 2 3 2 3 2" xfId="36886" xr:uid="{80129BC1-69D9-4725-AC73-5904CE8F0A96}"/>
    <cellStyle name="Normal 5 2 4 2 3 2 4" xfId="11582" xr:uid="{00000000-0005-0000-0000-0000E9480000}"/>
    <cellStyle name="Normal 5 2 4 2 3 2 5" xfId="28452" xr:uid="{3423BEBB-F17F-4C2B-95E1-B5324E253855}"/>
    <cellStyle name="Normal 5 2 4 2 3 3" xfId="5220" xr:uid="{00000000-0005-0000-0000-0000EA480000}"/>
    <cellStyle name="Normal 5 2 4 2 3 3 2" xfId="22090" xr:uid="{00000000-0005-0000-0000-0000EB480000}"/>
    <cellStyle name="Normal 5 2 4 2 3 3 2 2" xfId="38958" xr:uid="{80566382-4736-4852-A449-8001B03330DE}"/>
    <cellStyle name="Normal 5 2 4 2 3 3 3" xfId="13655" xr:uid="{00000000-0005-0000-0000-0000EC480000}"/>
    <cellStyle name="Normal 5 2 4 2 3 3 4" xfId="30524" xr:uid="{9FB1E01A-F8C7-4064-AD65-45A8E8349C95}"/>
    <cellStyle name="Normal 5 2 4 2 3 4" xfId="17872" xr:uid="{00000000-0005-0000-0000-0000ED480000}"/>
    <cellStyle name="Normal 5 2 4 2 3 4 2" xfId="34741" xr:uid="{70DE4046-AFEE-4FE6-8008-CF73998A9B34}"/>
    <cellStyle name="Normal 5 2 4 2 3 5" xfId="9437" xr:uid="{00000000-0005-0000-0000-0000EE480000}"/>
    <cellStyle name="Normal 5 2 4 2 3 6" xfId="26307" xr:uid="{BCF98F48-81DC-4C02-A2B4-995515F02140}"/>
    <cellStyle name="Normal 5 2 4 2 4" xfId="1325" xr:uid="{00000000-0005-0000-0000-0000EF480000}"/>
    <cellStyle name="Normal 5 2 4 2 4 2" xfId="3555" xr:uid="{00000000-0005-0000-0000-0000F0480000}"/>
    <cellStyle name="Normal 5 2 4 2 4 2 2" xfId="7778" xr:uid="{00000000-0005-0000-0000-0000F1480000}"/>
    <cellStyle name="Normal 5 2 4 2 4 2 2 2" xfId="24648" xr:uid="{00000000-0005-0000-0000-0000F2480000}"/>
    <cellStyle name="Normal 5 2 4 2 4 2 2 2 2" xfId="41516" xr:uid="{31C86A25-EDEC-4C44-B15E-FA157699FF08}"/>
    <cellStyle name="Normal 5 2 4 2 4 2 2 3" xfId="16213" xr:uid="{00000000-0005-0000-0000-0000F3480000}"/>
    <cellStyle name="Normal 5 2 4 2 4 2 2 4" xfId="33082" xr:uid="{36E2B1AF-23B9-4CC9-A262-75A8712C0256}"/>
    <cellStyle name="Normal 5 2 4 2 4 2 3" xfId="20430" xr:uid="{00000000-0005-0000-0000-0000F4480000}"/>
    <cellStyle name="Normal 5 2 4 2 4 2 3 2" xfId="37299" xr:uid="{164D5924-D635-4999-A242-C6EDFD150CCC}"/>
    <cellStyle name="Normal 5 2 4 2 4 2 4" xfId="11995" xr:uid="{00000000-0005-0000-0000-0000F5480000}"/>
    <cellStyle name="Normal 5 2 4 2 4 2 5" xfId="28865" xr:uid="{8D1592DF-B85E-4134-8259-54E79709109D}"/>
    <cellStyle name="Normal 5 2 4 2 4 3" xfId="5633" xr:uid="{00000000-0005-0000-0000-0000F6480000}"/>
    <cellStyle name="Normal 5 2 4 2 4 3 2" xfId="22503" xr:uid="{00000000-0005-0000-0000-0000F7480000}"/>
    <cellStyle name="Normal 5 2 4 2 4 3 2 2" xfId="39371" xr:uid="{F81182B1-5BB9-45E7-B6C3-0DC00E0958FE}"/>
    <cellStyle name="Normal 5 2 4 2 4 3 3" xfId="14068" xr:uid="{00000000-0005-0000-0000-0000F8480000}"/>
    <cellStyle name="Normal 5 2 4 2 4 3 4" xfId="30937" xr:uid="{CB2FB710-316B-4B0A-85FC-6E3BA68EF778}"/>
    <cellStyle name="Normal 5 2 4 2 4 4" xfId="18285" xr:uid="{00000000-0005-0000-0000-0000F9480000}"/>
    <cellStyle name="Normal 5 2 4 2 4 4 2" xfId="35154" xr:uid="{2499A875-636D-4AB2-92BC-1F72577AD1AA}"/>
    <cellStyle name="Normal 5 2 4 2 4 5" xfId="9850" xr:uid="{00000000-0005-0000-0000-0000FA480000}"/>
    <cellStyle name="Normal 5 2 4 2 4 6" xfId="26720" xr:uid="{18323593-F5C7-4428-8F49-09F7E2C7CA0F}"/>
    <cellStyle name="Normal 5 2 4 2 5" xfId="1738" xr:uid="{00000000-0005-0000-0000-0000FB480000}"/>
    <cellStyle name="Normal 5 2 4 2 5 2" xfId="3968" xr:uid="{00000000-0005-0000-0000-0000FC480000}"/>
    <cellStyle name="Normal 5 2 4 2 5 2 2" xfId="8191" xr:uid="{00000000-0005-0000-0000-0000FD480000}"/>
    <cellStyle name="Normal 5 2 4 2 5 2 2 2" xfId="25061" xr:uid="{00000000-0005-0000-0000-0000FE480000}"/>
    <cellStyle name="Normal 5 2 4 2 5 2 2 2 2" xfId="41929" xr:uid="{90E0EB06-DFA2-4C64-9873-4CC44B9AAE73}"/>
    <cellStyle name="Normal 5 2 4 2 5 2 2 3" xfId="16626" xr:uid="{00000000-0005-0000-0000-0000FF480000}"/>
    <cellStyle name="Normal 5 2 4 2 5 2 2 4" xfId="33495" xr:uid="{6FA4BF72-AF5E-4169-BFFC-47390BC85753}"/>
    <cellStyle name="Normal 5 2 4 2 5 2 3" xfId="20843" xr:uid="{00000000-0005-0000-0000-000000490000}"/>
    <cellStyle name="Normal 5 2 4 2 5 2 3 2" xfId="37712" xr:uid="{A0CD3AC4-D6C8-415C-BE94-7D8E41347981}"/>
    <cellStyle name="Normal 5 2 4 2 5 2 4" xfId="12408" xr:uid="{00000000-0005-0000-0000-000001490000}"/>
    <cellStyle name="Normal 5 2 4 2 5 2 5" xfId="29278" xr:uid="{68B12B75-6416-45A1-8E9E-69FB750AF20C}"/>
    <cellStyle name="Normal 5 2 4 2 5 3" xfId="6046" xr:uid="{00000000-0005-0000-0000-000002490000}"/>
    <cellStyle name="Normal 5 2 4 2 5 3 2" xfId="22916" xr:uid="{00000000-0005-0000-0000-000003490000}"/>
    <cellStyle name="Normal 5 2 4 2 5 3 2 2" xfId="39784" xr:uid="{576A0F1F-8254-4285-9A79-0B1928CA8AD6}"/>
    <cellStyle name="Normal 5 2 4 2 5 3 3" xfId="14481" xr:uid="{00000000-0005-0000-0000-000004490000}"/>
    <cellStyle name="Normal 5 2 4 2 5 3 4" xfId="31350" xr:uid="{7EA8E435-07CF-428C-B325-548CE206BAFF}"/>
    <cellStyle name="Normal 5 2 4 2 5 4" xfId="18698" xr:uid="{00000000-0005-0000-0000-000005490000}"/>
    <cellStyle name="Normal 5 2 4 2 5 4 2" xfId="35567" xr:uid="{CE1C5A54-5305-40C8-8663-D4BA9497D2ED}"/>
    <cellStyle name="Normal 5 2 4 2 5 5" xfId="10263" xr:uid="{00000000-0005-0000-0000-000006490000}"/>
    <cellStyle name="Normal 5 2 4 2 5 6" xfId="27133" xr:uid="{4343AE8F-260B-497B-BAB0-5F3521DB062F}"/>
    <cellStyle name="Normal 5 2 4 2 6" xfId="2152" xr:uid="{00000000-0005-0000-0000-000007490000}"/>
    <cellStyle name="Normal 5 2 4 2 6 2" xfId="4381" xr:uid="{00000000-0005-0000-0000-000008490000}"/>
    <cellStyle name="Normal 5 2 4 2 6 2 2" xfId="8604" xr:uid="{00000000-0005-0000-0000-000009490000}"/>
    <cellStyle name="Normal 5 2 4 2 6 2 2 2" xfId="25474" xr:uid="{00000000-0005-0000-0000-00000A490000}"/>
    <cellStyle name="Normal 5 2 4 2 6 2 2 2 2" xfId="42342" xr:uid="{16DF1613-EC42-4D4F-B687-8A51F92C467C}"/>
    <cellStyle name="Normal 5 2 4 2 6 2 2 3" xfId="17039" xr:uid="{00000000-0005-0000-0000-00000B490000}"/>
    <cellStyle name="Normal 5 2 4 2 6 2 2 4" xfId="33908" xr:uid="{BE5DFFC2-3DB4-45A0-BCA5-9B65BD76DEA3}"/>
    <cellStyle name="Normal 5 2 4 2 6 2 3" xfId="21256" xr:uid="{00000000-0005-0000-0000-00000C490000}"/>
    <cellStyle name="Normal 5 2 4 2 6 2 3 2" xfId="38125" xr:uid="{CCE9DE9A-7CBC-46AE-A749-BF9252AA1776}"/>
    <cellStyle name="Normal 5 2 4 2 6 2 4" xfId="12821" xr:uid="{00000000-0005-0000-0000-00000D490000}"/>
    <cellStyle name="Normal 5 2 4 2 6 2 5" xfId="29691" xr:uid="{01571A19-D61E-40BD-B06B-B4788688B0DC}"/>
    <cellStyle name="Normal 5 2 4 2 6 3" xfId="6459" xr:uid="{00000000-0005-0000-0000-00000E490000}"/>
    <cellStyle name="Normal 5 2 4 2 6 3 2" xfId="23329" xr:uid="{00000000-0005-0000-0000-00000F490000}"/>
    <cellStyle name="Normal 5 2 4 2 6 3 2 2" xfId="40197" xr:uid="{1E5CC690-EDEA-49B1-92B5-DA07B46FFFD3}"/>
    <cellStyle name="Normal 5 2 4 2 6 3 3" xfId="14894" xr:uid="{00000000-0005-0000-0000-000010490000}"/>
    <cellStyle name="Normal 5 2 4 2 6 3 4" xfId="31763" xr:uid="{E36A880F-C9CB-47F8-828C-6A1623C3C5BF}"/>
    <cellStyle name="Normal 5 2 4 2 6 4" xfId="19111" xr:uid="{00000000-0005-0000-0000-000011490000}"/>
    <cellStyle name="Normal 5 2 4 2 6 4 2" xfId="35980" xr:uid="{3BB5B58F-3643-48E8-A78B-730C41D694E6}"/>
    <cellStyle name="Normal 5 2 4 2 6 5" xfId="10676" xr:uid="{00000000-0005-0000-0000-000012490000}"/>
    <cellStyle name="Normal 5 2 4 2 6 6" xfId="27546" xr:uid="{81B6D56E-03EC-456C-AEB0-D6409996C82A}"/>
    <cellStyle name="Normal 5 2 4 2 7" xfId="2588" xr:uid="{00000000-0005-0000-0000-000013490000}"/>
    <cellStyle name="Normal 5 2 4 2 7 2" xfId="6872" xr:uid="{00000000-0005-0000-0000-000014490000}"/>
    <cellStyle name="Normal 5 2 4 2 7 2 2" xfId="23742" xr:uid="{00000000-0005-0000-0000-000015490000}"/>
    <cellStyle name="Normal 5 2 4 2 7 2 2 2" xfId="40610" xr:uid="{B2A780E0-60D0-42CF-9181-808080FB378E}"/>
    <cellStyle name="Normal 5 2 4 2 7 2 3" xfId="15307" xr:uid="{00000000-0005-0000-0000-000016490000}"/>
    <cellStyle name="Normal 5 2 4 2 7 2 4" xfId="32176" xr:uid="{1E65F58D-3B4A-4806-8C1F-85CF6E15AE83}"/>
    <cellStyle name="Normal 5 2 4 2 7 3" xfId="19524" xr:uid="{00000000-0005-0000-0000-000017490000}"/>
    <cellStyle name="Normal 5 2 4 2 7 3 2" xfId="36393" xr:uid="{99D332A4-C870-4EFA-B190-4A47477D7046}"/>
    <cellStyle name="Normal 5 2 4 2 7 4" xfId="11089" xr:uid="{00000000-0005-0000-0000-000018490000}"/>
    <cellStyle name="Normal 5 2 4 2 7 5" xfId="27959" xr:uid="{9F4B9F29-5D89-4820-B2A7-C1016E0CBC8A}"/>
    <cellStyle name="Normal 5 2 4 2 8" xfId="4807" xr:uid="{00000000-0005-0000-0000-000019490000}"/>
    <cellStyle name="Normal 5 2 4 2 8 2" xfId="21677" xr:uid="{00000000-0005-0000-0000-00001A490000}"/>
    <cellStyle name="Normal 5 2 4 2 8 2 2" xfId="38545" xr:uid="{9E56555E-4543-4A6A-971F-634493487641}"/>
    <cellStyle name="Normal 5 2 4 2 8 3" xfId="13242" xr:uid="{00000000-0005-0000-0000-00001B490000}"/>
    <cellStyle name="Normal 5 2 4 2 8 4" xfId="30111" xr:uid="{54E6CE35-D326-4790-8A89-C8781F5101BE}"/>
    <cellStyle name="Normal 5 2 4 2 9" xfId="17459" xr:uid="{00000000-0005-0000-0000-00001C490000}"/>
    <cellStyle name="Normal 5 2 4 2 9 2" xfId="34328" xr:uid="{1A56D4A1-A2C2-4573-8E1B-E8364A27DA30}"/>
    <cellStyle name="Normal 5 2 4 3" xfId="435" xr:uid="{00000000-0005-0000-0000-00001D490000}"/>
    <cellStyle name="Normal 5 2 4 3 10" xfId="25896" xr:uid="{BB69D013-A852-48BF-AF4A-6F14BCFBA11C}"/>
    <cellStyle name="Normal 5 2 4 3 2" xfId="909" xr:uid="{00000000-0005-0000-0000-00001E490000}"/>
    <cellStyle name="Normal 5 2 4 3 2 2" xfId="3144" xr:uid="{00000000-0005-0000-0000-00001F490000}"/>
    <cellStyle name="Normal 5 2 4 3 2 2 2" xfId="7367" xr:uid="{00000000-0005-0000-0000-000020490000}"/>
    <cellStyle name="Normal 5 2 4 3 2 2 2 2" xfId="24237" xr:uid="{00000000-0005-0000-0000-000021490000}"/>
    <cellStyle name="Normal 5 2 4 3 2 2 2 2 2" xfId="41105" xr:uid="{F352B658-600A-4E41-ACBB-86B5FA67CE11}"/>
    <cellStyle name="Normal 5 2 4 3 2 2 2 3" xfId="15802" xr:uid="{00000000-0005-0000-0000-000022490000}"/>
    <cellStyle name="Normal 5 2 4 3 2 2 2 4" xfId="32671" xr:uid="{8B6076BC-E35B-4FE0-9720-AB6D00C8D5CF}"/>
    <cellStyle name="Normal 5 2 4 3 2 2 3" xfId="20019" xr:uid="{00000000-0005-0000-0000-000023490000}"/>
    <cellStyle name="Normal 5 2 4 3 2 2 3 2" xfId="36888" xr:uid="{09B49379-C162-476A-AE73-8C1FEDF0150D}"/>
    <cellStyle name="Normal 5 2 4 3 2 2 4" xfId="11584" xr:uid="{00000000-0005-0000-0000-000024490000}"/>
    <cellStyle name="Normal 5 2 4 3 2 2 5" xfId="28454" xr:uid="{6875CDB6-FD6B-4840-804E-D86EF57EC6E8}"/>
    <cellStyle name="Normal 5 2 4 3 2 3" xfId="5222" xr:uid="{00000000-0005-0000-0000-000025490000}"/>
    <cellStyle name="Normal 5 2 4 3 2 3 2" xfId="22092" xr:uid="{00000000-0005-0000-0000-000026490000}"/>
    <cellStyle name="Normal 5 2 4 3 2 3 2 2" xfId="38960" xr:uid="{F1A75540-E6CD-4C9C-AC49-9850363F1896}"/>
    <cellStyle name="Normal 5 2 4 3 2 3 3" xfId="13657" xr:uid="{00000000-0005-0000-0000-000027490000}"/>
    <cellStyle name="Normal 5 2 4 3 2 3 4" xfId="30526" xr:uid="{87639107-7483-468E-9167-ED6A1FDA9978}"/>
    <cellStyle name="Normal 5 2 4 3 2 4" xfId="17874" xr:uid="{00000000-0005-0000-0000-000028490000}"/>
    <cellStyle name="Normal 5 2 4 3 2 4 2" xfId="34743" xr:uid="{A3B257BE-7576-49FF-B7D6-888518277C20}"/>
    <cellStyle name="Normal 5 2 4 3 2 5" xfId="9439" xr:uid="{00000000-0005-0000-0000-000029490000}"/>
    <cellStyle name="Normal 5 2 4 3 2 6" xfId="26309" xr:uid="{401BE41A-6993-49E8-9AB7-E25968762415}"/>
    <cellStyle name="Normal 5 2 4 3 3" xfId="1327" xr:uid="{00000000-0005-0000-0000-00002A490000}"/>
    <cellStyle name="Normal 5 2 4 3 3 2" xfId="3557" xr:uid="{00000000-0005-0000-0000-00002B490000}"/>
    <cellStyle name="Normal 5 2 4 3 3 2 2" xfId="7780" xr:uid="{00000000-0005-0000-0000-00002C490000}"/>
    <cellStyle name="Normal 5 2 4 3 3 2 2 2" xfId="24650" xr:uid="{00000000-0005-0000-0000-00002D490000}"/>
    <cellStyle name="Normal 5 2 4 3 3 2 2 2 2" xfId="41518" xr:uid="{CE7B1C25-8288-4D5C-BB61-FB48F1B390A1}"/>
    <cellStyle name="Normal 5 2 4 3 3 2 2 3" xfId="16215" xr:uid="{00000000-0005-0000-0000-00002E490000}"/>
    <cellStyle name="Normal 5 2 4 3 3 2 2 4" xfId="33084" xr:uid="{0EA27E27-D11A-485E-BD33-D2D28A5800B7}"/>
    <cellStyle name="Normal 5 2 4 3 3 2 3" xfId="20432" xr:uid="{00000000-0005-0000-0000-00002F490000}"/>
    <cellStyle name="Normal 5 2 4 3 3 2 3 2" xfId="37301" xr:uid="{783DFF95-3A68-4C29-A97E-5839792E6DE4}"/>
    <cellStyle name="Normal 5 2 4 3 3 2 4" xfId="11997" xr:uid="{00000000-0005-0000-0000-000030490000}"/>
    <cellStyle name="Normal 5 2 4 3 3 2 5" xfId="28867" xr:uid="{C7A1EEF6-934B-4927-9163-0666E47BFF81}"/>
    <cellStyle name="Normal 5 2 4 3 3 3" xfId="5635" xr:uid="{00000000-0005-0000-0000-000031490000}"/>
    <cellStyle name="Normal 5 2 4 3 3 3 2" xfId="22505" xr:uid="{00000000-0005-0000-0000-000032490000}"/>
    <cellStyle name="Normal 5 2 4 3 3 3 2 2" xfId="39373" xr:uid="{FE908402-FE60-453D-ACB3-BFDA3F07CA93}"/>
    <cellStyle name="Normal 5 2 4 3 3 3 3" xfId="14070" xr:uid="{00000000-0005-0000-0000-000033490000}"/>
    <cellStyle name="Normal 5 2 4 3 3 3 4" xfId="30939" xr:uid="{02E2C623-7612-4169-BEC9-D615296CA944}"/>
    <cellStyle name="Normal 5 2 4 3 3 4" xfId="18287" xr:uid="{00000000-0005-0000-0000-000034490000}"/>
    <cellStyle name="Normal 5 2 4 3 3 4 2" xfId="35156" xr:uid="{6115B721-1B58-41C4-8A03-3AF234ACFB89}"/>
    <cellStyle name="Normal 5 2 4 3 3 5" xfId="9852" xr:uid="{00000000-0005-0000-0000-000035490000}"/>
    <cellStyle name="Normal 5 2 4 3 3 6" xfId="26722" xr:uid="{8952A154-D352-4A09-BB80-68A35374BA88}"/>
    <cellStyle name="Normal 5 2 4 3 4" xfId="1740" xr:uid="{00000000-0005-0000-0000-000036490000}"/>
    <cellStyle name="Normal 5 2 4 3 4 2" xfId="3970" xr:uid="{00000000-0005-0000-0000-000037490000}"/>
    <cellStyle name="Normal 5 2 4 3 4 2 2" xfId="8193" xr:uid="{00000000-0005-0000-0000-000038490000}"/>
    <cellStyle name="Normal 5 2 4 3 4 2 2 2" xfId="25063" xr:uid="{00000000-0005-0000-0000-000039490000}"/>
    <cellStyle name="Normal 5 2 4 3 4 2 2 2 2" xfId="41931" xr:uid="{79A1B2F4-0D11-4C6B-9C76-7FA8296FAC5A}"/>
    <cellStyle name="Normal 5 2 4 3 4 2 2 3" xfId="16628" xr:uid="{00000000-0005-0000-0000-00003A490000}"/>
    <cellStyle name="Normal 5 2 4 3 4 2 2 4" xfId="33497" xr:uid="{C4542637-FC64-4CB1-A002-7027B5B17AC9}"/>
    <cellStyle name="Normal 5 2 4 3 4 2 3" xfId="20845" xr:uid="{00000000-0005-0000-0000-00003B490000}"/>
    <cellStyle name="Normal 5 2 4 3 4 2 3 2" xfId="37714" xr:uid="{697BA0EF-BD4E-4F99-B3CE-BD1537DF5758}"/>
    <cellStyle name="Normal 5 2 4 3 4 2 4" xfId="12410" xr:uid="{00000000-0005-0000-0000-00003C490000}"/>
    <cellStyle name="Normal 5 2 4 3 4 2 5" xfId="29280" xr:uid="{9E2246B6-E187-48C3-A330-FA0414AB6AF7}"/>
    <cellStyle name="Normal 5 2 4 3 4 3" xfId="6048" xr:uid="{00000000-0005-0000-0000-00003D490000}"/>
    <cellStyle name="Normal 5 2 4 3 4 3 2" xfId="22918" xr:uid="{00000000-0005-0000-0000-00003E490000}"/>
    <cellStyle name="Normal 5 2 4 3 4 3 2 2" xfId="39786" xr:uid="{674096EA-9B0F-4F89-A8FC-EF37F6181584}"/>
    <cellStyle name="Normal 5 2 4 3 4 3 3" xfId="14483" xr:uid="{00000000-0005-0000-0000-00003F490000}"/>
    <cellStyle name="Normal 5 2 4 3 4 3 4" xfId="31352" xr:uid="{81C9B568-FB04-4035-B386-C8484DE5C445}"/>
    <cellStyle name="Normal 5 2 4 3 4 4" xfId="18700" xr:uid="{00000000-0005-0000-0000-000040490000}"/>
    <cellStyle name="Normal 5 2 4 3 4 4 2" xfId="35569" xr:uid="{FBC7DBBF-D25B-4B7A-A581-09D28E989BEF}"/>
    <cellStyle name="Normal 5 2 4 3 4 5" xfId="10265" xr:uid="{00000000-0005-0000-0000-000041490000}"/>
    <cellStyle name="Normal 5 2 4 3 4 6" xfId="27135" xr:uid="{CB8EACE4-DE1C-4E46-A473-D34F16F79A00}"/>
    <cellStyle name="Normal 5 2 4 3 5" xfId="2154" xr:uid="{00000000-0005-0000-0000-000042490000}"/>
    <cellStyle name="Normal 5 2 4 3 5 2" xfId="4383" xr:uid="{00000000-0005-0000-0000-000043490000}"/>
    <cellStyle name="Normal 5 2 4 3 5 2 2" xfId="8606" xr:uid="{00000000-0005-0000-0000-000044490000}"/>
    <cellStyle name="Normal 5 2 4 3 5 2 2 2" xfId="25476" xr:uid="{00000000-0005-0000-0000-000045490000}"/>
    <cellStyle name="Normal 5 2 4 3 5 2 2 2 2" xfId="42344" xr:uid="{8427B06A-B671-45E8-85CF-43FD79EB1485}"/>
    <cellStyle name="Normal 5 2 4 3 5 2 2 3" xfId="17041" xr:uid="{00000000-0005-0000-0000-000046490000}"/>
    <cellStyle name="Normal 5 2 4 3 5 2 2 4" xfId="33910" xr:uid="{3EA5020A-E88F-4145-A9CE-C28AE2A768B0}"/>
    <cellStyle name="Normal 5 2 4 3 5 2 3" xfId="21258" xr:uid="{00000000-0005-0000-0000-000047490000}"/>
    <cellStyle name="Normal 5 2 4 3 5 2 3 2" xfId="38127" xr:uid="{1AA7F54C-7792-4FB2-98A7-1FCA39073F0D}"/>
    <cellStyle name="Normal 5 2 4 3 5 2 4" xfId="12823" xr:uid="{00000000-0005-0000-0000-000048490000}"/>
    <cellStyle name="Normal 5 2 4 3 5 2 5" xfId="29693" xr:uid="{4CCCB642-657A-4AF6-AE9C-90D32C4C0C35}"/>
    <cellStyle name="Normal 5 2 4 3 5 3" xfId="6461" xr:uid="{00000000-0005-0000-0000-000049490000}"/>
    <cellStyle name="Normal 5 2 4 3 5 3 2" xfId="23331" xr:uid="{00000000-0005-0000-0000-00004A490000}"/>
    <cellStyle name="Normal 5 2 4 3 5 3 2 2" xfId="40199" xr:uid="{291E7614-5A32-4EDA-88DD-EE3B39A3633A}"/>
    <cellStyle name="Normal 5 2 4 3 5 3 3" xfId="14896" xr:uid="{00000000-0005-0000-0000-00004B490000}"/>
    <cellStyle name="Normal 5 2 4 3 5 3 4" xfId="31765" xr:uid="{1ED51B73-5DC0-4FC6-8FEE-A494F1D09876}"/>
    <cellStyle name="Normal 5 2 4 3 5 4" xfId="19113" xr:uid="{00000000-0005-0000-0000-00004C490000}"/>
    <cellStyle name="Normal 5 2 4 3 5 4 2" xfId="35982" xr:uid="{F6C91330-2DD6-470E-A690-3F42E2325C1F}"/>
    <cellStyle name="Normal 5 2 4 3 5 5" xfId="10678" xr:uid="{00000000-0005-0000-0000-00004D490000}"/>
    <cellStyle name="Normal 5 2 4 3 5 6" xfId="27548" xr:uid="{A2D03C93-947E-424F-8B10-801D144A4E2E}"/>
    <cellStyle name="Normal 5 2 4 3 6" xfId="2590" xr:uid="{00000000-0005-0000-0000-00004E490000}"/>
    <cellStyle name="Normal 5 2 4 3 6 2" xfId="6874" xr:uid="{00000000-0005-0000-0000-00004F490000}"/>
    <cellStyle name="Normal 5 2 4 3 6 2 2" xfId="23744" xr:uid="{00000000-0005-0000-0000-000050490000}"/>
    <cellStyle name="Normal 5 2 4 3 6 2 2 2" xfId="40612" xr:uid="{E69F382F-4546-4187-B5BD-6CDAED3F0C0B}"/>
    <cellStyle name="Normal 5 2 4 3 6 2 3" xfId="15309" xr:uid="{00000000-0005-0000-0000-000051490000}"/>
    <cellStyle name="Normal 5 2 4 3 6 2 4" xfId="32178" xr:uid="{1A79C186-7DA1-4840-A0D6-41A2C813F596}"/>
    <cellStyle name="Normal 5 2 4 3 6 3" xfId="19526" xr:uid="{00000000-0005-0000-0000-000052490000}"/>
    <cellStyle name="Normal 5 2 4 3 6 3 2" xfId="36395" xr:uid="{8B067337-FDF6-4399-BDD1-120F513B289B}"/>
    <cellStyle name="Normal 5 2 4 3 6 4" xfId="11091" xr:uid="{00000000-0005-0000-0000-000053490000}"/>
    <cellStyle name="Normal 5 2 4 3 6 5" xfId="27961" xr:uid="{74A53C49-A7BE-4D79-80B1-1B678957B7DE}"/>
    <cellStyle name="Normal 5 2 4 3 7" xfId="4809" xr:uid="{00000000-0005-0000-0000-000054490000}"/>
    <cellStyle name="Normal 5 2 4 3 7 2" xfId="21679" xr:uid="{00000000-0005-0000-0000-000055490000}"/>
    <cellStyle name="Normal 5 2 4 3 7 2 2" xfId="38547" xr:uid="{6523A744-7180-4E38-A306-F4DD03A92AA1}"/>
    <cellStyle name="Normal 5 2 4 3 7 3" xfId="13244" xr:uid="{00000000-0005-0000-0000-000056490000}"/>
    <cellStyle name="Normal 5 2 4 3 7 4" xfId="30113" xr:uid="{CB1109B7-1C8E-434F-A3BD-3242D4D86473}"/>
    <cellStyle name="Normal 5 2 4 3 8" xfId="17461" xr:uid="{00000000-0005-0000-0000-000057490000}"/>
    <cellStyle name="Normal 5 2 4 3 8 2" xfId="34330" xr:uid="{3606F21F-6448-4F2F-B95E-08AF7429F32C}"/>
    <cellStyle name="Normal 5 2 4 3 9" xfId="9026" xr:uid="{00000000-0005-0000-0000-000058490000}"/>
    <cellStyle name="Normal 5 2 4 4" xfId="906" xr:uid="{00000000-0005-0000-0000-000059490000}"/>
    <cellStyle name="Normal 5 2 4 4 2" xfId="3141" xr:uid="{00000000-0005-0000-0000-00005A490000}"/>
    <cellStyle name="Normal 5 2 4 4 2 2" xfId="7364" xr:uid="{00000000-0005-0000-0000-00005B490000}"/>
    <cellStyle name="Normal 5 2 4 4 2 2 2" xfId="24234" xr:uid="{00000000-0005-0000-0000-00005C490000}"/>
    <cellStyle name="Normal 5 2 4 4 2 2 2 2" xfId="41102" xr:uid="{A3EBF5EA-BF08-470C-9A5C-86FC5DEAFF19}"/>
    <cellStyle name="Normal 5 2 4 4 2 2 3" xfId="15799" xr:uid="{00000000-0005-0000-0000-00005D490000}"/>
    <cellStyle name="Normal 5 2 4 4 2 2 4" xfId="32668" xr:uid="{CA24ED76-B075-4E56-93BF-E850C8DC7209}"/>
    <cellStyle name="Normal 5 2 4 4 2 3" xfId="20016" xr:uid="{00000000-0005-0000-0000-00005E490000}"/>
    <cellStyle name="Normal 5 2 4 4 2 3 2" xfId="36885" xr:uid="{30187E4F-D252-4A0E-97EA-3E32DF5549F7}"/>
    <cellStyle name="Normal 5 2 4 4 2 4" xfId="11581" xr:uid="{00000000-0005-0000-0000-00005F490000}"/>
    <cellStyle name="Normal 5 2 4 4 2 5" xfId="28451" xr:uid="{3B16DC08-5602-4F2A-96E0-F98453B49B7A}"/>
    <cellStyle name="Normal 5 2 4 4 3" xfId="5219" xr:uid="{00000000-0005-0000-0000-000060490000}"/>
    <cellStyle name="Normal 5 2 4 4 3 2" xfId="22089" xr:uid="{00000000-0005-0000-0000-000061490000}"/>
    <cellStyle name="Normal 5 2 4 4 3 2 2" xfId="38957" xr:uid="{1BF74FF1-0A80-480B-9610-04D0469B081A}"/>
    <cellStyle name="Normal 5 2 4 4 3 3" xfId="13654" xr:uid="{00000000-0005-0000-0000-000062490000}"/>
    <cellStyle name="Normal 5 2 4 4 3 4" xfId="30523" xr:uid="{501980C7-8B11-4DCE-99DB-771EAA70F78C}"/>
    <cellStyle name="Normal 5 2 4 4 4" xfId="17871" xr:uid="{00000000-0005-0000-0000-000063490000}"/>
    <cellStyle name="Normal 5 2 4 4 4 2" xfId="34740" xr:uid="{2EF29891-0A65-4F6A-812E-7D1055D86213}"/>
    <cellStyle name="Normal 5 2 4 4 5" xfId="9436" xr:uid="{00000000-0005-0000-0000-000064490000}"/>
    <cellStyle name="Normal 5 2 4 4 6" xfId="26306" xr:uid="{A081857A-A7FA-495A-8BBC-7F293FF33557}"/>
    <cellStyle name="Normal 5 2 4 5" xfId="1324" xr:uid="{00000000-0005-0000-0000-000065490000}"/>
    <cellStyle name="Normal 5 2 4 5 2" xfId="3554" xr:uid="{00000000-0005-0000-0000-000066490000}"/>
    <cellStyle name="Normal 5 2 4 5 2 2" xfId="7777" xr:uid="{00000000-0005-0000-0000-000067490000}"/>
    <cellStyle name="Normal 5 2 4 5 2 2 2" xfId="24647" xr:uid="{00000000-0005-0000-0000-000068490000}"/>
    <cellStyle name="Normal 5 2 4 5 2 2 2 2" xfId="41515" xr:uid="{4C2346EE-1097-4ED7-80BE-BADCA51D89C8}"/>
    <cellStyle name="Normal 5 2 4 5 2 2 3" xfId="16212" xr:uid="{00000000-0005-0000-0000-000069490000}"/>
    <cellStyle name="Normal 5 2 4 5 2 2 4" xfId="33081" xr:uid="{6D1CE934-BC9F-45BA-BB08-05D7197084EA}"/>
    <cellStyle name="Normal 5 2 4 5 2 3" xfId="20429" xr:uid="{00000000-0005-0000-0000-00006A490000}"/>
    <cellStyle name="Normal 5 2 4 5 2 3 2" xfId="37298" xr:uid="{3A31F3AB-882A-44DC-9E4D-FF69EDF0F865}"/>
    <cellStyle name="Normal 5 2 4 5 2 4" xfId="11994" xr:uid="{00000000-0005-0000-0000-00006B490000}"/>
    <cellStyle name="Normal 5 2 4 5 2 5" xfId="28864" xr:uid="{A8ACE56E-9332-4E2E-988E-B939B66C9231}"/>
    <cellStyle name="Normal 5 2 4 5 3" xfId="5632" xr:uid="{00000000-0005-0000-0000-00006C490000}"/>
    <cellStyle name="Normal 5 2 4 5 3 2" xfId="22502" xr:uid="{00000000-0005-0000-0000-00006D490000}"/>
    <cellStyle name="Normal 5 2 4 5 3 2 2" xfId="39370" xr:uid="{E83A2E3D-5C3B-493F-887E-F8FAAFD5F166}"/>
    <cellStyle name="Normal 5 2 4 5 3 3" xfId="14067" xr:uid="{00000000-0005-0000-0000-00006E490000}"/>
    <cellStyle name="Normal 5 2 4 5 3 4" xfId="30936" xr:uid="{F7EA3A5A-6C99-488D-A5F3-7C392430C314}"/>
    <cellStyle name="Normal 5 2 4 5 4" xfId="18284" xr:uid="{00000000-0005-0000-0000-00006F490000}"/>
    <cellStyle name="Normal 5 2 4 5 4 2" xfId="35153" xr:uid="{96F93379-A61C-4DF3-BB81-16BFFEA7F518}"/>
    <cellStyle name="Normal 5 2 4 5 5" xfId="9849" xr:uid="{00000000-0005-0000-0000-000070490000}"/>
    <cellStyle name="Normal 5 2 4 5 6" xfId="26719" xr:uid="{DCCC8A96-6847-49C8-84CB-94B287D37009}"/>
    <cellStyle name="Normal 5 2 4 6" xfId="1737" xr:uid="{00000000-0005-0000-0000-000071490000}"/>
    <cellStyle name="Normal 5 2 4 6 2" xfId="3967" xr:uid="{00000000-0005-0000-0000-000072490000}"/>
    <cellStyle name="Normal 5 2 4 6 2 2" xfId="8190" xr:uid="{00000000-0005-0000-0000-000073490000}"/>
    <cellStyle name="Normal 5 2 4 6 2 2 2" xfId="25060" xr:uid="{00000000-0005-0000-0000-000074490000}"/>
    <cellStyle name="Normal 5 2 4 6 2 2 2 2" xfId="41928" xr:uid="{3EC2D3E9-8B88-42C5-BBE0-868CAC4EB343}"/>
    <cellStyle name="Normal 5 2 4 6 2 2 3" xfId="16625" xr:uid="{00000000-0005-0000-0000-000075490000}"/>
    <cellStyle name="Normal 5 2 4 6 2 2 4" xfId="33494" xr:uid="{F1D6F7FA-1AAC-46BB-8370-BFE561790F1C}"/>
    <cellStyle name="Normal 5 2 4 6 2 3" xfId="20842" xr:uid="{00000000-0005-0000-0000-000076490000}"/>
    <cellStyle name="Normal 5 2 4 6 2 3 2" xfId="37711" xr:uid="{BBD03344-3082-4B54-ACBE-00209532087C}"/>
    <cellStyle name="Normal 5 2 4 6 2 4" xfId="12407" xr:uid="{00000000-0005-0000-0000-000077490000}"/>
    <cellStyle name="Normal 5 2 4 6 2 5" xfId="29277" xr:uid="{65BBC458-EDCB-4388-A354-6258D0B5AE16}"/>
    <cellStyle name="Normal 5 2 4 6 3" xfId="6045" xr:uid="{00000000-0005-0000-0000-000078490000}"/>
    <cellStyle name="Normal 5 2 4 6 3 2" xfId="22915" xr:uid="{00000000-0005-0000-0000-000079490000}"/>
    <cellStyle name="Normal 5 2 4 6 3 2 2" xfId="39783" xr:uid="{EBA4AF3A-2159-4D2F-BB14-B378E197F2CE}"/>
    <cellStyle name="Normal 5 2 4 6 3 3" xfId="14480" xr:uid="{00000000-0005-0000-0000-00007A490000}"/>
    <cellStyle name="Normal 5 2 4 6 3 4" xfId="31349" xr:uid="{50E42674-9BD9-4F4C-846D-FC23B5F8B915}"/>
    <cellStyle name="Normal 5 2 4 6 4" xfId="18697" xr:uid="{00000000-0005-0000-0000-00007B490000}"/>
    <cellStyle name="Normal 5 2 4 6 4 2" xfId="35566" xr:uid="{5DEDE1C7-330F-48E2-85BF-2895820C7EA8}"/>
    <cellStyle name="Normal 5 2 4 6 5" xfId="10262" xr:uid="{00000000-0005-0000-0000-00007C490000}"/>
    <cellStyle name="Normal 5 2 4 6 6" xfId="27132" xr:uid="{A36E59B1-03A8-4064-B4EA-E0A7310D6D9A}"/>
    <cellStyle name="Normal 5 2 4 7" xfId="2151" xr:uid="{00000000-0005-0000-0000-00007D490000}"/>
    <cellStyle name="Normal 5 2 4 7 2" xfId="4380" xr:uid="{00000000-0005-0000-0000-00007E490000}"/>
    <cellStyle name="Normal 5 2 4 7 2 2" xfId="8603" xr:uid="{00000000-0005-0000-0000-00007F490000}"/>
    <cellStyle name="Normal 5 2 4 7 2 2 2" xfId="25473" xr:uid="{00000000-0005-0000-0000-000080490000}"/>
    <cellStyle name="Normal 5 2 4 7 2 2 2 2" xfId="42341" xr:uid="{63FA3A38-3607-4EE5-8336-8626B1DC587C}"/>
    <cellStyle name="Normal 5 2 4 7 2 2 3" xfId="17038" xr:uid="{00000000-0005-0000-0000-000081490000}"/>
    <cellStyle name="Normal 5 2 4 7 2 2 4" xfId="33907" xr:uid="{F41A0254-6863-4ACE-9E3C-730093182180}"/>
    <cellStyle name="Normal 5 2 4 7 2 3" xfId="21255" xr:uid="{00000000-0005-0000-0000-000082490000}"/>
    <cellStyle name="Normal 5 2 4 7 2 3 2" xfId="38124" xr:uid="{90B40C5A-BD09-4909-BEC5-226C16B6E206}"/>
    <cellStyle name="Normal 5 2 4 7 2 4" xfId="12820" xr:uid="{00000000-0005-0000-0000-000083490000}"/>
    <cellStyle name="Normal 5 2 4 7 2 5" xfId="29690" xr:uid="{5754ABC9-715C-49D2-8FB4-67749E2764DE}"/>
    <cellStyle name="Normal 5 2 4 7 3" xfId="6458" xr:uid="{00000000-0005-0000-0000-000084490000}"/>
    <cellStyle name="Normal 5 2 4 7 3 2" xfId="23328" xr:uid="{00000000-0005-0000-0000-000085490000}"/>
    <cellStyle name="Normal 5 2 4 7 3 2 2" xfId="40196" xr:uid="{CB53F57D-90D2-4B9B-9567-86668783135D}"/>
    <cellStyle name="Normal 5 2 4 7 3 3" xfId="14893" xr:uid="{00000000-0005-0000-0000-000086490000}"/>
    <cellStyle name="Normal 5 2 4 7 3 4" xfId="31762" xr:uid="{7E948664-D091-4AA3-9697-BD73381DC001}"/>
    <cellStyle name="Normal 5 2 4 7 4" xfId="19110" xr:uid="{00000000-0005-0000-0000-000087490000}"/>
    <cellStyle name="Normal 5 2 4 7 4 2" xfId="35979" xr:uid="{E00FCCE5-70D9-44C7-93DA-7706BA39E639}"/>
    <cellStyle name="Normal 5 2 4 7 5" xfId="10675" xr:uid="{00000000-0005-0000-0000-000088490000}"/>
    <cellStyle name="Normal 5 2 4 7 6" xfId="27545" xr:uid="{EC11D668-98FF-4E56-AFBD-E5DFC3026252}"/>
    <cellStyle name="Normal 5 2 4 8" xfId="2587" xr:uid="{00000000-0005-0000-0000-000089490000}"/>
    <cellStyle name="Normal 5 2 4 8 2" xfId="6871" xr:uid="{00000000-0005-0000-0000-00008A490000}"/>
    <cellStyle name="Normal 5 2 4 8 2 2" xfId="23741" xr:uid="{00000000-0005-0000-0000-00008B490000}"/>
    <cellStyle name="Normal 5 2 4 8 2 2 2" xfId="40609" xr:uid="{C039D4A2-DEA4-4C5E-B48D-AFE46C883B98}"/>
    <cellStyle name="Normal 5 2 4 8 2 3" xfId="15306" xr:uid="{00000000-0005-0000-0000-00008C490000}"/>
    <cellStyle name="Normal 5 2 4 8 2 4" xfId="32175" xr:uid="{15B42596-133C-4434-94DC-F58C15C3AF76}"/>
    <cellStyle name="Normal 5 2 4 8 3" xfId="19523" xr:uid="{00000000-0005-0000-0000-00008D490000}"/>
    <cellStyle name="Normal 5 2 4 8 3 2" xfId="36392" xr:uid="{B733D98A-37F3-4541-ADB7-6A44B0080DE8}"/>
    <cellStyle name="Normal 5 2 4 8 4" xfId="11088" xr:uid="{00000000-0005-0000-0000-00008E490000}"/>
    <cellStyle name="Normal 5 2 4 8 5" xfId="27958" xr:uid="{5C791D85-B258-470E-8044-38B98C812A91}"/>
    <cellStyle name="Normal 5 2 4 9" xfId="4806" xr:uid="{00000000-0005-0000-0000-00008F490000}"/>
    <cellStyle name="Normal 5 2 4 9 2" xfId="21676" xr:uid="{00000000-0005-0000-0000-000090490000}"/>
    <cellStyle name="Normal 5 2 4 9 2 2" xfId="38544" xr:uid="{A0579772-5EC7-455E-98EB-9E963E778E9B}"/>
    <cellStyle name="Normal 5 2 4 9 3" xfId="13241" xr:uid="{00000000-0005-0000-0000-000091490000}"/>
    <cellStyle name="Normal 5 2 4 9 4" xfId="30110" xr:uid="{FEC05A3D-D5B1-4B88-8751-BBB0AA38DD03}"/>
    <cellStyle name="Normal 5 2 5" xfId="436" xr:uid="{00000000-0005-0000-0000-000092490000}"/>
    <cellStyle name="Normal 5 2 5 10" xfId="9027" xr:uid="{00000000-0005-0000-0000-000093490000}"/>
    <cellStyle name="Normal 5 2 5 11" xfId="25897" xr:uid="{A56DC15C-E2B4-4CE8-80E3-A8618E1AABE9}"/>
    <cellStyle name="Normal 5 2 5 2" xfId="437" xr:uid="{00000000-0005-0000-0000-000094490000}"/>
    <cellStyle name="Normal 5 2 5 2 10" xfId="25898" xr:uid="{EBFF8CE9-7DD8-4123-88A7-73D5F7C7FA97}"/>
    <cellStyle name="Normal 5 2 5 2 2" xfId="911" xr:uid="{00000000-0005-0000-0000-000095490000}"/>
    <cellStyle name="Normal 5 2 5 2 2 2" xfId="3146" xr:uid="{00000000-0005-0000-0000-000096490000}"/>
    <cellStyle name="Normal 5 2 5 2 2 2 2" xfId="7369" xr:uid="{00000000-0005-0000-0000-000097490000}"/>
    <cellStyle name="Normal 5 2 5 2 2 2 2 2" xfId="24239" xr:uid="{00000000-0005-0000-0000-000098490000}"/>
    <cellStyle name="Normal 5 2 5 2 2 2 2 2 2" xfId="41107" xr:uid="{86DEE7B2-7827-4E68-AADC-1412673D698E}"/>
    <cellStyle name="Normal 5 2 5 2 2 2 2 3" xfId="15804" xr:uid="{00000000-0005-0000-0000-000099490000}"/>
    <cellStyle name="Normal 5 2 5 2 2 2 2 4" xfId="32673" xr:uid="{BBF33A0A-5505-4718-B881-605878349B89}"/>
    <cellStyle name="Normal 5 2 5 2 2 2 3" xfId="20021" xr:uid="{00000000-0005-0000-0000-00009A490000}"/>
    <cellStyle name="Normal 5 2 5 2 2 2 3 2" xfId="36890" xr:uid="{F38EB7B6-EDD4-4533-B40D-9EF4015A1DA5}"/>
    <cellStyle name="Normal 5 2 5 2 2 2 4" xfId="11586" xr:uid="{00000000-0005-0000-0000-00009B490000}"/>
    <cellStyle name="Normal 5 2 5 2 2 2 5" xfId="28456" xr:uid="{25E7EEC9-3D1C-4183-BE0F-CDBAB9F98438}"/>
    <cellStyle name="Normal 5 2 5 2 2 3" xfId="5224" xr:uid="{00000000-0005-0000-0000-00009C490000}"/>
    <cellStyle name="Normal 5 2 5 2 2 3 2" xfId="22094" xr:uid="{00000000-0005-0000-0000-00009D490000}"/>
    <cellStyle name="Normal 5 2 5 2 2 3 2 2" xfId="38962" xr:uid="{08D38988-842A-49E7-80D6-7F2A626CE13A}"/>
    <cellStyle name="Normal 5 2 5 2 2 3 3" xfId="13659" xr:uid="{00000000-0005-0000-0000-00009E490000}"/>
    <cellStyle name="Normal 5 2 5 2 2 3 4" xfId="30528" xr:uid="{6ACCCCEE-38BA-4969-BE5E-EDF9B8C18281}"/>
    <cellStyle name="Normal 5 2 5 2 2 4" xfId="17876" xr:uid="{00000000-0005-0000-0000-00009F490000}"/>
    <cellStyle name="Normal 5 2 5 2 2 4 2" xfId="34745" xr:uid="{9D46FECD-883C-4CB1-822A-B168E5575189}"/>
    <cellStyle name="Normal 5 2 5 2 2 5" xfId="9441" xr:uid="{00000000-0005-0000-0000-0000A0490000}"/>
    <cellStyle name="Normal 5 2 5 2 2 6" xfId="26311" xr:uid="{4C31CAA9-18B6-450C-A261-284501AEC006}"/>
    <cellStyle name="Normal 5 2 5 2 3" xfId="1329" xr:uid="{00000000-0005-0000-0000-0000A1490000}"/>
    <cellStyle name="Normal 5 2 5 2 3 2" xfId="3559" xr:uid="{00000000-0005-0000-0000-0000A2490000}"/>
    <cellStyle name="Normal 5 2 5 2 3 2 2" xfId="7782" xr:uid="{00000000-0005-0000-0000-0000A3490000}"/>
    <cellStyle name="Normal 5 2 5 2 3 2 2 2" xfId="24652" xr:uid="{00000000-0005-0000-0000-0000A4490000}"/>
    <cellStyle name="Normal 5 2 5 2 3 2 2 2 2" xfId="41520" xr:uid="{D6BEB397-0B63-4209-9E14-8C771356EA9D}"/>
    <cellStyle name="Normal 5 2 5 2 3 2 2 3" xfId="16217" xr:uid="{00000000-0005-0000-0000-0000A5490000}"/>
    <cellStyle name="Normal 5 2 5 2 3 2 2 4" xfId="33086" xr:uid="{402730FB-43B7-4F16-BD7A-B73EF69868CC}"/>
    <cellStyle name="Normal 5 2 5 2 3 2 3" xfId="20434" xr:uid="{00000000-0005-0000-0000-0000A6490000}"/>
    <cellStyle name="Normal 5 2 5 2 3 2 3 2" xfId="37303" xr:uid="{58E5144F-FB56-4908-A9EF-B2F3A6B27DA0}"/>
    <cellStyle name="Normal 5 2 5 2 3 2 4" xfId="11999" xr:uid="{00000000-0005-0000-0000-0000A7490000}"/>
    <cellStyle name="Normal 5 2 5 2 3 2 5" xfId="28869" xr:uid="{83B360E0-27A8-46EC-B65E-5A0509349D35}"/>
    <cellStyle name="Normal 5 2 5 2 3 3" xfId="5637" xr:uid="{00000000-0005-0000-0000-0000A8490000}"/>
    <cellStyle name="Normal 5 2 5 2 3 3 2" xfId="22507" xr:uid="{00000000-0005-0000-0000-0000A9490000}"/>
    <cellStyle name="Normal 5 2 5 2 3 3 2 2" xfId="39375" xr:uid="{FB9590E9-4CA1-4A61-B8C1-F6DE66DA089A}"/>
    <cellStyle name="Normal 5 2 5 2 3 3 3" xfId="14072" xr:uid="{00000000-0005-0000-0000-0000AA490000}"/>
    <cellStyle name="Normal 5 2 5 2 3 3 4" xfId="30941" xr:uid="{334D13C8-C92D-4142-99B7-1AC51EF1C508}"/>
    <cellStyle name="Normal 5 2 5 2 3 4" xfId="18289" xr:uid="{00000000-0005-0000-0000-0000AB490000}"/>
    <cellStyle name="Normal 5 2 5 2 3 4 2" xfId="35158" xr:uid="{35468B8D-AFB5-493F-9B5F-723693F236CD}"/>
    <cellStyle name="Normal 5 2 5 2 3 5" xfId="9854" xr:uid="{00000000-0005-0000-0000-0000AC490000}"/>
    <cellStyle name="Normal 5 2 5 2 3 6" xfId="26724" xr:uid="{952E4437-EFB0-449F-A8C8-EA26FD880DDA}"/>
    <cellStyle name="Normal 5 2 5 2 4" xfId="1742" xr:uid="{00000000-0005-0000-0000-0000AD490000}"/>
    <cellStyle name="Normal 5 2 5 2 4 2" xfId="3972" xr:uid="{00000000-0005-0000-0000-0000AE490000}"/>
    <cellStyle name="Normal 5 2 5 2 4 2 2" xfId="8195" xr:uid="{00000000-0005-0000-0000-0000AF490000}"/>
    <cellStyle name="Normal 5 2 5 2 4 2 2 2" xfId="25065" xr:uid="{00000000-0005-0000-0000-0000B0490000}"/>
    <cellStyle name="Normal 5 2 5 2 4 2 2 2 2" xfId="41933" xr:uid="{F43373B8-C2B7-4C64-B169-C23527ED4FF6}"/>
    <cellStyle name="Normal 5 2 5 2 4 2 2 3" xfId="16630" xr:uid="{00000000-0005-0000-0000-0000B1490000}"/>
    <cellStyle name="Normal 5 2 5 2 4 2 2 4" xfId="33499" xr:uid="{6C65AEDF-7DF0-4FBB-8B3B-5B13511301A9}"/>
    <cellStyle name="Normal 5 2 5 2 4 2 3" xfId="20847" xr:uid="{00000000-0005-0000-0000-0000B2490000}"/>
    <cellStyle name="Normal 5 2 5 2 4 2 3 2" xfId="37716" xr:uid="{E5B2DA54-EEEA-415C-A82F-E59C0DE90953}"/>
    <cellStyle name="Normal 5 2 5 2 4 2 4" xfId="12412" xr:uid="{00000000-0005-0000-0000-0000B3490000}"/>
    <cellStyle name="Normal 5 2 5 2 4 2 5" xfId="29282" xr:uid="{DC3B1704-FC6E-4A7C-B506-C17878A17063}"/>
    <cellStyle name="Normal 5 2 5 2 4 3" xfId="6050" xr:uid="{00000000-0005-0000-0000-0000B4490000}"/>
    <cellStyle name="Normal 5 2 5 2 4 3 2" xfId="22920" xr:uid="{00000000-0005-0000-0000-0000B5490000}"/>
    <cellStyle name="Normal 5 2 5 2 4 3 2 2" xfId="39788" xr:uid="{604AA59D-0840-42F9-80C7-81E8FBFBC2DB}"/>
    <cellStyle name="Normal 5 2 5 2 4 3 3" xfId="14485" xr:uid="{00000000-0005-0000-0000-0000B6490000}"/>
    <cellStyle name="Normal 5 2 5 2 4 3 4" xfId="31354" xr:uid="{0060A35E-F57D-47A3-A6A2-72A59D5FC391}"/>
    <cellStyle name="Normal 5 2 5 2 4 4" xfId="18702" xr:uid="{00000000-0005-0000-0000-0000B7490000}"/>
    <cellStyle name="Normal 5 2 5 2 4 4 2" xfId="35571" xr:uid="{737DE7E5-CCB1-487D-8EE2-CC89DAE139B1}"/>
    <cellStyle name="Normal 5 2 5 2 4 5" xfId="10267" xr:uid="{00000000-0005-0000-0000-0000B8490000}"/>
    <cellStyle name="Normal 5 2 5 2 4 6" xfId="27137" xr:uid="{5A07AE4B-74B5-4EB8-ACE3-C8EBA11FDFFF}"/>
    <cellStyle name="Normal 5 2 5 2 5" xfId="2156" xr:uid="{00000000-0005-0000-0000-0000B9490000}"/>
    <cellStyle name="Normal 5 2 5 2 5 2" xfId="4385" xr:uid="{00000000-0005-0000-0000-0000BA490000}"/>
    <cellStyle name="Normal 5 2 5 2 5 2 2" xfId="8608" xr:uid="{00000000-0005-0000-0000-0000BB490000}"/>
    <cellStyle name="Normal 5 2 5 2 5 2 2 2" xfId="25478" xr:uid="{00000000-0005-0000-0000-0000BC490000}"/>
    <cellStyle name="Normal 5 2 5 2 5 2 2 2 2" xfId="42346" xr:uid="{526D0910-3A2F-47F8-A5EF-A1FA7759AA4C}"/>
    <cellStyle name="Normal 5 2 5 2 5 2 2 3" xfId="17043" xr:uid="{00000000-0005-0000-0000-0000BD490000}"/>
    <cellStyle name="Normal 5 2 5 2 5 2 2 4" xfId="33912" xr:uid="{E7EC6518-0280-452F-BA9F-00C0E8E874D1}"/>
    <cellStyle name="Normal 5 2 5 2 5 2 3" xfId="21260" xr:uid="{00000000-0005-0000-0000-0000BE490000}"/>
    <cellStyle name="Normal 5 2 5 2 5 2 3 2" xfId="38129" xr:uid="{4C95E598-F816-47E2-80E8-07D8F78F9046}"/>
    <cellStyle name="Normal 5 2 5 2 5 2 4" xfId="12825" xr:uid="{00000000-0005-0000-0000-0000BF490000}"/>
    <cellStyle name="Normal 5 2 5 2 5 2 5" xfId="29695" xr:uid="{E17498A8-A4C0-44E7-9F72-4507CD5C440D}"/>
    <cellStyle name="Normal 5 2 5 2 5 3" xfId="6463" xr:uid="{00000000-0005-0000-0000-0000C0490000}"/>
    <cellStyle name="Normal 5 2 5 2 5 3 2" xfId="23333" xr:uid="{00000000-0005-0000-0000-0000C1490000}"/>
    <cellStyle name="Normal 5 2 5 2 5 3 2 2" xfId="40201" xr:uid="{D72474D8-D584-4CB1-87F3-97C3899A2DC1}"/>
    <cellStyle name="Normal 5 2 5 2 5 3 3" xfId="14898" xr:uid="{00000000-0005-0000-0000-0000C2490000}"/>
    <cellStyle name="Normal 5 2 5 2 5 3 4" xfId="31767" xr:uid="{E51A26C0-C336-4AA1-B599-6F88B1F8DE59}"/>
    <cellStyle name="Normal 5 2 5 2 5 4" xfId="19115" xr:uid="{00000000-0005-0000-0000-0000C3490000}"/>
    <cellStyle name="Normal 5 2 5 2 5 4 2" xfId="35984" xr:uid="{E55A9BE4-78B6-4700-839D-92362FE1035D}"/>
    <cellStyle name="Normal 5 2 5 2 5 5" xfId="10680" xr:uid="{00000000-0005-0000-0000-0000C4490000}"/>
    <cellStyle name="Normal 5 2 5 2 5 6" xfId="27550" xr:uid="{6D5EF80D-EE2F-4A6A-8D32-123C6C04D644}"/>
    <cellStyle name="Normal 5 2 5 2 6" xfId="2592" xr:uid="{00000000-0005-0000-0000-0000C5490000}"/>
    <cellStyle name="Normal 5 2 5 2 6 2" xfId="6876" xr:uid="{00000000-0005-0000-0000-0000C6490000}"/>
    <cellStyle name="Normal 5 2 5 2 6 2 2" xfId="23746" xr:uid="{00000000-0005-0000-0000-0000C7490000}"/>
    <cellStyle name="Normal 5 2 5 2 6 2 2 2" xfId="40614" xr:uid="{DB99EBFD-09E0-4EFC-B1A5-4949B987A226}"/>
    <cellStyle name="Normal 5 2 5 2 6 2 3" xfId="15311" xr:uid="{00000000-0005-0000-0000-0000C8490000}"/>
    <cellStyle name="Normal 5 2 5 2 6 2 4" xfId="32180" xr:uid="{C911EF2F-22B5-4999-BD49-6863A5045D4F}"/>
    <cellStyle name="Normal 5 2 5 2 6 3" xfId="19528" xr:uid="{00000000-0005-0000-0000-0000C9490000}"/>
    <cellStyle name="Normal 5 2 5 2 6 3 2" xfId="36397" xr:uid="{7B348630-4151-4D11-B6EE-2925C485905D}"/>
    <cellStyle name="Normal 5 2 5 2 6 4" xfId="11093" xr:uid="{00000000-0005-0000-0000-0000CA490000}"/>
    <cellStyle name="Normal 5 2 5 2 6 5" xfId="27963" xr:uid="{0D0D2A76-CC3F-4F0B-AD1D-A3C119FFA71B}"/>
    <cellStyle name="Normal 5 2 5 2 7" xfId="4811" xr:uid="{00000000-0005-0000-0000-0000CB490000}"/>
    <cellStyle name="Normal 5 2 5 2 7 2" xfId="21681" xr:uid="{00000000-0005-0000-0000-0000CC490000}"/>
    <cellStyle name="Normal 5 2 5 2 7 2 2" xfId="38549" xr:uid="{1E62310E-1A26-443B-8DE6-4E15BC49B28D}"/>
    <cellStyle name="Normal 5 2 5 2 7 3" xfId="13246" xr:uid="{00000000-0005-0000-0000-0000CD490000}"/>
    <cellStyle name="Normal 5 2 5 2 7 4" xfId="30115" xr:uid="{35BA4BA1-4CE4-42EB-A46D-BF6F68BE91D3}"/>
    <cellStyle name="Normal 5 2 5 2 8" xfId="17463" xr:uid="{00000000-0005-0000-0000-0000CE490000}"/>
    <cellStyle name="Normal 5 2 5 2 8 2" xfId="34332" xr:uid="{A0130B93-3098-4906-AC47-00E3C95F1C96}"/>
    <cellStyle name="Normal 5 2 5 2 9" xfId="9028" xr:uid="{00000000-0005-0000-0000-0000CF490000}"/>
    <cellStyle name="Normal 5 2 5 3" xfId="910" xr:uid="{00000000-0005-0000-0000-0000D0490000}"/>
    <cellStyle name="Normal 5 2 5 3 2" xfId="3145" xr:uid="{00000000-0005-0000-0000-0000D1490000}"/>
    <cellStyle name="Normal 5 2 5 3 2 2" xfId="7368" xr:uid="{00000000-0005-0000-0000-0000D2490000}"/>
    <cellStyle name="Normal 5 2 5 3 2 2 2" xfId="24238" xr:uid="{00000000-0005-0000-0000-0000D3490000}"/>
    <cellStyle name="Normal 5 2 5 3 2 2 2 2" xfId="41106" xr:uid="{A016D969-A1E5-413D-BD63-7EE6F5BEC396}"/>
    <cellStyle name="Normal 5 2 5 3 2 2 3" xfId="15803" xr:uid="{00000000-0005-0000-0000-0000D4490000}"/>
    <cellStyle name="Normal 5 2 5 3 2 2 4" xfId="32672" xr:uid="{92A1D6B6-C854-4DEB-8AE3-99D34F3547F4}"/>
    <cellStyle name="Normal 5 2 5 3 2 3" xfId="20020" xr:uid="{00000000-0005-0000-0000-0000D5490000}"/>
    <cellStyle name="Normal 5 2 5 3 2 3 2" xfId="36889" xr:uid="{D7CA21E0-6D6B-4C5A-95E3-0B390BF367B8}"/>
    <cellStyle name="Normal 5 2 5 3 2 4" xfId="11585" xr:uid="{00000000-0005-0000-0000-0000D6490000}"/>
    <cellStyle name="Normal 5 2 5 3 2 5" xfId="28455" xr:uid="{768CD73A-A8A3-421E-8535-E9D1C87D6E6B}"/>
    <cellStyle name="Normal 5 2 5 3 3" xfId="5223" xr:uid="{00000000-0005-0000-0000-0000D7490000}"/>
    <cellStyle name="Normal 5 2 5 3 3 2" xfId="22093" xr:uid="{00000000-0005-0000-0000-0000D8490000}"/>
    <cellStyle name="Normal 5 2 5 3 3 2 2" xfId="38961" xr:uid="{CA8AF735-E6EE-4FA7-8994-3A7B59F4597C}"/>
    <cellStyle name="Normal 5 2 5 3 3 3" xfId="13658" xr:uid="{00000000-0005-0000-0000-0000D9490000}"/>
    <cellStyle name="Normal 5 2 5 3 3 4" xfId="30527" xr:uid="{9AA27829-7EA1-4334-A046-7526BDBB8FBB}"/>
    <cellStyle name="Normal 5 2 5 3 4" xfId="17875" xr:uid="{00000000-0005-0000-0000-0000DA490000}"/>
    <cellStyle name="Normal 5 2 5 3 4 2" xfId="34744" xr:uid="{0707BB2F-88B8-4A26-A433-3B425F6CF876}"/>
    <cellStyle name="Normal 5 2 5 3 5" xfId="9440" xr:uid="{00000000-0005-0000-0000-0000DB490000}"/>
    <cellStyle name="Normal 5 2 5 3 6" xfId="26310" xr:uid="{24396B97-8B5F-458A-A15E-70D8D0E062C6}"/>
    <cellStyle name="Normal 5 2 5 4" xfId="1328" xr:uid="{00000000-0005-0000-0000-0000DC490000}"/>
    <cellStyle name="Normal 5 2 5 4 2" xfId="3558" xr:uid="{00000000-0005-0000-0000-0000DD490000}"/>
    <cellStyle name="Normal 5 2 5 4 2 2" xfId="7781" xr:uid="{00000000-0005-0000-0000-0000DE490000}"/>
    <cellStyle name="Normal 5 2 5 4 2 2 2" xfId="24651" xr:uid="{00000000-0005-0000-0000-0000DF490000}"/>
    <cellStyle name="Normal 5 2 5 4 2 2 2 2" xfId="41519" xr:uid="{C1716409-EF91-4A61-8817-DA5148570760}"/>
    <cellStyle name="Normal 5 2 5 4 2 2 3" xfId="16216" xr:uid="{00000000-0005-0000-0000-0000E0490000}"/>
    <cellStyle name="Normal 5 2 5 4 2 2 4" xfId="33085" xr:uid="{DF8B1B90-10D4-4748-9958-CA11EBAC5688}"/>
    <cellStyle name="Normal 5 2 5 4 2 3" xfId="20433" xr:uid="{00000000-0005-0000-0000-0000E1490000}"/>
    <cellStyle name="Normal 5 2 5 4 2 3 2" xfId="37302" xr:uid="{F1027D24-7DF7-4FCC-B780-D8EC23085515}"/>
    <cellStyle name="Normal 5 2 5 4 2 4" xfId="11998" xr:uid="{00000000-0005-0000-0000-0000E2490000}"/>
    <cellStyle name="Normal 5 2 5 4 2 5" xfId="28868" xr:uid="{02437B4E-5939-4106-8F21-C7B6FFF0B3B4}"/>
    <cellStyle name="Normal 5 2 5 4 3" xfId="5636" xr:uid="{00000000-0005-0000-0000-0000E3490000}"/>
    <cellStyle name="Normal 5 2 5 4 3 2" xfId="22506" xr:uid="{00000000-0005-0000-0000-0000E4490000}"/>
    <cellStyle name="Normal 5 2 5 4 3 2 2" xfId="39374" xr:uid="{ACD1B189-3FA2-4C1A-9054-D15F3487CF96}"/>
    <cellStyle name="Normal 5 2 5 4 3 3" xfId="14071" xr:uid="{00000000-0005-0000-0000-0000E5490000}"/>
    <cellStyle name="Normal 5 2 5 4 3 4" xfId="30940" xr:uid="{754CFDE7-5D9F-47FA-B759-9B7FB0033706}"/>
    <cellStyle name="Normal 5 2 5 4 4" xfId="18288" xr:uid="{00000000-0005-0000-0000-0000E6490000}"/>
    <cellStyle name="Normal 5 2 5 4 4 2" xfId="35157" xr:uid="{BCA7DCA7-8626-40FE-9B5B-3C8A78949602}"/>
    <cellStyle name="Normal 5 2 5 4 5" xfId="9853" xr:uid="{00000000-0005-0000-0000-0000E7490000}"/>
    <cellStyle name="Normal 5 2 5 4 6" xfId="26723" xr:uid="{7F663ADA-E5C4-4DD5-BEC4-32BBFF1824B9}"/>
    <cellStyle name="Normal 5 2 5 5" xfId="1741" xr:uid="{00000000-0005-0000-0000-0000E8490000}"/>
    <cellStyle name="Normal 5 2 5 5 2" xfId="3971" xr:uid="{00000000-0005-0000-0000-0000E9490000}"/>
    <cellStyle name="Normal 5 2 5 5 2 2" xfId="8194" xr:uid="{00000000-0005-0000-0000-0000EA490000}"/>
    <cellStyle name="Normal 5 2 5 5 2 2 2" xfId="25064" xr:uid="{00000000-0005-0000-0000-0000EB490000}"/>
    <cellStyle name="Normal 5 2 5 5 2 2 2 2" xfId="41932" xr:uid="{98C949DB-8DB0-4EDE-9D9C-D1BBA4CDDB49}"/>
    <cellStyle name="Normal 5 2 5 5 2 2 3" xfId="16629" xr:uid="{00000000-0005-0000-0000-0000EC490000}"/>
    <cellStyle name="Normal 5 2 5 5 2 2 4" xfId="33498" xr:uid="{36354D9A-3A47-4C87-A9FC-3131BAF45FEF}"/>
    <cellStyle name="Normal 5 2 5 5 2 3" xfId="20846" xr:uid="{00000000-0005-0000-0000-0000ED490000}"/>
    <cellStyle name="Normal 5 2 5 5 2 3 2" xfId="37715" xr:uid="{34B37A07-8C37-4FD5-A083-EE52B85E7706}"/>
    <cellStyle name="Normal 5 2 5 5 2 4" xfId="12411" xr:uid="{00000000-0005-0000-0000-0000EE490000}"/>
    <cellStyle name="Normal 5 2 5 5 2 5" xfId="29281" xr:uid="{F20B277B-6065-4FCE-93FB-550B19A64A2F}"/>
    <cellStyle name="Normal 5 2 5 5 3" xfId="6049" xr:uid="{00000000-0005-0000-0000-0000EF490000}"/>
    <cellStyle name="Normal 5 2 5 5 3 2" xfId="22919" xr:uid="{00000000-0005-0000-0000-0000F0490000}"/>
    <cellStyle name="Normal 5 2 5 5 3 2 2" xfId="39787" xr:uid="{E6B14112-0A71-45E3-B495-96C93A81399A}"/>
    <cellStyle name="Normal 5 2 5 5 3 3" xfId="14484" xr:uid="{00000000-0005-0000-0000-0000F1490000}"/>
    <cellStyle name="Normal 5 2 5 5 3 4" xfId="31353" xr:uid="{1B607C17-65BE-4F5D-9C4B-21F38E09E02F}"/>
    <cellStyle name="Normal 5 2 5 5 4" xfId="18701" xr:uid="{00000000-0005-0000-0000-0000F2490000}"/>
    <cellStyle name="Normal 5 2 5 5 4 2" xfId="35570" xr:uid="{96B29CE7-7B43-45D4-8101-992A6FFB5DF6}"/>
    <cellStyle name="Normal 5 2 5 5 5" xfId="10266" xr:uid="{00000000-0005-0000-0000-0000F3490000}"/>
    <cellStyle name="Normal 5 2 5 5 6" xfId="27136" xr:uid="{BACB2F22-2D47-400B-851C-71C94413A6C3}"/>
    <cellStyle name="Normal 5 2 5 6" xfId="2155" xr:uid="{00000000-0005-0000-0000-0000F4490000}"/>
    <cellStyle name="Normal 5 2 5 6 2" xfId="4384" xr:uid="{00000000-0005-0000-0000-0000F5490000}"/>
    <cellStyle name="Normal 5 2 5 6 2 2" xfId="8607" xr:uid="{00000000-0005-0000-0000-0000F6490000}"/>
    <cellStyle name="Normal 5 2 5 6 2 2 2" xfId="25477" xr:uid="{00000000-0005-0000-0000-0000F7490000}"/>
    <cellStyle name="Normal 5 2 5 6 2 2 2 2" xfId="42345" xr:uid="{81D5A86E-EC29-4F71-AD08-2B9FB0F59B03}"/>
    <cellStyle name="Normal 5 2 5 6 2 2 3" xfId="17042" xr:uid="{00000000-0005-0000-0000-0000F8490000}"/>
    <cellStyle name="Normal 5 2 5 6 2 2 4" xfId="33911" xr:uid="{CF9A7355-BEE0-4C85-BE4D-4EDA7F4D3268}"/>
    <cellStyle name="Normal 5 2 5 6 2 3" xfId="21259" xr:uid="{00000000-0005-0000-0000-0000F9490000}"/>
    <cellStyle name="Normal 5 2 5 6 2 3 2" xfId="38128" xr:uid="{1023493B-B3EC-4E6F-9988-7A7BE2E2EB18}"/>
    <cellStyle name="Normal 5 2 5 6 2 4" xfId="12824" xr:uid="{00000000-0005-0000-0000-0000FA490000}"/>
    <cellStyle name="Normal 5 2 5 6 2 5" xfId="29694" xr:uid="{C08736D8-98D7-4D87-AD3F-7189FCE8433A}"/>
    <cellStyle name="Normal 5 2 5 6 3" xfId="6462" xr:uid="{00000000-0005-0000-0000-0000FB490000}"/>
    <cellStyle name="Normal 5 2 5 6 3 2" xfId="23332" xr:uid="{00000000-0005-0000-0000-0000FC490000}"/>
    <cellStyle name="Normal 5 2 5 6 3 2 2" xfId="40200" xr:uid="{B597A7B2-CE93-4A4E-8E40-8782F391924B}"/>
    <cellStyle name="Normal 5 2 5 6 3 3" xfId="14897" xr:uid="{00000000-0005-0000-0000-0000FD490000}"/>
    <cellStyle name="Normal 5 2 5 6 3 4" xfId="31766" xr:uid="{E6CC1A5C-CF24-4383-9089-301856F366FB}"/>
    <cellStyle name="Normal 5 2 5 6 4" xfId="19114" xr:uid="{00000000-0005-0000-0000-0000FE490000}"/>
    <cellStyle name="Normal 5 2 5 6 4 2" xfId="35983" xr:uid="{AF5B9811-F3EF-47A9-A902-6CE042895B10}"/>
    <cellStyle name="Normal 5 2 5 6 5" xfId="10679" xr:uid="{00000000-0005-0000-0000-0000FF490000}"/>
    <cellStyle name="Normal 5 2 5 6 6" xfId="27549" xr:uid="{C7FA6E3C-B32A-4AA7-82F4-719A2F95F8BD}"/>
    <cellStyle name="Normal 5 2 5 7" xfId="2591" xr:uid="{00000000-0005-0000-0000-0000004A0000}"/>
    <cellStyle name="Normal 5 2 5 7 2" xfId="6875" xr:uid="{00000000-0005-0000-0000-0000014A0000}"/>
    <cellStyle name="Normal 5 2 5 7 2 2" xfId="23745" xr:uid="{00000000-0005-0000-0000-0000024A0000}"/>
    <cellStyle name="Normal 5 2 5 7 2 2 2" xfId="40613" xr:uid="{3007D15C-135D-412B-BD40-BE98A8039478}"/>
    <cellStyle name="Normal 5 2 5 7 2 3" xfId="15310" xr:uid="{00000000-0005-0000-0000-0000034A0000}"/>
    <cellStyle name="Normal 5 2 5 7 2 4" xfId="32179" xr:uid="{E39B4F69-6CE0-4216-933C-9A8BB3B5CE36}"/>
    <cellStyle name="Normal 5 2 5 7 3" xfId="19527" xr:uid="{00000000-0005-0000-0000-0000044A0000}"/>
    <cellStyle name="Normal 5 2 5 7 3 2" xfId="36396" xr:uid="{73B7AC49-6850-4279-BA56-15156EE3F32E}"/>
    <cellStyle name="Normal 5 2 5 7 4" xfId="11092" xr:uid="{00000000-0005-0000-0000-0000054A0000}"/>
    <cellStyle name="Normal 5 2 5 7 5" xfId="27962" xr:uid="{C728C3C8-4F57-422C-9993-994617012991}"/>
    <cellStyle name="Normal 5 2 5 8" xfId="4810" xr:uid="{00000000-0005-0000-0000-0000064A0000}"/>
    <cellStyle name="Normal 5 2 5 8 2" xfId="21680" xr:uid="{00000000-0005-0000-0000-0000074A0000}"/>
    <cellStyle name="Normal 5 2 5 8 2 2" xfId="38548" xr:uid="{0417DC58-5F18-404F-865F-46BA25342C14}"/>
    <cellStyle name="Normal 5 2 5 8 3" xfId="13245" xr:uid="{00000000-0005-0000-0000-0000084A0000}"/>
    <cellStyle name="Normal 5 2 5 8 4" xfId="30114" xr:uid="{735AB543-1AA4-44E4-AD48-98B45E30CE13}"/>
    <cellStyle name="Normal 5 2 5 9" xfId="17462" xr:uid="{00000000-0005-0000-0000-0000094A0000}"/>
    <cellStyle name="Normal 5 2 5 9 2" xfId="34331" xr:uid="{8B63013C-8342-4764-931D-E340E47853B5}"/>
    <cellStyle name="Normal 5 2 6" xfId="438" xr:uid="{00000000-0005-0000-0000-00000A4A0000}"/>
    <cellStyle name="Normal 5 2 6 10" xfId="25899" xr:uid="{9B2DCBFF-7728-4C1B-9B3B-F3082D65D697}"/>
    <cellStyle name="Normal 5 2 6 2" xfId="912" xr:uid="{00000000-0005-0000-0000-00000B4A0000}"/>
    <cellStyle name="Normal 5 2 6 2 2" xfId="3147" xr:uid="{00000000-0005-0000-0000-00000C4A0000}"/>
    <cellStyle name="Normal 5 2 6 2 2 2" xfId="7370" xr:uid="{00000000-0005-0000-0000-00000D4A0000}"/>
    <cellStyle name="Normal 5 2 6 2 2 2 2" xfId="24240" xr:uid="{00000000-0005-0000-0000-00000E4A0000}"/>
    <cellStyle name="Normal 5 2 6 2 2 2 2 2" xfId="41108" xr:uid="{65310020-B284-419D-95EB-D9C9B4C321F6}"/>
    <cellStyle name="Normal 5 2 6 2 2 2 3" xfId="15805" xr:uid="{00000000-0005-0000-0000-00000F4A0000}"/>
    <cellStyle name="Normal 5 2 6 2 2 2 4" xfId="32674" xr:uid="{BF1C9C9D-7420-4A02-8AE6-C147167C7DB4}"/>
    <cellStyle name="Normal 5 2 6 2 2 3" xfId="20022" xr:uid="{00000000-0005-0000-0000-0000104A0000}"/>
    <cellStyle name="Normal 5 2 6 2 2 3 2" xfId="36891" xr:uid="{84E31BA8-2D62-4822-B2EC-95D01A571526}"/>
    <cellStyle name="Normal 5 2 6 2 2 4" xfId="11587" xr:uid="{00000000-0005-0000-0000-0000114A0000}"/>
    <cellStyle name="Normal 5 2 6 2 2 5" xfId="28457" xr:uid="{8BA52DB7-C7F0-42B5-8AD0-3BA528205749}"/>
    <cellStyle name="Normal 5 2 6 2 3" xfId="5225" xr:uid="{00000000-0005-0000-0000-0000124A0000}"/>
    <cellStyle name="Normal 5 2 6 2 3 2" xfId="22095" xr:uid="{00000000-0005-0000-0000-0000134A0000}"/>
    <cellStyle name="Normal 5 2 6 2 3 2 2" xfId="38963" xr:uid="{C22C6226-66FA-4BF5-9CCE-9FAFA45A13CD}"/>
    <cellStyle name="Normal 5 2 6 2 3 3" xfId="13660" xr:uid="{00000000-0005-0000-0000-0000144A0000}"/>
    <cellStyle name="Normal 5 2 6 2 3 4" xfId="30529" xr:uid="{D4B82570-646B-4C33-B639-DA9C9E5A19D7}"/>
    <cellStyle name="Normal 5 2 6 2 4" xfId="17877" xr:uid="{00000000-0005-0000-0000-0000154A0000}"/>
    <cellStyle name="Normal 5 2 6 2 4 2" xfId="34746" xr:uid="{A2A44927-16F3-49A8-B19B-443D5E882D19}"/>
    <cellStyle name="Normal 5 2 6 2 5" xfId="9442" xr:uid="{00000000-0005-0000-0000-0000164A0000}"/>
    <cellStyle name="Normal 5 2 6 2 6" xfId="26312" xr:uid="{431B62A7-5534-445A-A95A-1EE1845B8152}"/>
    <cellStyle name="Normal 5 2 6 3" xfId="1330" xr:uid="{00000000-0005-0000-0000-0000174A0000}"/>
    <cellStyle name="Normal 5 2 6 3 2" xfId="3560" xr:uid="{00000000-0005-0000-0000-0000184A0000}"/>
    <cellStyle name="Normal 5 2 6 3 2 2" xfId="7783" xr:uid="{00000000-0005-0000-0000-0000194A0000}"/>
    <cellStyle name="Normal 5 2 6 3 2 2 2" xfId="24653" xr:uid="{00000000-0005-0000-0000-00001A4A0000}"/>
    <cellStyle name="Normal 5 2 6 3 2 2 2 2" xfId="41521" xr:uid="{F1984F24-C286-4CDB-B39A-C87CDF52A217}"/>
    <cellStyle name="Normal 5 2 6 3 2 2 3" xfId="16218" xr:uid="{00000000-0005-0000-0000-00001B4A0000}"/>
    <cellStyle name="Normal 5 2 6 3 2 2 4" xfId="33087" xr:uid="{91A1DA42-0E23-43A4-AB2C-FA2385DC12B4}"/>
    <cellStyle name="Normal 5 2 6 3 2 3" xfId="20435" xr:uid="{00000000-0005-0000-0000-00001C4A0000}"/>
    <cellStyle name="Normal 5 2 6 3 2 3 2" xfId="37304" xr:uid="{795189E7-808F-4D07-86EF-017750F82A0F}"/>
    <cellStyle name="Normal 5 2 6 3 2 4" xfId="12000" xr:uid="{00000000-0005-0000-0000-00001D4A0000}"/>
    <cellStyle name="Normal 5 2 6 3 2 5" xfId="28870" xr:uid="{1B80D5A8-B645-455B-9777-3C66888C1994}"/>
    <cellStyle name="Normal 5 2 6 3 3" xfId="5638" xr:uid="{00000000-0005-0000-0000-00001E4A0000}"/>
    <cellStyle name="Normal 5 2 6 3 3 2" xfId="22508" xr:uid="{00000000-0005-0000-0000-00001F4A0000}"/>
    <cellStyle name="Normal 5 2 6 3 3 2 2" xfId="39376" xr:uid="{64E0B38A-78C5-449F-8A7F-2D5C26974E46}"/>
    <cellStyle name="Normal 5 2 6 3 3 3" xfId="14073" xr:uid="{00000000-0005-0000-0000-0000204A0000}"/>
    <cellStyle name="Normal 5 2 6 3 3 4" xfId="30942" xr:uid="{FD909F2D-E7AC-408A-A142-7C8AC87F89E8}"/>
    <cellStyle name="Normal 5 2 6 3 4" xfId="18290" xr:uid="{00000000-0005-0000-0000-0000214A0000}"/>
    <cellStyle name="Normal 5 2 6 3 4 2" xfId="35159" xr:uid="{7A6C49ED-0FFA-4C66-A7EE-8AAB821C546E}"/>
    <cellStyle name="Normal 5 2 6 3 5" xfId="9855" xr:uid="{00000000-0005-0000-0000-0000224A0000}"/>
    <cellStyle name="Normal 5 2 6 3 6" xfId="26725" xr:uid="{FFAE3EF2-E45F-414B-B21C-FC22BE63A9A1}"/>
    <cellStyle name="Normal 5 2 6 4" xfId="1743" xr:uid="{00000000-0005-0000-0000-0000234A0000}"/>
    <cellStyle name="Normal 5 2 6 4 2" xfId="3973" xr:uid="{00000000-0005-0000-0000-0000244A0000}"/>
    <cellStyle name="Normal 5 2 6 4 2 2" xfId="8196" xr:uid="{00000000-0005-0000-0000-0000254A0000}"/>
    <cellStyle name="Normal 5 2 6 4 2 2 2" xfId="25066" xr:uid="{00000000-0005-0000-0000-0000264A0000}"/>
    <cellStyle name="Normal 5 2 6 4 2 2 2 2" xfId="41934" xr:uid="{1144BE22-DB4E-4A63-9075-719EBC55D6BB}"/>
    <cellStyle name="Normal 5 2 6 4 2 2 3" xfId="16631" xr:uid="{00000000-0005-0000-0000-0000274A0000}"/>
    <cellStyle name="Normal 5 2 6 4 2 2 4" xfId="33500" xr:uid="{884402DB-10D5-43AD-B115-A5FDA1B2A330}"/>
    <cellStyle name="Normal 5 2 6 4 2 3" xfId="20848" xr:uid="{00000000-0005-0000-0000-0000284A0000}"/>
    <cellStyle name="Normal 5 2 6 4 2 3 2" xfId="37717" xr:uid="{3E395779-D8E0-4EC5-94BD-0B1F03932928}"/>
    <cellStyle name="Normal 5 2 6 4 2 4" xfId="12413" xr:uid="{00000000-0005-0000-0000-0000294A0000}"/>
    <cellStyle name="Normal 5 2 6 4 2 5" xfId="29283" xr:uid="{DEF6BFB8-AEEA-4BBD-B167-C82CB9ED9896}"/>
    <cellStyle name="Normal 5 2 6 4 3" xfId="6051" xr:uid="{00000000-0005-0000-0000-00002A4A0000}"/>
    <cellStyle name="Normal 5 2 6 4 3 2" xfId="22921" xr:uid="{00000000-0005-0000-0000-00002B4A0000}"/>
    <cellStyle name="Normal 5 2 6 4 3 2 2" xfId="39789" xr:uid="{AA533C8A-AD07-4421-AE7C-41878ADEF890}"/>
    <cellStyle name="Normal 5 2 6 4 3 3" xfId="14486" xr:uid="{00000000-0005-0000-0000-00002C4A0000}"/>
    <cellStyle name="Normal 5 2 6 4 3 4" xfId="31355" xr:uid="{589A2358-E102-4079-8E95-0C5C9AE04FD1}"/>
    <cellStyle name="Normal 5 2 6 4 4" xfId="18703" xr:uid="{00000000-0005-0000-0000-00002D4A0000}"/>
    <cellStyle name="Normal 5 2 6 4 4 2" xfId="35572" xr:uid="{3313F201-4DD2-412B-BC9B-B07023216167}"/>
    <cellStyle name="Normal 5 2 6 4 5" xfId="10268" xr:uid="{00000000-0005-0000-0000-00002E4A0000}"/>
    <cellStyle name="Normal 5 2 6 4 6" xfId="27138" xr:uid="{1428CB76-9DD3-4A02-AAD0-B03B5252011A}"/>
    <cellStyle name="Normal 5 2 6 5" xfId="2157" xr:uid="{00000000-0005-0000-0000-00002F4A0000}"/>
    <cellStyle name="Normal 5 2 6 5 2" xfId="4386" xr:uid="{00000000-0005-0000-0000-0000304A0000}"/>
    <cellStyle name="Normal 5 2 6 5 2 2" xfId="8609" xr:uid="{00000000-0005-0000-0000-0000314A0000}"/>
    <cellStyle name="Normal 5 2 6 5 2 2 2" xfId="25479" xr:uid="{00000000-0005-0000-0000-0000324A0000}"/>
    <cellStyle name="Normal 5 2 6 5 2 2 2 2" xfId="42347" xr:uid="{792DECE9-5250-49E7-B132-4B1D17AC3CCC}"/>
    <cellStyle name="Normal 5 2 6 5 2 2 3" xfId="17044" xr:uid="{00000000-0005-0000-0000-0000334A0000}"/>
    <cellStyle name="Normal 5 2 6 5 2 2 4" xfId="33913" xr:uid="{5A83FD88-934B-4BD4-B5F5-2F773529181F}"/>
    <cellStyle name="Normal 5 2 6 5 2 3" xfId="21261" xr:uid="{00000000-0005-0000-0000-0000344A0000}"/>
    <cellStyle name="Normal 5 2 6 5 2 3 2" xfId="38130" xr:uid="{538ABF28-0354-45AD-B744-C4D5536F81BA}"/>
    <cellStyle name="Normal 5 2 6 5 2 4" xfId="12826" xr:uid="{00000000-0005-0000-0000-0000354A0000}"/>
    <cellStyle name="Normal 5 2 6 5 2 5" xfId="29696" xr:uid="{3771BFBC-5FF2-4D97-AC4D-DEA2AC560552}"/>
    <cellStyle name="Normal 5 2 6 5 3" xfId="6464" xr:uid="{00000000-0005-0000-0000-0000364A0000}"/>
    <cellStyle name="Normal 5 2 6 5 3 2" xfId="23334" xr:uid="{00000000-0005-0000-0000-0000374A0000}"/>
    <cellStyle name="Normal 5 2 6 5 3 2 2" xfId="40202" xr:uid="{962B298B-884E-431C-BB0E-B6535676CAA0}"/>
    <cellStyle name="Normal 5 2 6 5 3 3" xfId="14899" xr:uid="{00000000-0005-0000-0000-0000384A0000}"/>
    <cellStyle name="Normal 5 2 6 5 3 4" xfId="31768" xr:uid="{8D0B7FB8-53E9-49F9-A7A2-FD2B2439F122}"/>
    <cellStyle name="Normal 5 2 6 5 4" xfId="19116" xr:uid="{00000000-0005-0000-0000-0000394A0000}"/>
    <cellStyle name="Normal 5 2 6 5 4 2" xfId="35985" xr:uid="{A0ED44FD-14CA-42EA-BF16-0BA0B18946EC}"/>
    <cellStyle name="Normal 5 2 6 5 5" xfId="10681" xr:uid="{00000000-0005-0000-0000-00003A4A0000}"/>
    <cellStyle name="Normal 5 2 6 5 6" xfId="27551" xr:uid="{2DD1E275-D609-4612-B677-2100E92A8E6D}"/>
    <cellStyle name="Normal 5 2 6 6" xfId="2593" xr:uid="{00000000-0005-0000-0000-00003B4A0000}"/>
    <cellStyle name="Normal 5 2 6 6 2" xfId="6877" xr:uid="{00000000-0005-0000-0000-00003C4A0000}"/>
    <cellStyle name="Normal 5 2 6 6 2 2" xfId="23747" xr:uid="{00000000-0005-0000-0000-00003D4A0000}"/>
    <cellStyle name="Normal 5 2 6 6 2 2 2" xfId="40615" xr:uid="{A99C2BAB-90AB-4B7F-9F5D-84533302810E}"/>
    <cellStyle name="Normal 5 2 6 6 2 3" xfId="15312" xr:uid="{00000000-0005-0000-0000-00003E4A0000}"/>
    <cellStyle name="Normal 5 2 6 6 2 4" xfId="32181" xr:uid="{9AEF7D7E-4F9B-43A8-9D35-47529402384F}"/>
    <cellStyle name="Normal 5 2 6 6 3" xfId="19529" xr:uid="{00000000-0005-0000-0000-00003F4A0000}"/>
    <cellStyle name="Normal 5 2 6 6 3 2" xfId="36398" xr:uid="{5A398BD9-397D-487A-A055-B05911CB3EBB}"/>
    <cellStyle name="Normal 5 2 6 6 4" xfId="11094" xr:uid="{00000000-0005-0000-0000-0000404A0000}"/>
    <cellStyle name="Normal 5 2 6 6 5" xfId="27964" xr:uid="{82297BAA-7A49-47AC-B93F-4651BB657864}"/>
    <cellStyle name="Normal 5 2 6 7" xfId="4812" xr:uid="{00000000-0005-0000-0000-0000414A0000}"/>
    <cellStyle name="Normal 5 2 6 7 2" xfId="21682" xr:uid="{00000000-0005-0000-0000-0000424A0000}"/>
    <cellStyle name="Normal 5 2 6 7 2 2" xfId="38550" xr:uid="{8CE2317B-6151-4779-886C-CAD74A9357E2}"/>
    <cellStyle name="Normal 5 2 6 7 3" xfId="13247" xr:uid="{00000000-0005-0000-0000-0000434A0000}"/>
    <cellStyle name="Normal 5 2 6 7 4" xfId="30116" xr:uid="{2B80E805-77C8-4864-A12A-2B761E131960}"/>
    <cellStyle name="Normal 5 2 6 8" xfId="17464" xr:uid="{00000000-0005-0000-0000-0000444A0000}"/>
    <cellStyle name="Normal 5 2 6 8 2" xfId="34333" xr:uid="{94A5DB4E-777F-47B3-8A6E-A0D3BD3032C3}"/>
    <cellStyle name="Normal 5 2 6 9" xfId="9029" xr:uid="{00000000-0005-0000-0000-0000454A0000}"/>
    <cellStyle name="Normal 5 2 7" xfId="881" xr:uid="{00000000-0005-0000-0000-0000464A0000}"/>
    <cellStyle name="Normal 5 2 7 2" xfId="3116" xr:uid="{00000000-0005-0000-0000-0000474A0000}"/>
    <cellStyle name="Normal 5 2 7 2 2" xfId="7339" xr:uid="{00000000-0005-0000-0000-0000484A0000}"/>
    <cellStyle name="Normal 5 2 7 2 2 2" xfId="24209" xr:uid="{00000000-0005-0000-0000-0000494A0000}"/>
    <cellStyle name="Normal 5 2 7 2 2 2 2" xfId="41077" xr:uid="{BF1ABB95-7272-4B61-8500-9D03547C69D6}"/>
    <cellStyle name="Normal 5 2 7 2 2 3" xfId="15774" xr:uid="{00000000-0005-0000-0000-00004A4A0000}"/>
    <cellStyle name="Normal 5 2 7 2 2 4" xfId="32643" xr:uid="{4E574B66-788C-44EC-B805-96F31CBA3C08}"/>
    <cellStyle name="Normal 5 2 7 2 3" xfId="19991" xr:uid="{00000000-0005-0000-0000-00004B4A0000}"/>
    <cellStyle name="Normal 5 2 7 2 3 2" xfId="36860" xr:uid="{4D90CB0A-7515-44CE-8134-FBA27732D33C}"/>
    <cellStyle name="Normal 5 2 7 2 4" xfId="11556" xr:uid="{00000000-0005-0000-0000-00004C4A0000}"/>
    <cellStyle name="Normal 5 2 7 2 5" xfId="28426" xr:uid="{03FCB092-C096-4818-8AA5-A57265939868}"/>
    <cellStyle name="Normal 5 2 7 3" xfId="5194" xr:uid="{00000000-0005-0000-0000-00004D4A0000}"/>
    <cellStyle name="Normal 5 2 7 3 2" xfId="22064" xr:uid="{00000000-0005-0000-0000-00004E4A0000}"/>
    <cellStyle name="Normal 5 2 7 3 2 2" xfId="38932" xr:uid="{38DF6FD0-F888-42EB-8DB2-B83F00573D1F}"/>
    <cellStyle name="Normal 5 2 7 3 3" xfId="13629" xr:uid="{00000000-0005-0000-0000-00004F4A0000}"/>
    <cellStyle name="Normal 5 2 7 3 4" xfId="30498" xr:uid="{E96F0C24-2CE1-43C7-A0B7-ECF080D1CFFC}"/>
    <cellStyle name="Normal 5 2 7 4" xfId="17846" xr:uid="{00000000-0005-0000-0000-0000504A0000}"/>
    <cellStyle name="Normal 5 2 7 4 2" xfId="34715" xr:uid="{2C65CF6C-FD9B-4D7A-AB9C-A25266631286}"/>
    <cellStyle name="Normal 5 2 7 5" xfId="9411" xr:uid="{00000000-0005-0000-0000-0000514A0000}"/>
    <cellStyle name="Normal 5 2 7 6" xfId="26281" xr:uid="{C4A0070C-3815-4320-BC9D-3456B1149086}"/>
    <cellStyle name="Normal 5 2 8" xfId="1299" xr:uid="{00000000-0005-0000-0000-0000524A0000}"/>
    <cellStyle name="Normal 5 2 8 2" xfId="3529" xr:uid="{00000000-0005-0000-0000-0000534A0000}"/>
    <cellStyle name="Normal 5 2 8 2 2" xfId="7752" xr:uid="{00000000-0005-0000-0000-0000544A0000}"/>
    <cellStyle name="Normal 5 2 8 2 2 2" xfId="24622" xr:uid="{00000000-0005-0000-0000-0000554A0000}"/>
    <cellStyle name="Normal 5 2 8 2 2 2 2" xfId="41490" xr:uid="{CAA8928F-0C3C-41D2-AD3A-934A5E29021B}"/>
    <cellStyle name="Normal 5 2 8 2 2 3" xfId="16187" xr:uid="{00000000-0005-0000-0000-0000564A0000}"/>
    <cellStyle name="Normal 5 2 8 2 2 4" xfId="33056" xr:uid="{051C3A92-7611-438C-9992-A0ECCA7A1D8F}"/>
    <cellStyle name="Normal 5 2 8 2 3" xfId="20404" xr:uid="{00000000-0005-0000-0000-0000574A0000}"/>
    <cellStyle name="Normal 5 2 8 2 3 2" xfId="37273" xr:uid="{6CF20D13-8A88-4C8A-B976-B6CE0F20ADDE}"/>
    <cellStyle name="Normal 5 2 8 2 4" xfId="11969" xr:uid="{00000000-0005-0000-0000-0000584A0000}"/>
    <cellStyle name="Normal 5 2 8 2 5" xfId="28839" xr:uid="{0946CC01-EA10-417F-AE1F-CF576E32CE05}"/>
    <cellStyle name="Normal 5 2 8 3" xfId="5607" xr:uid="{00000000-0005-0000-0000-0000594A0000}"/>
    <cellStyle name="Normal 5 2 8 3 2" xfId="22477" xr:uid="{00000000-0005-0000-0000-00005A4A0000}"/>
    <cellStyle name="Normal 5 2 8 3 2 2" xfId="39345" xr:uid="{42A8BE1A-063E-4B59-A0E3-46256419F398}"/>
    <cellStyle name="Normal 5 2 8 3 3" xfId="14042" xr:uid="{00000000-0005-0000-0000-00005B4A0000}"/>
    <cellStyle name="Normal 5 2 8 3 4" xfId="30911" xr:uid="{907F6460-F14F-4DD2-BEF2-9FCB0CAB0960}"/>
    <cellStyle name="Normal 5 2 8 4" xfId="18259" xr:uid="{00000000-0005-0000-0000-00005C4A0000}"/>
    <cellStyle name="Normal 5 2 8 4 2" xfId="35128" xr:uid="{B591F66D-72C2-4F5F-BF07-6A4195646AA5}"/>
    <cellStyle name="Normal 5 2 8 5" xfId="9824" xr:uid="{00000000-0005-0000-0000-00005D4A0000}"/>
    <cellStyle name="Normal 5 2 8 6" xfId="26694" xr:uid="{DB3E49BD-8FC7-475B-8883-9780AA92813E}"/>
    <cellStyle name="Normal 5 2 9" xfId="1712" xr:uid="{00000000-0005-0000-0000-00005E4A0000}"/>
    <cellStyle name="Normal 5 2 9 2" xfId="3942" xr:uid="{00000000-0005-0000-0000-00005F4A0000}"/>
    <cellStyle name="Normal 5 2 9 2 2" xfId="8165" xr:uid="{00000000-0005-0000-0000-0000604A0000}"/>
    <cellStyle name="Normal 5 2 9 2 2 2" xfId="25035" xr:uid="{00000000-0005-0000-0000-0000614A0000}"/>
    <cellStyle name="Normal 5 2 9 2 2 2 2" xfId="41903" xr:uid="{4D1BC293-35D4-4314-9E0F-E5201468AFCE}"/>
    <cellStyle name="Normal 5 2 9 2 2 3" xfId="16600" xr:uid="{00000000-0005-0000-0000-0000624A0000}"/>
    <cellStyle name="Normal 5 2 9 2 2 4" xfId="33469" xr:uid="{96AA36F4-F8A6-49A1-ABED-69966FB1ABCF}"/>
    <cellStyle name="Normal 5 2 9 2 3" xfId="20817" xr:uid="{00000000-0005-0000-0000-0000634A0000}"/>
    <cellStyle name="Normal 5 2 9 2 3 2" xfId="37686" xr:uid="{7D7EE0AE-235D-4747-B8EA-37DB76BC9BA9}"/>
    <cellStyle name="Normal 5 2 9 2 4" xfId="12382" xr:uid="{00000000-0005-0000-0000-0000644A0000}"/>
    <cellStyle name="Normal 5 2 9 2 5" xfId="29252" xr:uid="{F8CC3BA8-8984-4854-A27D-F8ED496232D3}"/>
    <cellStyle name="Normal 5 2 9 3" xfId="6020" xr:uid="{00000000-0005-0000-0000-0000654A0000}"/>
    <cellStyle name="Normal 5 2 9 3 2" xfId="22890" xr:uid="{00000000-0005-0000-0000-0000664A0000}"/>
    <cellStyle name="Normal 5 2 9 3 2 2" xfId="39758" xr:uid="{D2222CC7-FAF3-44FC-A135-327DA33D3A5D}"/>
    <cellStyle name="Normal 5 2 9 3 3" xfId="14455" xr:uid="{00000000-0005-0000-0000-0000674A0000}"/>
    <cellStyle name="Normal 5 2 9 3 4" xfId="31324" xr:uid="{B3003C9F-55C8-4796-AFAF-68A701CD1377}"/>
    <cellStyle name="Normal 5 2 9 4" xfId="18672" xr:uid="{00000000-0005-0000-0000-0000684A0000}"/>
    <cellStyle name="Normal 5 2 9 4 2" xfId="35541" xr:uid="{01204D82-0445-4280-BFFA-AE283EF11A4C}"/>
    <cellStyle name="Normal 5 2 9 5" xfId="10237" xr:uid="{00000000-0005-0000-0000-0000694A0000}"/>
    <cellStyle name="Normal 5 2 9 6" xfId="27107" xr:uid="{CDC1085F-E5DB-4F59-8F8C-0224885A1976}"/>
    <cellStyle name="Normal 5 3" xfId="439" xr:uid="{00000000-0005-0000-0000-00006A4A0000}"/>
    <cellStyle name="Normal 5 3 10" xfId="2158" xr:uid="{00000000-0005-0000-0000-00006B4A0000}"/>
    <cellStyle name="Normal 5 3 10 2" xfId="4387" xr:uid="{00000000-0005-0000-0000-00006C4A0000}"/>
    <cellStyle name="Normal 5 3 10 2 2" xfId="8610" xr:uid="{00000000-0005-0000-0000-00006D4A0000}"/>
    <cellStyle name="Normal 5 3 10 2 2 2" xfId="25480" xr:uid="{00000000-0005-0000-0000-00006E4A0000}"/>
    <cellStyle name="Normal 5 3 10 2 2 2 2" xfId="42348" xr:uid="{65296FA4-D246-41BA-AE31-334939A7BA1D}"/>
    <cellStyle name="Normal 5 3 10 2 2 3" xfId="17045" xr:uid="{00000000-0005-0000-0000-00006F4A0000}"/>
    <cellStyle name="Normal 5 3 10 2 2 4" xfId="33914" xr:uid="{D1A68952-81C5-4CB4-B6BB-0F0A56598888}"/>
    <cellStyle name="Normal 5 3 10 2 3" xfId="21262" xr:uid="{00000000-0005-0000-0000-0000704A0000}"/>
    <cellStyle name="Normal 5 3 10 2 3 2" xfId="38131" xr:uid="{458323A9-A769-4ED5-A688-802C7D10E40B}"/>
    <cellStyle name="Normal 5 3 10 2 4" xfId="12827" xr:uid="{00000000-0005-0000-0000-0000714A0000}"/>
    <cellStyle name="Normal 5 3 10 2 5" xfId="29697" xr:uid="{781C42F7-F1D3-4A90-ABF2-FE3EA1C5BC40}"/>
    <cellStyle name="Normal 5 3 10 3" xfId="6465" xr:uid="{00000000-0005-0000-0000-0000724A0000}"/>
    <cellStyle name="Normal 5 3 10 3 2" xfId="23335" xr:uid="{00000000-0005-0000-0000-0000734A0000}"/>
    <cellStyle name="Normal 5 3 10 3 2 2" xfId="40203" xr:uid="{6B98A91C-4C2D-4EC1-897B-096AD3A0F208}"/>
    <cellStyle name="Normal 5 3 10 3 3" xfId="14900" xr:uid="{00000000-0005-0000-0000-0000744A0000}"/>
    <cellStyle name="Normal 5 3 10 3 4" xfId="31769" xr:uid="{BA0DEE78-E060-41B5-966C-1E45324A987F}"/>
    <cellStyle name="Normal 5 3 10 4" xfId="19117" xr:uid="{00000000-0005-0000-0000-0000754A0000}"/>
    <cellStyle name="Normal 5 3 10 4 2" xfId="35986" xr:uid="{FBC1AC3C-1E31-4A82-A9CD-498D9B951275}"/>
    <cellStyle name="Normal 5 3 10 5" xfId="10682" xr:uid="{00000000-0005-0000-0000-0000764A0000}"/>
    <cellStyle name="Normal 5 3 10 6" xfId="27552" xr:uid="{2F0FE4A1-3BAB-4140-BECE-B92CFD9FA6B1}"/>
    <cellStyle name="Normal 5 3 11" xfId="2594" xr:uid="{00000000-0005-0000-0000-0000774A0000}"/>
    <cellStyle name="Normal 5 3 11 2" xfId="6878" xr:uid="{00000000-0005-0000-0000-0000784A0000}"/>
    <cellStyle name="Normal 5 3 11 2 2" xfId="23748" xr:uid="{00000000-0005-0000-0000-0000794A0000}"/>
    <cellStyle name="Normal 5 3 11 2 2 2" xfId="40616" xr:uid="{492A8A75-C073-4750-89F7-DE0D548CAA01}"/>
    <cellStyle name="Normal 5 3 11 2 3" xfId="15313" xr:uid="{00000000-0005-0000-0000-00007A4A0000}"/>
    <cellStyle name="Normal 5 3 11 2 4" xfId="32182" xr:uid="{9AD951EF-E63E-44F0-8DFB-2DDC4BA32AAE}"/>
    <cellStyle name="Normal 5 3 11 3" xfId="19530" xr:uid="{00000000-0005-0000-0000-00007B4A0000}"/>
    <cellStyle name="Normal 5 3 11 3 2" xfId="36399" xr:uid="{0D64D9E4-0A4E-4E1C-B33B-8BBD53D32621}"/>
    <cellStyle name="Normal 5 3 11 4" xfId="11095" xr:uid="{00000000-0005-0000-0000-00007C4A0000}"/>
    <cellStyle name="Normal 5 3 11 5" xfId="27965" xr:uid="{EC6DDFC0-9388-4E65-911E-0CEF540A667B}"/>
    <cellStyle name="Normal 5 3 12" xfId="4813" xr:uid="{00000000-0005-0000-0000-00007D4A0000}"/>
    <cellStyle name="Normal 5 3 12 2" xfId="21683" xr:uid="{00000000-0005-0000-0000-00007E4A0000}"/>
    <cellStyle name="Normal 5 3 12 2 2" xfId="38551" xr:uid="{62F50D4B-E411-4A7B-91DD-24DDAFEEDCF3}"/>
    <cellStyle name="Normal 5 3 12 3" xfId="13248" xr:uid="{00000000-0005-0000-0000-00007F4A0000}"/>
    <cellStyle name="Normal 5 3 12 4" xfId="30117" xr:uid="{8BB60C27-7E33-4AFA-BE0D-EEFB700F62C0}"/>
    <cellStyle name="Normal 5 3 13" xfId="17465" xr:uid="{00000000-0005-0000-0000-0000804A0000}"/>
    <cellStyle name="Normal 5 3 13 2" xfId="34334" xr:uid="{9D49EE73-77E4-4166-A4D9-E1BD53A2CDE8}"/>
    <cellStyle name="Normal 5 3 14" xfId="9030" xr:uid="{00000000-0005-0000-0000-0000814A0000}"/>
    <cellStyle name="Normal 5 3 15" xfId="25900" xr:uid="{A94AB1AD-1097-4494-8DE4-F36FBB0F39A4}"/>
    <cellStyle name="Normal 5 3 2" xfId="440" xr:uid="{00000000-0005-0000-0000-0000824A0000}"/>
    <cellStyle name="Normal 5 3 2 2" xfId="914" xr:uid="{00000000-0005-0000-0000-0000834A0000}"/>
    <cellStyle name="Normal 5 3 3" xfId="441" xr:uid="{00000000-0005-0000-0000-0000844A0000}"/>
    <cellStyle name="Normal 5 3 3 10" xfId="4814" xr:uid="{00000000-0005-0000-0000-0000854A0000}"/>
    <cellStyle name="Normal 5 3 3 10 2" xfId="21684" xr:uid="{00000000-0005-0000-0000-0000864A0000}"/>
    <cellStyle name="Normal 5 3 3 10 2 2" xfId="38552" xr:uid="{D8121CEC-5572-4556-8A4D-C39FF338292A}"/>
    <cellStyle name="Normal 5 3 3 10 3" xfId="13249" xr:uid="{00000000-0005-0000-0000-0000874A0000}"/>
    <cellStyle name="Normal 5 3 3 10 4" xfId="30118" xr:uid="{B99064F5-1F9E-43A9-8DA2-D9B2A2FD5499}"/>
    <cellStyle name="Normal 5 3 3 11" xfId="17466" xr:uid="{00000000-0005-0000-0000-0000884A0000}"/>
    <cellStyle name="Normal 5 3 3 11 2" xfId="34335" xr:uid="{A120A67B-88E6-4791-A3C9-241576375A60}"/>
    <cellStyle name="Normal 5 3 3 12" xfId="9031" xr:uid="{00000000-0005-0000-0000-0000894A0000}"/>
    <cellStyle name="Normal 5 3 3 13" xfId="25901" xr:uid="{6B0A0FB6-5467-4A22-96C5-F5ED4B3C7506}"/>
    <cellStyle name="Normal 5 3 3 2" xfId="442" xr:uid="{00000000-0005-0000-0000-00008A4A0000}"/>
    <cellStyle name="Normal 5 3 3 2 10" xfId="17467" xr:uid="{00000000-0005-0000-0000-00008B4A0000}"/>
    <cellStyle name="Normal 5 3 3 2 10 2" xfId="34336" xr:uid="{65A2971C-C36D-4A65-8AC5-737723CD7AD3}"/>
    <cellStyle name="Normal 5 3 3 2 11" xfId="9032" xr:uid="{00000000-0005-0000-0000-00008C4A0000}"/>
    <cellStyle name="Normal 5 3 3 2 12" xfId="25902" xr:uid="{D18DE256-C227-4C49-B278-793486604206}"/>
    <cellStyle name="Normal 5 3 3 2 2" xfId="443" xr:uid="{00000000-0005-0000-0000-00008D4A0000}"/>
    <cellStyle name="Normal 5 3 3 2 2 10" xfId="9033" xr:uid="{00000000-0005-0000-0000-00008E4A0000}"/>
    <cellStyle name="Normal 5 3 3 2 2 11" xfId="25903" xr:uid="{8B65F841-0D61-485E-85BA-B5CBF9A392A9}"/>
    <cellStyle name="Normal 5 3 3 2 2 2" xfId="444" xr:uid="{00000000-0005-0000-0000-00008F4A0000}"/>
    <cellStyle name="Normal 5 3 3 2 2 2 10" xfId="25904" xr:uid="{3BF353D8-33CB-4251-A1C7-0F6075CBFD6A}"/>
    <cellStyle name="Normal 5 3 3 2 2 2 2" xfId="918" xr:uid="{00000000-0005-0000-0000-0000904A0000}"/>
    <cellStyle name="Normal 5 3 3 2 2 2 2 2" xfId="3152" xr:uid="{00000000-0005-0000-0000-0000914A0000}"/>
    <cellStyle name="Normal 5 3 3 2 2 2 2 2 2" xfId="7375" xr:uid="{00000000-0005-0000-0000-0000924A0000}"/>
    <cellStyle name="Normal 5 3 3 2 2 2 2 2 2 2" xfId="24245" xr:uid="{00000000-0005-0000-0000-0000934A0000}"/>
    <cellStyle name="Normal 5 3 3 2 2 2 2 2 2 2 2" xfId="41113" xr:uid="{A659EF3D-0F91-4655-A0CD-FA380CE2C0F2}"/>
    <cellStyle name="Normal 5 3 3 2 2 2 2 2 2 3" xfId="15810" xr:uid="{00000000-0005-0000-0000-0000944A0000}"/>
    <cellStyle name="Normal 5 3 3 2 2 2 2 2 2 4" xfId="32679" xr:uid="{4701696C-8584-4A89-AAF6-ADA5B8A5CCB5}"/>
    <cellStyle name="Normal 5 3 3 2 2 2 2 2 3" xfId="20027" xr:uid="{00000000-0005-0000-0000-0000954A0000}"/>
    <cellStyle name="Normal 5 3 3 2 2 2 2 2 3 2" xfId="36896" xr:uid="{73C9AB32-9015-48D3-96AE-0397FE341754}"/>
    <cellStyle name="Normal 5 3 3 2 2 2 2 2 4" xfId="11592" xr:uid="{00000000-0005-0000-0000-0000964A0000}"/>
    <cellStyle name="Normal 5 3 3 2 2 2 2 2 5" xfId="28462" xr:uid="{80A9054C-B3B9-4ABB-A016-87460D2A11C7}"/>
    <cellStyle name="Normal 5 3 3 2 2 2 2 3" xfId="5230" xr:uid="{00000000-0005-0000-0000-0000974A0000}"/>
    <cellStyle name="Normal 5 3 3 2 2 2 2 3 2" xfId="22100" xr:uid="{00000000-0005-0000-0000-0000984A0000}"/>
    <cellStyle name="Normal 5 3 3 2 2 2 2 3 2 2" xfId="38968" xr:uid="{1347D15D-8848-4302-9C8D-3E5C52E2AEE8}"/>
    <cellStyle name="Normal 5 3 3 2 2 2 2 3 3" xfId="13665" xr:uid="{00000000-0005-0000-0000-0000994A0000}"/>
    <cellStyle name="Normal 5 3 3 2 2 2 2 3 4" xfId="30534" xr:uid="{06CB5D6C-ECA6-4CA4-8226-1C742FED7C5D}"/>
    <cellStyle name="Normal 5 3 3 2 2 2 2 4" xfId="17882" xr:uid="{00000000-0005-0000-0000-00009A4A0000}"/>
    <cellStyle name="Normal 5 3 3 2 2 2 2 4 2" xfId="34751" xr:uid="{DA2D33F1-8191-4170-BD8A-DF6E63B7845B}"/>
    <cellStyle name="Normal 5 3 3 2 2 2 2 5" xfId="9447" xr:uid="{00000000-0005-0000-0000-00009B4A0000}"/>
    <cellStyle name="Normal 5 3 3 2 2 2 2 6" xfId="26317" xr:uid="{DF200D8D-25EF-4C85-85F0-415D0FBB5348}"/>
    <cellStyle name="Normal 5 3 3 2 2 2 3" xfId="1335" xr:uid="{00000000-0005-0000-0000-00009C4A0000}"/>
    <cellStyle name="Normal 5 3 3 2 2 2 3 2" xfId="3565" xr:uid="{00000000-0005-0000-0000-00009D4A0000}"/>
    <cellStyle name="Normal 5 3 3 2 2 2 3 2 2" xfId="7788" xr:uid="{00000000-0005-0000-0000-00009E4A0000}"/>
    <cellStyle name="Normal 5 3 3 2 2 2 3 2 2 2" xfId="24658" xr:uid="{00000000-0005-0000-0000-00009F4A0000}"/>
    <cellStyle name="Normal 5 3 3 2 2 2 3 2 2 2 2" xfId="41526" xr:uid="{94393ABF-B23D-4358-8D6B-42A1627E18FF}"/>
    <cellStyle name="Normal 5 3 3 2 2 2 3 2 2 3" xfId="16223" xr:uid="{00000000-0005-0000-0000-0000A04A0000}"/>
    <cellStyle name="Normal 5 3 3 2 2 2 3 2 2 4" xfId="33092" xr:uid="{0E7CEC23-0E54-498C-95B8-52D93B0E06BB}"/>
    <cellStyle name="Normal 5 3 3 2 2 2 3 2 3" xfId="20440" xr:uid="{00000000-0005-0000-0000-0000A14A0000}"/>
    <cellStyle name="Normal 5 3 3 2 2 2 3 2 3 2" xfId="37309" xr:uid="{0DC73DF2-95FB-4C5E-8F08-EA284B54D19D}"/>
    <cellStyle name="Normal 5 3 3 2 2 2 3 2 4" xfId="12005" xr:uid="{00000000-0005-0000-0000-0000A24A0000}"/>
    <cellStyle name="Normal 5 3 3 2 2 2 3 2 5" xfId="28875" xr:uid="{7194856E-4447-4FF2-9DE5-8EC5BC14984F}"/>
    <cellStyle name="Normal 5 3 3 2 2 2 3 3" xfId="5643" xr:uid="{00000000-0005-0000-0000-0000A34A0000}"/>
    <cellStyle name="Normal 5 3 3 2 2 2 3 3 2" xfId="22513" xr:uid="{00000000-0005-0000-0000-0000A44A0000}"/>
    <cellStyle name="Normal 5 3 3 2 2 2 3 3 2 2" xfId="39381" xr:uid="{EA31B0DA-E03D-4006-8A27-05FD5F82CC52}"/>
    <cellStyle name="Normal 5 3 3 2 2 2 3 3 3" xfId="14078" xr:uid="{00000000-0005-0000-0000-0000A54A0000}"/>
    <cellStyle name="Normal 5 3 3 2 2 2 3 3 4" xfId="30947" xr:uid="{64C1710C-7B5F-44CE-8EB1-E05414BAD230}"/>
    <cellStyle name="Normal 5 3 3 2 2 2 3 4" xfId="18295" xr:uid="{00000000-0005-0000-0000-0000A64A0000}"/>
    <cellStyle name="Normal 5 3 3 2 2 2 3 4 2" xfId="35164" xr:uid="{BC270559-0345-408C-A4B6-D7C9DEFCEF8A}"/>
    <cellStyle name="Normal 5 3 3 2 2 2 3 5" xfId="9860" xr:uid="{00000000-0005-0000-0000-0000A74A0000}"/>
    <cellStyle name="Normal 5 3 3 2 2 2 3 6" xfId="26730" xr:uid="{A93B2F83-A0AD-495E-B688-77E23F6E741A}"/>
    <cellStyle name="Normal 5 3 3 2 2 2 4" xfId="1748" xr:uid="{00000000-0005-0000-0000-0000A84A0000}"/>
    <cellStyle name="Normal 5 3 3 2 2 2 4 2" xfId="3978" xr:uid="{00000000-0005-0000-0000-0000A94A0000}"/>
    <cellStyle name="Normal 5 3 3 2 2 2 4 2 2" xfId="8201" xr:uid="{00000000-0005-0000-0000-0000AA4A0000}"/>
    <cellStyle name="Normal 5 3 3 2 2 2 4 2 2 2" xfId="25071" xr:uid="{00000000-0005-0000-0000-0000AB4A0000}"/>
    <cellStyle name="Normal 5 3 3 2 2 2 4 2 2 2 2" xfId="41939" xr:uid="{46A77304-236F-477A-8032-679839174020}"/>
    <cellStyle name="Normal 5 3 3 2 2 2 4 2 2 3" xfId="16636" xr:uid="{00000000-0005-0000-0000-0000AC4A0000}"/>
    <cellStyle name="Normal 5 3 3 2 2 2 4 2 2 4" xfId="33505" xr:uid="{F799817D-E810-4B65-A7CA-2921B55DF9CC}"/>
    <cellStyle name="Normal 5 3 3 2 2 2 4 2 3" xfId="20853" xr:uid="{00000000-0005-0000-0000-0000AD4A0000}"/>
    <cellStyle name="Normal 5 3 3 2 2 2 4 2 3 2" xfId="37722" xr:uid="{4182547B-E4C6-4856-94DC-CA752103B526}"/>
    <cellStyle name="Normal 5 3 3 2 2 2 4 2 4" xfId="12418" xr:uid="{00000000-0005-0000-0000-0000AE4A0000}"/>
    <cellStyle name="Normal 5 3 3 2 2 2 4 2 5" xfId="29288" xr:uid="{5A048833-0460-4A55-91AC-C7F318BE5724}"/>
    <cellStyle name="Normal 5 3 3 2 2 2 4 3" xfId="6056" xr:uid="{00000000-0005-0000-0000-0000AF4A0000}"/>
    <cellStyle name="Normal 5 3 3 2 2 2 4 3 2" xfId="22926" xr:uid="{00000000-0005-0000-0000-0000B04A0000}"/>
    <cellStyle name="Normal 5 3 3 2 2 2 4 3 2 2" xfId="39794" xr:uid="{9AE0E370-150E-4AA9-884C-D7BFAA8E6C12}"/>
    <cellStyle name="Normal 5 3 3 2 2 2 4 3 3" xfId="14491" xr:uid="{00000000-0005-0000-0000-0000B14A0000}"/>
    <cellStyle name="Normal 5 3 3 2 2 2 4 3 4" xfId="31360" xr:uid="{8CAB6F25-1F51-46CA-B9E8-AFB1CE4F7A56}"/>
    <cellStyle name="Normal 5 3 3 2 2 2 4 4" xfId="18708" xr:uid="{00000000-0005-0000-0000-0000B24A0000}"/>
    <cellStyle name="Normal 5 3 3 2 2 2 4 4 2" xfId="35577" xr:uid="{882BC11F-2933-4C83-9E60-26E357DB2216}"/>
    <cellStyle name="Normal 5 3 3 2 2 2 4 5" xfId="10273" xr:uid="{00000000-0005-0000-0000-0000B34A0000}"/>
    <cellStyle name="Normal 5 3 3 2 2 2 4 6" xfId="27143" xr:uid="{5EB47543-B669-4B47-A4F2-00E033DC5367}"/>
    <cellStyle name="Normal 5 3 3 2 2 2 5" xfId="2162" xr:uid="{00000000-0005-0000-0000-0000B44A0000}"/>
    <cellStyle name="Normal 5 3 3 2 2 2 5 2" xfId="4391" xr:uid="{00000000-0005-0000-0000-0000B54A0000}"/>
    <cellStyle name="Normal 5 3 3 2 2 2 5 2 2" xfId="8614" xr:uid="{00000000-0005-0000-0000-0000B64A0000}"/>
    <cellStyle name="Normal 5 3 3 2 2 2 5 2 2 2" xfId="25484" xr:uid="{00000000-0005-0000-0000-0000B74A0000}"/>
    <cellStyle name="Normal 5 3 3 2 2 2 5 2 2 2 2" xfId="42352" xr:uid="{88016C43-991A-4AC5-9C16-68C128DCE2B1}"/>
    <cellStyle name="Normal 5 3 3 2 2 2 5 2 2 3" xfId="17049" xr:uid="{00000000-0005-0000-0000-0000B84A0000}"/>
    <cellStyle name="Normal 5 3 3 2 2 2 5 2 2 4" xfId="33918" xr:uid="{F65DB2A9-C5B2-4054-AE35-931EB0357CD4}"/>
    <cellStyle name="Normal 5 3 3 2 2 2 5 2 3" xfId="21266" xr:uid="{00000000-0005-0000-0000-0000B94A0000}"/>
    <cellStyle name="Normal 5 3 3 2 2 2 5 2 3 2" xfId="38135" xr:uid="{3C977BD6-BED0-4496-9901-0AB4228CEDB4}"/>
    <cellStyle name="Normal 5 3 3 2 2 2 5 2 4" xfId="12831" xr:uid="{00000000-0005-0000-0000-0000BA4A0000}"/>
    <cellStyle name="Normal 5 3 3 2 2 2 5 2 5" xfId="29701" xr:uid="{9AB0D357-5FD1-496E-BF26-AF2D7397382D}"/>
    <cellStyle name="Normal 5 3 3 2 2 2 5 3" xfId="6469" xr:uid="{00000000-0005-0000-0000-0000BB4A0000}"/>
    <cellStyle name="Normal 5 3 3 2 2 2 5 3 2" xfId="23339" xr:uid="{00000000-0005-0000-0000-0000BC4A0000}"/>
    <cellStyle name="Normal 5 3 3 2 2 2 5 3 2 2" xfId="40207" xr:uid="{8EE4B0B8-F1B2-4C73-8D23-9AE15C5E0E1B}"/>
    <cellStyle name="Normal 5 3 3 2 2 2 5 3 3" xfId="14904" xr:uid="{00000000-0005-0000-0000-0000BD4A0000}"/>
    <cellStyle name="Normal 5 3 3 2 2 2 5 3 4" xfId="31773" xr:uid="{1FDC1A73-D995-4C21-BE05-33BE75905B5C}"/>
    <cellStyle name="Normal 5 3 3 2 2 2 5 4" xfId="19121" xr:uid="{00000000-0005-0000-0000-0000BE4A0000}"/>
    <cellStyle name="Normal 5 3 3 2 2 2 5 4 2" xfId="35990" xr:uid="{F12081CE-69C1-4F9F-B25E-956BFF9563A5}"/>
    <cellStyle name="Normal 5 3 3 2 2 2 5 5" xfId="10686" xr:uid="{00000000-0005-0000-0000-0000BF4A0000}"/>
    <cellStyle name="Normal 5 3 3 2 2 2 5 6" xfId="27556" xr:uid="{4D769218-D583-4F5F-BC6D-98062B2DF8E0}"/>
    <cellStyle name="Normal 5 3 3 2 2 2 6" xfId="2598" xr:uid="{00000000-0005-0000-0000-0000C04A0000}"/>
    <cellStyle name="Normal 5 3 3 2 2 2 6 2" xfId="6882" xr:uid="{00000000-0005-0000-0000-0000C14A0000}"/>
    <cellStyle name="Normal 5 3 3 2 2 2 6 2 2" xfId="23752" xr:uid="{00000000-0005-0000-0000-0000C24A0000}"/>
    <cellStyle name="Normal 5 3 3 2 2 2 6 2 2 2" xfId="40620" xr:uid="{F3BA2541-7565-4745-90C8-D9252FB1D889}"/>
    <cellStyle name="Normal 5 3 3 2 2 2 6 2 3" xfId="15317" xr:uid="{00000000-0005-0000-0000-0000C34A0000}"/>
    <cellStyle name="Normal 5 3 3 2 2 2 6 2 4" xfId="32186" xr:uid="{D7C97DF5-F994-4EB7-8BD1-B607B6F80835}"/>
    <cellStyle name="Normal 5 3 3 2 2 2 6 3" xfId="19534" xr:uid="{00000000-0005-0000-0000-0000C44A0000}"/>
    <cellStyle name="Normal 5 3 3 2 2 2 6 3 2" xfId="36403" xr:uid="{22BC6EF0-8128-412D-A81A-763048A46D49}"/>
    <cellStyle name="Normal 5 3 3 2 2 2 6 4" xfId="11099" xr:uid="{00000000-0005-0000-0000-0000C54A0000}"/>
    <cellStyle name="Normal 5 3 3 2 2 2 6 5" xfId="27969" xr:uid="{588A0592-8896-4293-8428-5850297749F7}"/>
    <cellStyle name="Normal 5 3 3 2 2 2 7" xfId="4817" xr:uid="{00000000-0005-0000-0000-0000C64A0000}"/>
    <cellStyle name="Normal 5 3 3 2 2 2 7 2" xfId="21687" xr:uid="{00000000-0005-0000-0000-0000C74A0000}"/>
    <cellStyle name="Normal 5 3 3 2 2 2 7 2 2" xfId="38555" xr:uid="{8674E800-3253-4AFF-AD96-C8D462E1EA60}"/>
    <cellStyle name="Normal 5 3 3 2 2 2 7 3" xfId="13252" xr:uid="{00000000-0005-0000-0000-0000C84A0000}"/>
    <cellStyle name="Normal 5 3 3 2 2 2 7 4" xfId="30121" xr:uid="{C0ACB59A-3D4D-4B88-8865-FF0E7F23C513}"/>
    <cellStyle name="Normal 5 3 3 2 2 2 8" xfId="17469" xr:uid="{00000000-0005-0000-0000-0000C94A0000}"/>
    <cellStyle name="Normal 5 3 3 2 2 2 8 2" xfId="34338" xr:uid="{C0EC7DFB-3F38-4910-9FC3-58FC33F4EFDE}"/>
    <cellStyle name="Normal 5 3 3 2 2 2 9" xfId="9034" xr:uid="{00000000-0005-0000-0000-0000CA4A0000}"/>
    <cellStyle name="Normal 5 3 3 2 2 3" xfId="917" xr:uid="{00000000-0005-0000-0000-0000CB4A0000}"/>
    <cellStyle name="Normal 5 3 3 2 2 3 2" xfId="3151" xr:uid="{00000000-0005-0000-0000-0000CC4A0000}"/>
    <cellStyle name="Normal 5 3 3 2 2 3 2 2" xfId="7374" xr:uid="{00000000-0005-0000-0000-0000CD4A0000}"/>
    <cellStyle name="Normal 5 3 3 2 2 3 2 2 2" xfId="24244" xr:uid="{00000000-0005-0000-0000-0000CE4A0000}"/>
    <cellStyle name="Normal 5 3 3 2 2 3 2 2 2 2" xfId="41112" xr:uid="{1850DC29-E074-4E94-A02C-43D9B4CAE1C6}"/>
    <cellStyle name="Normal 5 3 3 2 2 3 2 2 3" xfId="15809" xr:uid="{00000000-0005-0000-0000-0000CF4A0000}"/>
    <cellStyle name="Normal 5 3 3 2 2 3 2 2 4" xfId="32678" xr:uid="{92A03589-3BBB-432F-97EB-F9C086CD6C2D}"/>
    <cellStyle name="Normal 5 3 3 2 2 3 2 3" xfId="20026" xr:uid="{00000000-0005-0000-0000-0000D04A0000}"/>
    <cellStyle name="Normal 5 3 3 2 2 3 2 3 2" xfId="36895" xr:uid="{7BBA98F2-6B15-4D99-9004-BF89DEBEDE9A}"/>
    <cellStyle name="Normal 5 3 3 2 2 3 2 4" xfId="11591" xr:uid="{00000000-0005-0000-0000-0000D14A0000}"/>
    <cellStyle name="Normal 5 3 3 2 2 3 2 5" xfId="28461" xr:uid="{13DA98E8-E281-49BF-84BC-3887A9F174C8}"/>
    <cellStyle name="Normal 5 3 3 2 2 3 3" xfId="5229" xr:uid="{00000000-0005-0000-0000-0000D24A0000}"/>
    <cellStyle name="Normal 5 3 3 2 2 3 3 2" xfId="22099" xr:uid="{00000000-0005-0000-0000-0000D34A0000}"/>
    <cellStyle name="Normal 5 3 3 2 2 3 3 2 2" xfId="38967" xr:uid="{A9088EF8-C770-40D3-A1BD-734966ACD263}"/>
    <cellStyle name="Normal 5 3 3 2 2 3 3 3" xfId="13664" xr:uid="{00000000-0005-0000-0000-0000D44A0000}"/>
    <cellStyle name="Normal 5 3 3 2 2 3 3 4" xfId="30533" xr:uid="{D6F6990B-9C03-46B6-B58F-525691762786}"/>
    <cellStyle name="Normal 5 3 3 2 2 3 4" xfId="17881" xr:uid="{00000000-0005-0000-0000-0000D54A0000}"/>
    <cellStyle name="Normal 5 3 3 2 2 3 4 2" xfId="34750" xr:uid="{260FE580-9E61-43EC-8AC5-F4897356D7C1}"/>
    <cellStyle name="Normal 5 3 3 2 2 3 5" xfId="9446" xr:uid="{00000000-0005-0000-0000-0000D64A0000}"/>
    <cellStyle name="Normal 5 3 3 2 2 3 6" xfId="26316" xr:uid="{C88A9338-4B27-4ED0-BDF6-30A1D65347FC}"/>
    <cellStyle name="Normal 5 3 3 2 2 4" xfId="1334" xr:uid="{00000000-0005-0000-0000-0000D74A0000}"/>
    <cellStyle name="Normal 5 3 3 2 2 4 2" xfId="3564" xr:uid="{00000000-0005-0000-0000-0000D84A0000}"/>
    <cellStyle name="Normal 5 3 3 2 2 4 2 2" xfId="7787" xr:uid="{00000000-0005-0000-0000-0000D94A0000}"/>
    <cellStyle name="Normal 5 3 3 2 2 4 2 2 2" xfId="24657" xr:uid="{00000000-0005-0000-0000-0000DA4A0000}"/>
    <cellStyle name="Normal 5 3 3 2 2 4 2 2 2 2" xfId="41525" xr:uid="{15D324F1-ED36-464F-9E85-BBEDCB995082}"/>
    <cellStyle name="Normal 5 3 3 2 2 4 2 2 3" xfId="16222" xr:uid="{00000000-0005-0000-0000-0000DB4A0000}"/>
    <cellStyle name="Normal 5 3 3 2 2 4 2 2 4" xfId="33091" xr:uid="{F9755544-2986-4B4D-8AE8-E2A2A0DF4A81}"/>
    <cellStyle name="Normal 5 3 3 2 2 4 2 3" xfId="20439" xr:uid="{00000000-0005-0000-0000-0000DC4A0000}"/>
    <cellStyle name="Normal 5 3 3 2 2 4 2 3 2" xfId="37308" xr:uid="{B8564E5F-4D60-4AEC-86B2-F63AB9DAAEF5}"/>
    <cellStyle name="Normal 5 3 3 2 2 4 2 4" xfId="12004" xr:uid="{00000000-0005-0000-0000-0000DD4A0000}"/>
    <cellStyle name="Normal 5 3 3 2 2 4 2 5" xfId="28874" xr:uid="{BD18294A-469A-4A61-BCB4-D18C00F2085F}"/>
    <cellStyle name="Normal 5 3 3 2 2 4 3" xfId="5642" xr:uid="{00000000-0005-0000-0000-0000DE4A0000}"/>
    <cellStyle name="Normal 5 3 3 2 2 4 3 2" xfId="22512" xr:uid="{00000000-0005-0000-0000-0000DF4A0000}"/>
    <cellStyle name="Normal 5 3 3 2 2 4 3 2 2" xfId="39380" xr:uid="{D1F49E10-626E-4F9F-9E54-4C3347A7CFEF}"/>
    <cellStyle name="Normal 5 3 3 2 2 4 3 3" xfId="14077" xr:uid="{00000000-0005-0000-0000-0000E04A0000}"/>
    <cellStyle name="Normal 5 3 3 2 2 4 3 4" xfId="30946" xr:uid="{978AAF71-C1DF-46DB-9DB3-33C37988EB53}"/>
    <cellStyle name="Normal 5 3 3 2 2 4 4" xfId="18294" xr:uid="{00000000-0005-0000-0000-0000E14A0000}"/>
    <cellStyle name="Normal 5 3 3 2 2 4 4 2" xfId="35163" xr:uid="{DE5BED73-EED0-403C-88FB-4B71B75AA179}"/>
    <cellStyle name="Normal 5 3 3 2 2 4 5" xfId="9859" xr:uid="{00000000-0005-0000-0000-0000E24A0000}"/>
    <cellStyle name="Normal 5 3 3 2 2 4 6" xfId="26729" xr:uid="{BC19E1CB-473A-4B22-B020-38AE236E39AF}"/>
    <cellStyle name="Normal 5 3 3 2 2 5" xfId="1747" xr:uid="{00000000-0005-0000-0000-0000E34A0000}"/>
    <cellStyle name="Normal 5 3 3 2 2 5 2" xfId="3977" xr:uid="{00000000-0005-0000-0000-0000E44A0000}"/>
    <cellStyle name="Normal 5 3 3 2 2 5 2 2" xfId="8200" xr:uid="{00000000-0005-0000-0000-0000E54A0000}"/>
    <cellStyle name="Normal 5 3 3 2 2 5 2 2 2" xfId="25070" xr:uid="{00000000-0005-0000-0000-0000E64A0000}"/>
    <cellStyle name="Normal 5 3 3 2 2 5 2 2 2 2" xfId="41938" xr:uid="{1DAB2314-69F2-4957-A440-4F0A60AB7BBC}"/>
    <cellStyle name="Normal 5 3 3 2 2 5 2 2 3" xfId="16635" xr:uid="{00000000-0005-0000-0000-0000E74A0000}"/>
    <cellStyle name="Normal 5 3 3 2 2 5 2 2 4" xfId="33504" xr:uid="{9109689A-C470-43CA-AADE-DC32C7634C00}"/>
    <cellStyle name="Normal 5 3 3 2 2 5 2 3" xfId="20852" xr:uid="{00000000-0005-0000-0000-0000E84A0000}"/>
    <cellStyle name="Normal 5 3 3 2 2 5 2 3 2" xfId="37721" xr:uid="{A865EC72-DBA1-4440-A033-79BE6E902640}"/>
    <cellStyle name="Normal 5 3 3 2 2 5 2 4" xfId="12417" xr:uid="{00000000-0005-0000-0000-0000E94A0000}"/>
    <cellStyle name="Normal 5 3 3 2 2 5 2 5" xfId="29287" xr:uid="{4A0B1E8C-2C10-4BAA-9605-EFBE774423B1}"/>
    <cellStyle name="Normal 5 3 3 2 2 5 3" xfId="6055" xr:uid="{00000000-0005-0000-0000-0000EA4A0000}"/>
    <cellStyle name="Normal 5 3 3 2 2 5 3 2" xfId="22925" xr:uid="{00000000-0005-0000-0000-0000EB4A0000}"/>
    <cellStyle name="Normal 5 3 3 2 2 5 3 2 2" xfId="39793" xr:uid="{5410771F-AFD1-4C26-93EF-600077F21A9F}"/>
    <cellStyle name="Normal 5 3 3 2 2 5 3 3" xfId="14490" xr:uid="{00000000-0005-0000-0000-0000EC4A0000}"/>
    <cellStyle name="Normal 5 3 3 2 2 5 3 4" xfId="31359" xr:uid="{50C03F73-BB11-40CD-8E19-54019D1D5F76}"/>
    <cellStyle name="Normal 5 3 3 2 2 5 4" xfId="18707" xr:uid="{00000000-0005-0000-0000-0000ED4A0000}"/>
    <cellStyle name="Normal 5 3 3 2 2 5 4 2" xfId="35576" xr:uid="{26117F2E-DE7F-43A8-A712-21380144B90E}"/>
    <cellStyle name="Normal 5 3 3 2 2 5 5" xfId="10272" xr:uid="{00000000-0005-0000-0000-0000EE4A0000}"/>
    <cellStyle name="Normal 5 3 3 2 2 5 6" xfId="27142" xr:uid="{7EDE4854-2439-4193-994E-BECA0D840B09}"/>
    <cellStyle name="Normal 5 3 3 2 2 6" xfId="2161" xr:uid="{00000000-0005-0000-0000-0000EF4A0000}"/>
    <cellStyle name="Normal 5 3 3 2 2 6 2" xfId="4390" xr:uid="{00000000-0005-0000-0000-0000F04A0000}"/>
    <cellStyle name="Normal 5 3 3 2 2 6 2 2" xfId="8613" xr:uid="{00000000-0005-0000-0000-0000F14A0000}"/>
    <cellStyle name="Normal 5 3 3 2 2 6 2 2 2" xfId="25483" xr:uid="{00000000-0005-0000-0000-0000F24A0000}"/>
    <cellStyle name="Normal 5 3 3 2 2 6 2 2 2 2" xfId="42351" xr:uid="{760A6C17-462E-43D3-AFA4-FF74EAA45FC2}"/>
    <cellStyle name="Normal 5 3 3 2 2 6 2 2 3" xfId="17048" xr:uid="{00000000-0005-0000-0000-0000F34A0000}"/>
    <cellStyle name="Normal 5 3 3 2 2 6 2 2 4" xfId="33917" xr:uid="{03B039BE-AD93-41E6-AFA9-967797780579}"/>
    <cellStyle name="Normal 5 3 3 2 2 6 2 3" xfId="21265" xr:uid="{00000000-0005-0000-0000-0000F44A0000}"/>
    <cellStyle name="Normal 5 3 3 2 2 6 2 3 2" xfId="38134" xr:uid="{1439396B-94B1-43B8-891A-EE1226F6A069}"/>
    <cellStyle name="Normal 5 3 3 2 2 6 2 4" xfId="12830" xr:uid="{00000000-0005-0000-0000-0000F54A0000}"/>
    <cellStyle name="Normal 5 3 3 2 2 6 2 5" xfId="29700" xr:uid="{97C82504-BF5B-466F-B2BF-706746D3B8F4}"/>
    <cellStyle name="Normal 5 3 3 2 2 6 3" xfId="6468" xr:uid="{00000000-0005-0000-0000-0000F64A0000}"/>
    <cellStyle name="Normal 5 3 3 2 2 6 3 2" xfId="23338" xr:uid="{00000000-0005-0000-0000-0000F74A0000}"/>
    <cellStyle name="Normal 5 3 3 2 2 6 3 2 2" xfId="40206" xr:uid="{BD122CC5-ADB0-4A44-93DA-258022CFE4B9}"/>
    <cellStyle name="Normal 5 3 3 2 2 6 3 3" xfId="14903" xr:uid="{00000000-0005-0000-0000-0000F84A0000}"/>
    <cellStyle name="Normal 5 3 3 2 2 6 3 4" xfId="31772" xr:uid="{89AC77D7-9E24-4571-8912-537C5E136505}"/>
    <cellStyle name="Normal 5 3 3 2 2 6 4" xfId="19120" xr:uid="{00000000-0005-0000-0000-0000F94A0000}"/>
    <cellStyle name="Normal 5 3 3 2 2 6 4 2" xfId="35989" xr:uid="{7277C6E3-EC13-4D3A-94E7-78E65D59D0A4}"/>
    <cellStyle name="Normal 5 3 3 2 2 6 5" xfId="10685" xr:uid="{00000000-0005-0000-0000-0000FA4A0000}"/>
    <cellStyle name="Normal 5 3 3 2 2 6 6" xfId="27555" xr:uid="{94623EE9-C70D-4D6F-A901-AC0BE775994B}"/>
    <cellStyle name="Normal 5 3 3 2 2 7" xfId="2597" xr:uid="{00000000-0005-0000-0000-0000FB4A0000}"/>
    <cellStyle name="Normal 5 3 3 2 2 7 2" xfId="6881" xr:uid="{00000000-0005-0000-0000-0000FC4A0000}"/>
    <cellStyle name="Normal 5 3 3 2 2 7 2 2" xfId="23751" xr:uid="{00000000-0005-0000-0000-0000FD4A0000}"/>
    <cellStyle name="Normal 5 3 3 2 2 7 2 2 2" xfId="40619" xr:uid="{7A7F9E24-1FC8-43BE-B68C-D9C2292DC318}"/>
    <cellStyle name="Normal 5 3 3 2 2 7 2 3" xfId="15316" xr:uid="{00000000-0005-0000-0000-0000FE4A0000}"/>
    <cellStyle name="Normal 5 3 3 2 2 7 2 4" xfId="32185" xr:uid="{9F94BAE7-E46F-427D-955E-F519FA174222}"/>
    <cellStyle name="Normal 5 3 3 2 2 7 3" xfId="19533" xr:uid="{00000000-0005-0000-0000-0000FF4A0000}"/>
    <cellStyle name="Normal 5 3 3 2 2 7 3 2" xfId="36402" xr:uid="{82F549FD-CF01-4B55-8E22-FC95EABDA51E}"/>
    <cellStyle name="Normal 5 3 3 2 2 7 4" xfId="11098" xr:uid="{00000000-0005-0000-0000-0000004B0000}"/>
    <cellStyle name="Normal 5 3 3 2 2 7 5" xfId="27968" xr:uid="{E6FA61D1-06D4-4636-B5EF-F261160E7AB2}"/>
    <cellStyle name="Normal 5 3 3 2 2 8" xfId="4816" xr:uid="{00000000-0005-0000-0000-0000014B0000}"/>
    <cellStyle name="Normal 5 3 3 2 2 8 2" xfId="21686" xr:uid="{00000000-0005-0000-0000-0000024B0000}"/>
    <cellStyle name="Normal 5 3 3 2 2 8 2 2" xfId="38554" xr:uid="{71DDEFC6-BAF3-429F-B015-DC573376E7EF}"/>
    <cellStyle name="Normal 5 3 3 2 2 8 3" xfId="13251" xr:uid="{00000000-0005-0000-0000-0000034B0000}"/>
    <cellStyle name="Normal 5 3 3 2 2 8 4" xfId="30120" xr:uid="{67AFFEE8-7B90-4A25-A636-EAED3ADB64D5}"/>
    <cellStyle name="Normal 5 3 3 2 2 9" xfId="17468" xr:uid="{00000000-0005-0000-0000-0000044B0000}"/>
    <cellStyle name="Normal 5 3 3 2 2 9 2" xfId="34337" xr:uid="{A0733F50-B8F9-49C4-AAB1-BADFD32DCE0B}"/>
    <cellStyle name="Normal 5 3 3 2 3" xfId="445" xr:uid="{00000000-0005-0000-0000-0000054B0000}"/>
    <cellStyle name="Normal 5 3 3 2 3 10" xfId="25905" xr:uid="{D5517B6B-A8D4-4206-8E1C-2297FB52FCC7}"/>
    <cellStyle name="Normal 5 3 3 2 3 2" xfId="919" xr:uid="{00000000-0005-0000-0000-0000064B0000}"/>
    <cellStyle name="Normal 5 3 3 2 3 2 2" xfId="3153" xr:uid="{00000000-0005-0000-0000-0000074B0000}"/>
    <cellStyle name="Normal 5 3 3 2 3 2 2 2" xfId="7376" xr:uid="{00000000-0005-0000-0000-0000084B0000}"/>
    <cellStyle name="Normal 5 3 3 2 3 2 2 2 2" xfId="24246" xr:uid="{00000000-0005-0000-0000-0000094B0000}"/>
    <cellStyle name="Normal 5 3 3 2 3 2 2 2 2 2" xfId="41114" xr:uid="{855858C9-0CB1-4360-924E-504EB59D751E}"/>
    <cellStyle name="Normal 5 3 3 2 3 2 2 2 3" xfId="15811" xr:uid="{00000000-0005-0000-0000-00000A4B0000}"/>
    <cellStyle name="Normal 5 3 3 2 3 2 2 2 4" xfId="32680" xr:uid="{985A95AA-A7C3-440E-BBC3-57AD4EB14A7A}"/>
    <cellStyle name="Normal 5 3 3 2 3 2 2 3" xfId="20028" xr:uid="{00000000-0005-0000-0000-00000B4B0000}"/>
    <cellStyle name="Normal 5 3 3 2 3 2 2 3 2" xfId="36897" xr:uid="{024732F0-BED3-44D8-B2C8-114A6D52149C}"/>
    <cellStyle name="Normal 5 3 3 2 3 2 2 4" xfId="11593" xr:uid="{00000000-0005-0000-0000-00000C4B0000}"/>
    <cellStyle name="Normal 5 3 3 2 3 2 2 5" xfId="28463" xr:uid="{016A752F-5351-45D1-8E5D-CFA03EE196C0}"/>
    <cellStyle name="Normal 5 3 3 2 3 2 3" xfId="5231" xr:uid="{00000000-0005-0000-0000-00000D4B0000}"/>
    <cellStyle name="Normal 5 3 3 2 3 2 3 2" xfId="22101" xr:uid="{00000000-0005-0000-0000-00000E4B0000}"/>
    <cellStyle name="Normal 5 3 3 2 3 2 3 2 2" xfId="38969" xr:uid="{DF0AAC5B-F767-45D0-A466-23CC8C6D5155}"/>
    <cellStyle name="Normal 5 3 3 2 3 2 3 3" xfId="13666" xr:uid="{00000000-0005-0000-0000-00000F4B0000}"/>
    <cellStyle name="Normal 5 3 3 2 3 2 3 4" xfId="30535" xr:uid="{4D843469-2C76-44D2-8C8A-9EB499F39E23}"/>
    <cellStyle name="Normal 5 3 3 2 3 2 4" xfId="17883" xr:uid="{00000000-0005-0000-0000-0000104B0000}"/>
    <cellStyle name="Normal 5 3 3 2 3 2 4 2" xfId="34752" xr:uid="{FA411907-50B4-4B46-A137-6186328E32E9}"/>
    <cellStyle name="Normal 5 3 3 2 3 2 5" xfId="9448" xr:uid="{00000000-0005-0000-0000-0000114B0000}"/>
    <cellStyle name="Normal 5 3 3 2 3 2 6" xfId="26318" xr:uid="{B632DFC6-A88E-4598-BF4B-E594DE5F6D3A}"/>
    <cellStyle name="Normal 5 3 3 2 3 3" xfId="1336" xr:uid="{00000000-0005-0000-0000-0000124B0000}"/>
    <cellStyle name="Normal 5 3 3 2 3 3 2" xfId="3566" xr:uid="{00000000-0005-0000-0000-0000134B0000}"/>
    <cellStyle name="Normal 5 3 3 2 3 3 2 2" xfId="7789" xr:uid="{00000000-0005-0000-0000-0000144B0000}"/>
    <cellStyle name="Normal 5 3 3 2 3 3 2 2 2" xfId="24659" xr:uid="{00000000-0005-0000-0000-0000154B0000}"/>
    <cellStyle name="Normal 5 3 3 2 3 3 2 2 2 2" xfId="41527" xr:uid="{DEE80A72-6678-4AFE-B7E7-5D80A4A19F44}"/>
    <cellStyle name="Normal 5 3 3 2 3 3 2 2 3" xfId="16224" xr:uid="{00000000-0005-0000-0000-0000164B0000}"/>
    <cellStyle name="Normal 5 3 3 2 3 3 2 2 4" xfId="33093" xr:uid="{73C47FE2-B606-4D8D-890D-482A9C1B9E18}"/>
    <cellStyle name="Normal 5 3 3 2 3 3 2 3" xfId="20441" xr:uid="{00000000-0005-0000-0000-0000174B0000}"/>
    <cellStyle name="Normal 5 3 3 2 3 3 2 3 2" xfId="37310" xr:uid="{C0018BFE-9BE9-4372-B9A2-6ACE4AD22242}"/>
    <cellStyle name="Normal 5 3 3 2 3 3 2 4" xfId="12006" xr:uid="{00000000-0005-0000-0000-0000184B0000}"/>
    <cellStyle name="Normal 5 3 3 2 3 3 2 5" xfId="28876" xr:uid="{901C62AA-32CB-4F16-B75B-68B5F7CC2119}"/>
    <cellStyle name="Normal 5 3 3 2 3 3 3" xfId="5644" xr:uid="{00000000-0005-0000-0000-0000194B0000}"/>
    <cellStyle name="Normal 5 3 3 2 3 3 3 2" xfId="22514" xr:uid="{00000000-0005-0000-0000-00001A4B0000}"/>
    <cellStyle name="Normal 5 3 3 2 3 3 3 2 2" xfId="39382" xr:uid="{FAE8F0A2-DDF9-44AD-81D5-06FB0652AC20}"/>
    <cellStyle name="Normal 5 3 3 2 3 3 3 3" xfId="14079" xr:uid="{00000000-0005-0000-0000-00001B4B0000}"/>
    <cellStyle name="Normal 5 3 3 2 3 3 3 4" xfId="30948" xr:uid="{9E52BAAC-EB49-40AF-9FD5-4AF00FE6BFDB}"/>
    <cellStyle name="Normal 5 3 3 2 3 3 4" xfId="18296" xr:uid="{00000000-0005-0000-0000-00001C4B0000}"/>
    <cellStyle name="Normal 5 3 3 2 3 3 4 2" xfId="35165" xr:uid="{E49ACFFD-5AC3-4C2E-A286-1A60A99AF82B}"/>
    <cellStyle name="Normal 5 3 3 2 3 3 5" xfId="9861" xr:uid="{00000000-0005-0000-0000-00001D4B0000}"/>
    <cellStyle name="Normal 5 3 3 2 3 3 6" xfId="26731" xr:uid="{72CF94FF-C65F-4CEE-A052-19FD475DA712}"/>
    <cellStyle name="Normal 5 3 3 2 3 4" xfId="1749" xr:uid="{00000000-0005-0000-0000-00001E4B0000}"/>
    <cellStyle name="Normal 5 3 3 2 3 4 2" xfId="3979" xr:uid="{00000000-0005-0000-0000-00001F4B0000}"/>
    <cellStyle name="Normal 5 3 3 2 3 4 2 2" xfId="8202" xr:uid="{00000000-0005-0000-0000-0000204B0000}"/>
    <cellStyle name="Normal 5 3 3 2 3 4 2 2 2" xfId="25072" xr:uid="{00000000-0005-0000-0000-0000214B0000}"/>
    <cellStyle name="Normal 5 3 3 2 3 4 2 2 2 2" xfId="41940" xr:uid="{64A1D67E-E44E-4A5F-B821-99346FC8CA51}"/>
    <cellStyle name="Normal 5 3 3 2 3 4 2 2 3" xfId="16637" xr:uid="{00000000-0005-0000-0000-0000224B0000}"/>
    <cellStyle name="Normal 5 3 3 2 3 4 2 2 4" xfId="33506" xr:uid="{AFD396F1-6D10-4A69-9097-F8FB540BE11E}"/>
    <cellStyle name="Normal 5 3 3 2 3 4 2 3" xfId="20854" xr:uid="{00000000-0005-0000-0000-0000234B0000}"/>
    <cellStyle name="Normal 5 3 3 2 3 4 2 3 2" xfId="37723" xr:uid="{5ECC1AF0-F37E-4C61-A820-ABE59B9EB05B}"/>
    <cellStyle name="Normal 5 3 3 2 3 4 2 4" xfId="12419" xr:uid="{00000000-0005-0000-0000-0000244B0000}"/>
    <cellStyle name="Normal 5 3 3 2 3 4 2 5" xfId="29289" xr:uid="{ACB6FBD1-FEF7-4B9B-9D44-02D1286C62C0}"/>
    <cellStyle name="Normal 5 3 3 2 3 4 3" xfId="6057" xr:uid="{00000000-0005-0000-0000-0000254B0000}"/>
    <cellStyle name="Normal 5 3 3 2 3 4 3 2" xfId="22927" xr:uid="{00000000-0005-0000-0000-0000264B0000}"/>
    <cellStyle name="Normal 5 3 3 2 3 4 3 2 2" xfId="39795" xr:uid="{749597C2-F6BD-4944-B884-CF142B7EAB4E}"/>
    <cellStyle name="Normal 5 3 3 2 3 4 3 3" xfId="14492" xr:uid="{00000000-0005-0000-0000-0000274B0000}"/>
    <cellStyle name="Normal 5 3 3 2 3 4 3 4" xfId="31361" xr:uid="{19F1FB60-FDC9-463B-BDE6-6644D6BB4124}"/>
    <cellStyle name="Normal 5 3 3 2 3 4 4" xfId="18709" xr:uid="{00000000-0005-0000-0000-0000284B0000}"/>
    <cellStyle name="Normal 5 3 3 2 3 4 4 2" xfId="35578" xr:uid="{05F333D6-07B8-4C95-8B61-3EAB7FD9BC75}"/>
    <cellStyle name="Normal 5 3 3 2 3 4 5" xfId="10274" xr:uid="{00000000-0005-0000-0000-0000294B0000}"/>
    <cellStyle name="Normal 5 3 3 2 3 4 6" xfId="27144" xr:uid="{1121DBF7-9BFE-4FF7-9E2E-9D873F7025A9}"/>
    <cellStyle name="Normal 5 3 3 2 3 5" xfId="2163" xr:uid="{00000000-0005-0000-0000-00002A4B0000}"/>
    <cellStyle name="Normal 5 3 3 2 3 5 2" xfId="4392" xr:uid="{00000000-0005-0000-0000-00002B4B0000}"/>
    <cellStyle name="Normal 5 3 3 2 3 5 2 2" xfId="8615" xr:uid="{00000000-0005-0000-0000-00002C4B0000}"/>
    <cellStyle name="Normal 5 3 3 2 3 5 2 2 2" xfId="25485" xr:uid="{00000000-0005-0000-0000-00002D4B0000}"/>
    <cellStyle name="Normal 5 3 3 2 3 5 2 2 2 2" xfId="42353" xr:uid="{2CE6F60E-7BD6-4457-992E-BAAD505E3BC1}"/>
    <cellStyle name="Normal 5 3 3 2 3 5 2 2 3" xfId="17050" xr:uid="{00000000-0005-0000-0000-00002E4B0000}"/>
    <cellStyle name="Normal 5 3 3 2 3 5 2 2 4" xfId="33919" xr:uid="{B801451F-20B2-42DB-AF01-521BEC30FA8A}"/>
    <cellStyle name="Normal 5 3 3 2 3 5 2 3" xfId="21267" xr:uid="{00000000-0005-0000-0000-00002F4B0000}"/>
    <cellStyle name="Normal 5 3 3 2 3 5 2 3 2" xfId="38136" xr:uid="{8CB3DF1A-CBC7-40D1-91B9-BBED336741C2}"/>
    <cellStyle name="Normal 5 3 3 2 3 5 2 4" xfId="12832" xr:uid="{00000000-0005-0000-0000-0000304B0000}"/>
    <cellStyle name="Normal 5 3 3 2 3 5 2 5" xfId="29702" xr:uid="{97F6F089-FF59-40E6-934E-1DCE85BA3831}"/>
    <cellStyle name="Normal 5 3 3 2 3 5 3" xfId="6470" xr:uid="{00000000-0005-0000-0000-0000314B0000}"/>
    <cellStyle name="Normal 5 3 3 2 3 5 3 2" xfId="23340" xr:uid="{00000000-0005-0000-0000-0000324B0000}"/>
    <cellStyle name="Normal 5 3 3 2 3 5 3 2 2" xfId="40208" xr:uid="{B30BB164-C698-41AF-BC8E-6C410F7410AE}"/>
    <cellStyle name="Normal 5 3 3 2 3 5 3 3" xfId="14905" xr:uid="{00000000-0005-0000-0000-0000334B0000}"/>
    <cellStyle name="Normal 5 3 3 2 3 5 3 4" xfId="31774" xr:uid="{1A5348FB-C711-4317-9FC0-24A1C34B9B12}"/>
    <cellStyle name="Normal 5 3 3 2 3 5 4" xfId="19122" xr:uid="{00000000-0005-0000-0000-0000344B0000}"/>
    <cellStyle name="Normal 5 3 3 2 3 5 4 2" xfId="35991" xr:uid="{8D5C70B3-030A-4D72-A3A1-0B4DDBC4D76D}"/>
    <cellStyle name="Normal 5 3 3 2 3 5 5" xfId="10687" xr:uid="{00000000-0005-0000-0000-0000354B0000}"/>
    <cellStyle name="Normal 5 3 3 2 3 5 6" xfId="27557" xr:uid="{EFB598BC-F4AC-48B5-A96B-BF44DCF0B4C8}"/>
    <cellStyle name="Normal 5 3 3 2 3 6" xfId="2599" xr:uid="{00000000-0005-0000-0000-0000364B0000}"/>
    <cellStyle name="Normal 5 3 3 2 3 6 2" xfId="6883" xr:uid="{00000000-0005-0000-0000-0000374B0000}"/>
    <cellStyle name="Normal 5 3 3 2 3 6 2 2" xfId="23753" xr:uid="{00000000-0005-0000-0000-0000384B0000}"/>
    <cellStyle name="Normal 5 3 3 2 3 6 2 2 2" xfId="40621" xr:uid="{23F32168-0456-4EEA-9777-6C4A1FB8FF85}"/>
    <cellStyle name="Normal 5 3 3 2 3 6 2 3" xfId="15318" xr:uid="{00000000-0005-0000-0000-0000394B0000}"/>
    <cellStyle name="Normal 5 3 3 2 3 6 2 4" xfId="32187" xr:uid="{929C54C7-F87B-4EF9-8DB9-1D6E9983E171}"/>
    <cellStyle name="Normal 5 3 3 2 3 6 3" xfId="19535" xr:uid="{00000000-0005-0000-0000-00003A4B0000}"/>
    <cellStyle name="Normal 5 3 3 2 3 6 3 2" xfId="36404" xr:uid="{BAD2D8FE-38EC-470F-B633-1728339657CC}"/>
    <cellStyle name="Normal 5 3 3 2 3 6 4" xfId="11100" xr:uid="{00000000-0005-0000-0000-00003B4B0000}"/>
    <cellStyle name="Normal 5 3 3 2 3 6 5" xfId="27970" xr:uid="{E170E49A-B93A-4E6E-AB3D-505423ECA7A1}"/>
    <cellStyle name="Normal 5 3 3 2 3 7" xfId="4818" xr:uid="{00000000-0005-0000-0000-00003C4B0000}"/>
    <cellStyle name="Normal 5 3 3 2 3 7 2" xfId="21688" xr:uid="{00000000-0005-0000-0000-00003D4B0000}"/>
    <cellStyle name="Normal 5 3 3 2 3 7 2 2" xfId="38556" xr:uid="{565DC2AA-FBE5-4881-AE45-E0752F73F180}"/>
    <cellStyle name="Normal 5 3 3 2 3 7 3" xfId="13253" xr:uid="{00000000-0005-0000-0000-00003E4B0000}"/>
    <cellStyle name="Normal 5 3 3 2 3 7 4" xfId="30122" xr:uid="{906DBC3F-859A-4273-A67E-C805BB43951E}"/>
    <cellStyle name="Normal 5 3 3 2 3 8" xfId="17470" xr:uid="{00000000-0005-0000-0000-00003F4B0000}"/>
    <cellStyle name="Normal 5 3 3 2 3 8 2" xfId="34339" xr:uid="{2721F19A-D42B-4474-8325-C2DDC0C436EC}"/>
    <cellStyle name="Normal 5 3 3 2 3 9" xfId="9035" xr:uid="{00000000-0005-0000-0000-0000404B0000}"/>
    <cellStyle name="Normal 5 3 3 2 4" xfId="916" xr:uid="{00000000-0005-0000-0000-0000414B0000}"/>
    <cellStyle name="Normal 5 3 3 2 4 2" xfId="3150" xr:uid="{00000000-0005-0000-0000-0000424B0000}"/>
    <cellStyle name="Normal 5 3 3 2 4 2 2" xfId="7373" xr:uid="{00000000-0005-0000-0000-0000434B0000}"/>
    <cellStyle name="Normal 5 3 3 2 4 2 2 2" xfId="24243" xr:uid="{00000000-0005-0000-0000-0000444B0000}"/>
    <cellStyle name="Normal 5 3 3 2 4 2 2 2 2" xfId="41111" xr:uid="{79C6FBB5-DA99-4699-9E18-4CD6F51168E4}"/>
    <cellStyle name="Normal 5 3 3 2 4 2 2 3" xfId="15808" xr:uid="{00000000-0005-0000-0000-0000454B0000}"/>
    <cellStyle name="Normal 5 3 3 2 4 2 2 4" xfId="32677" xr:uid="{B5720F31-4B35-4435-BECB-40EF4DD9870E}"/>
    <cellStyle name="Normal 5 3 3 2 4 2 3" xfId="20025" xr:uid="{00000000-0005-0000-0000-0000464B0000}"/>
    <cellStyle name="Normal 5 3 3 2 4 2 3 2" xfId="36894" xr:uid="{B647B91B-C438-4292-8F08-93F0158F46B8}"/>
    <cellStyle name="Normal 5 3 3 2 4 2 4" xfId="11590" xr:uid="{00000000-0005-0000-0000-0000474B0000}"/>
    <cellStyle name="Normal 5 3 3 2 4 2 5" xfId="28460" xr:uid="{D588723C-5AE7-4F1A-BB1A-57B835A43EDE}"/>
    <cellStyle name="Normal 5 3 3 2 4 3" xfId="5228" xr:uid="{00000000-0005-0000-0000-0000484B0000}"/>
    <cellStyle name="Normal 5 3 3 2 4 3 2" xfId="22098" xr:uid="{00000000-0005-0000-0000-0000494B0000}"/>
    <cellStyle name="Normal 5 3 3 2 4 3 2 2" xfId="38966" xr:uid="{7F203B3A-226A-4615-A993-94B4D4C20F1B}"/>
    <cellStyle name="Normal 5 3 3 2 4 3 3" xfId="13663" xr:uid="{00000000-0005-0000-0000-00004A4B0000}"/>
    <cellStyle name="Normal 5 3 3 2 4 3 4" xfId="30532" xr:uid="{AD57328C-9966-4C7A-B586-6228D1E86B12}"/>
    <cellStyle name="Normal 5 3 3 2 4 4" xfId="17880" xr:uid="{00000000-0005-0000-0000-00004B4B0000}"/>
    <cellStyle name="Normal 5 3 3 2 4 4 2" xfId="34749" xr:uid="{837B6F30-1FD8-4D71-AEAC-A31AA86F1B33}"/>
    <cellStyle name="Normal 5 3 3 2 4 5" xfId="9445" xr:uid="{00000000-0005-0000-0000-00004C4B0000}"/>
    <cellStyle name="Normal 5 3 3 2 4 6" xfId="26315" xr:uid="{AF901018-5852-41E2-9AA9-A9E5512CE704}"/>
    <cellStyle name="Normal 5 3 3 2 5" xfId="1333" xr:uid="{00000000-0005-0000-0000-00004D4B0000}"/>
    <cellStyle name="Normal 5 3 3 2 5 2" xfId="3563" xr:uid="{00000000-0005-0000-0000-00004E4B0000}"/>
    <cellStyle name="Normal 5 3 3 2 5 2 2" xfId="7786" xr:uid="{00000000-0005-0000-0000-00004F4B0000}"/>
    <cellStyle name="Normal 5 3 3 2 5 2 2 2" xfId="24656" xr:uid="{00000000-0005-0000-0000-0000504B0000}"/>
    <cellStyle name="Normal 5 3 3 2 5 2 2 2 2" xfId="41524" xr:uid="{3A2DEF9B-4818-4E51-835B-17B938CF9EB1}"/>
    <cellStyle name="Normal 5 3 3 2 5 2 2 3" xfId="16221" xr:uid="{00000000-0005-0000-0000-0000514B0000}"/>
    <cellStyle name="Normal 5 3 3 2 5 2 2 4" xfId="33090" xr:uid="{6E0BF95C-6BAB-483E-B8C1-157F24529A0A}"/>
    <cellStyle name="Normal 5 3 3 2 5 2 3" xfId="20438" xr:uid="{00000000-0005-0000-0000-0000524B0000}"/>
    <cellStyle name="Normal 5 3 3 2 5 2 3 2" xfId="37307" xr:uid="{1F8ECC5F-A0A9-4B57-9CDF-2256361D2428}"/>
    <cellStyle name="Normal 5 3 3 2 5 2 4" xfId="12003" xr:uid="{00000000-0005-0000-0000-0000534B0000}"/>
    <cellStyle name="Normal 5 3 3 2 5 2 5" xfId="28873" xr:uid="{2BE9045D-8D04-4E16-9028-30F9A3DEB36E}"/>
    <cellStyle name="Normal 5 3 3 2 5 3" xfId="5641" xr:uid="{00000000-0005-0000-0000-0000544B0000}"/>
    <cellStyle name="Normal 5 3 3 2 5 3 2" xfId="22511" xr:uid="{00000000-0005-0000-0000-0000554B0000}"/>
    <cellStyle name="Normal 5 3 3 2 5 3 2 2" xfId="39379" xr:uid="{3A900435-72E0-4A00-96C4-6824FBBEFC33}"/>
    <cellStyle name="Normal 5 3 3 2 5 3 3" xfId="14076" xr:uid="{00000000-0005-0000-0000-0000564B0000}"/>
    <cellStyle name="Normal 5 3 3 2 5 3 4" xfId="30945" xr:uid="{EEB481F2-8FA8-46C7-8165-37D5D1B5020D}"/>
    <cellStyle name="Normal 5 3 3 2 5 4" xfId="18293" xr:uid="{00000000-0005-0000-0000-0000574B0000}"/>
    <cellStyle name="Normal 5 3 3 2 5 4 2" xfId="35162" xr:uid="{7F020905-B78E-4017-A51B-65517956321A}"/>
    <cellStyle name="Normal 5 3 3 2 5 5" xfId="9858" xr:uid="{00000000-0005-0000-0000-0000584B0000}"/>
    <cellStyle name="Normal 5 3 3 2 5 6" xfId="26728" xr:uid="{76F71A33-B4DF-4A5A-AEB0-06FD97971DE1}"/>
    <cellStyle name="Normal 5 3 3 2 6" xfId="1746" xr:uid="{00000000-0005-0000-0000-0000594B0000}"/>
    <cellStyle name="Normal 5 3 3 2 6 2" xfId="3976" xr:uid="{00000000-0005-0000-0000-00005A4B0000}"/>
    <cellStyle name="Normal 5 3 3 2 6 2 2" xfId="8199" xr:uid="{00000000-0005-0000-0000-00005B4B0000}"/>
    <cellStyle name="Normal 5 3 3 2 6 2 2 2" xfId="25069" xr:uid="{00000000-0005-0000-0000-00005C4B0000}"/>
    <cellStyle name="Normal 5 3 3 2 6 2 2 2 2" xfId="41937" xr:uid="{5F65F48D-76AA-4602-A58E-940D68F83E89}"/>
    <cellStyle name="Normal 5 3 3 2 6 2 2 3" xfId="16634" xr:uid="{00000000-0005-0000-0000-00005D4B0000}"/>
    <cellStyle name="Normal 5 3 3 2 6 2 2 4" xfId="33503" xr:uid="{73A5B954-8C90-408D-8A75-07CC4429EE46}"/>
    <cellStyle name="Normal 5 3 3 2 6 2 3" xfId="20851" xr:uid="{00000000-0005-0000-0000-00005E4B0000}"/>
    <cellStyle name="Normal 5 3 3 2 6 2 3 2" xfId="37720" xr:uid="{FD115810-8258-4EFF-8C78-41651DBEFAF7}"/>
    <cellStyle name="Normal 5 3 3 2 6 2 4" xfId="12416" xr:uid="{00000000-0005-0000-0000-00005F4B0000}"/>
    <cellStyle name="Normal 5 3 3 2 6 2 5" xfId="29286" xr:uid="{036D03DD-3478-45C8-97B6-F1FB9E3E2415}"/>
    <cellStyle name="Normal 5 3 3 2 6 3" xfId="6054" xr:uid="{00000000-0005-0000-0000-0000604B0000}"/>
    <cellStyle name="Normal 5 3 3 2 6 3 2" xfId="22924" xr:uid="{00000000-0005-0000-0000-0000614B0000}"/>
    <cellStyle name="Normal 5 3 3 2 6 3 2 2" xfId="39792" xr:uid="{C32AD412-4072-4B1E-B798-92EEC855BC5E}"/>
    <cellStyle name="Normal 5 3 3 2 6 3 3" xfId="14489" xr:uid="{00000000-0005-0000-0000-0000624B0000}"/>
    <cellStyle name="Normal 5 3 3 2 6 3 4" xfId="31358" xr:uid="{206B8573-8FA5-4D30-8BC2-239D9D97DFBF}"/>
    <cellStyle name="Normal 5 3 3 2 6 4" xfId="18706" xr:uid="{00000000-0005-0000-0000-0000634B0000}"/>
    <cellStyle name="Normal 5 3 3 2 6 4 2" xfId="35575" xr:uid="{62B5ACC3-72C5-48F2-962B-D873211CFAD8}"/>
    <cellStyle name="Normal 5 3 3 2 6 5" xfId="10271" xr:uid="{00000000-0005-0000-0000-0000644B0000}"/>
    <cellStyle name="Normal 5 3 3 2 6 6" xfId="27141" xr:uid="{1F8CE248-82C6-4C64-B74A-EEE1F57BFA87}"/>
    <cellStyle name="Normal 5 3 3 2 7" xfId="2160" xr:uid="{00000000-0005-0000-0000-0000654B0000}"/>
    <cellStyle name="Normal 5 3 3 2 7 2" xfId="4389" xr:uid="{00000000-0005-0000-0000-0000664B0000}"/>
    <cellStyle name="Normal 5 3 3 2 7 2 2" xfId="8612" xr:uid="{00000000-0005-0000-0000-0000674B0000}"/>
    <cellStyle name="Normal 5 3 3 2 7 2 2 2" xfId="25482" xr:uid="{00000000-0005-0000-0000-0000684B0000}"/>
    <cellStyle name="Normal 5 3 3 2 7 2 2 2 2" xfId="42350" xr:uid="{731B6C23-7AF5-457A-9540-9147E5C33501}"/>
    <cellStyle name="Normal 5 3 3 2 7 2 2 3" xfId="17047" xr:uid="{00000000-0005-0000-0000-0000694B0000}"/>
    <cellStyle name="Normal 5 3 3 2 7 2 2 4" xfId="33916" xr:uid="{23E682AA-8474-4108-B22F-F0F4647E7823}"/>
    <cellStyle name="Normal 5 3 3 2 7 2 3" xfId="21264" xr:uid="{00000000-0005-0000-0000-00006A4B0000}"/>
    <cellStyle name="Normal 5 3 3 2 7 2 3 2" xfId="38133" xr:uid="{B4C7B764-3C0F-4A4D-B08A-1457C0015350}"/>
    <cellStyle name="Normal 5 3 3 2 7 2 4" xfId="12829" xr:uid="{00000000-0005-0000-0000-00006B4B0000}"/>
    <cellStyle name="Normal 5 3 3 2 7 2 5" xfId="29699" xr:uid="{0CCBC7AC-C97A-4CB3-99CF-CB3FD97959CF}"/>
    <cellStyle name="Normal 5 3 3 2 7 3" xfId="6467" xr:uid="{00000000-0005-0000-0000-00006C4B0000}"/>
    <cellStyle name="Normal 5 3 3 2 7 3 2" xfId="23337" xr:uid="{00000000-0005-0000-0000-00006D4B0000}"/>
    <cellStyle name="Normal 5 3 3 2 7 3 2 2" xfId="40205" xr:uid="{5DD9EBF0-8D2B-4F10-9096-D9B2D62ECD0D}"/>
    <cellStyle name="Normal 5 3 3 2 7 3 3" xfId="14902" xr:uid="{00000000-0005-0000-0000-00006E4B0000}"/>
    <cellStyle name="Normal 5 3 3 2 7 3 4" xfId="31771" xr:uid="{A8EE163F-9FC1-43EB-946C-A3FC9204DCEC}"/>
    <cellStyle name="Normal 5 3 3 2 7 4" xfId="19119" xr:uid="{00000000-0005-0000-0000-00006F4B0000}"/>
    <cellStyle name="Normal 5 3 3 2 7 4 2" xfId="35988" xr:uid="{BA47A273-C373-4F1C-B799-B104F1855B89}"/>
    <cellStyle name="Normal 5 3 3 2 7 5" xfId="10684" xr:uid="{00000000-0005-0000-0000-0000704B0000}"/>
    <cellStyle name="Normal 5 3 3 2 7 6" xfId="27554" xr:uid="{1F8D9722-1C72-41A5-AC11-762E2B5FEE9C}"/>
    <cellStyle name="Normal 5 3 3 2 8" xfId="2596" xr:uid="{00000000-0005-0000-0000-0000714B0000}"/>
    <cellStyle name="Normal 5 3 3 2 8 2" xfId="6880" xr:uid="{00000000-0005-0000-0000-0000724B0000}"/>
    <cellStyle name="Normal 5 3 3 2 8 2 2" xfId="23750" xr:uid="{00000000-0005-0000-0000-0000734B0000}"/>
    <cellStyle name="Normal 5 3 3 2 8 2 2 2" xfId="40618" xr:uid="{917D41B1-E816-467D-AE07-A79AE8616014}"/>
    <cellStyle name="Normal 5 3 3 2 8 2 3" xfId="15315" xr:uid="{00000000-0005-0000-0000-0000744B0000}"/>
    <cellStyle name="Normal 5 3 3 2 8 2 4" xfId="32184" xr:uid="{CC79618F-B0E2-45C3-8BCF-FEE3F36BF9B2}"/>
    <cellStyle name="Normal 5 3 3 2 8 3" xfId="19532" xr:uid="{00000000-0005-0000-0000-0000754B0000}"/>
    <cellStyle name="Normal 5 3 3 2 8 3 2" xfId="36401" xr:uid="{3F41531C-F1D3-4DF4-8EDB-01E10490581C}"/>
    <cellStyle name="Normal 5 3 3 2 8 4" xfId="11097" xr:uid="{00000000-0005-0000-0000-0000764B0000}"/>
    <cellStyle name="Normal 5 3 3 2 8 5" xfId="27967" xr:uid="{C7FD53D8-C879-425F-ACBF-8758633C9391}"/>
    <cellStyle name="Normal 5 3 3 2 9" xfId="4815" xr:uid="{00000000-0005-0000-0000-0000774B0000}"/>
    <cellStyle name="Normal 5 3 3 2 9 2" xfId="21685" xr:uid="{00000000-0005-0000-0000-0000784B0000}"/>
    <cellStyle name="Normal 5 3 3 2 9 2 2" xfId="38553" xr:uid="{EBC84945-AA19-43EC-8437-787392915A49}"/>
    <cellStyle name="Normal 5 3 3 2 9 3" xfId="13250" xr:uid="{00000000-0005-0000-0000-0000794B0000}"/>
    <cellStyle name="Normal 5 3 3 2 9 4" xfId="30119" xr:uid="{D042F0B3-F8EA-48C4-A989-977C21855748}"/>
    <cellStyle name="Normal 5 3 3 3" xfId="446" xr:uid="{00000000-0005-0000-0000-00007A4B0000}"/>
    <cellStyle name="Normal 5 3 3 3 10" xfId="9036" xr:uid="{00000000-0005-0000-0000-00007B4B0000}"/>
    <cellStyle name="Normal 5 3 3 3 11" xfId="25906" xr:uid="{B5607E9B-AFED-455D-8DE4-7EB070F32894}"/>
    <cellStyle name="Normal 5 3 3 3 2" xfId="447" xr:uid="{00000000-0005-0000-0000-00007C4B0000}"/>
    <cellStyle name="Normal 5 3 3 3 2 10" xfId="25907" xr:uid="{306A0595-7FB1-40A9-9233-D90D299634CE}"/>
    <cellStyle name="Normal 5 3 3 3 2 2" xfId="921" xr:uid="{00000000-0005-0000-0000-00007D4B0000}"/>
    <cellStyle name="Normal 5 3 3 3 2 2 2" xfId="3155" xr:uid="{00000000-0005-0000-0000-00007E4B0000}"/>
    <cellStyle name="Normal 5 3 3 3 2 2 2 2" xfId="7378" xr:uid="{00000000-0005-0000-0000-00007F4B0000}"/>
    <cellStyle name="Normal 5 3 3 3 2 2 2 2 2" xfId="24248" xr:uid="{00000000-0005-0000-0000-0000804B0000}"/>
    <cellStyle name="Normal 5 3 3 3 2 2 2 2 2 2" xfId="41116" xr:uid="{106BA4A4-F134-42F1-BFEA-6FF8E656E7B7}"/>
    <cellStyle name="Normal 5 3 3 3 2 2 2 2 3" xfId="15813" xr:uid="{00000000-0005-0000-0000-0000814B0000}"/>
    <cellStyle name="Normal 5 3 3 3 2 2 2 2 4" xfId="32682" xr:uid="{11C8D3FE-5167-40A4-879D-AD1FCF970369}"/>
    <cellStyle name="Normal 5 3 3 3 2 2 2 3" xfId="20030" xr:uid="{00000000-0005-0000-0000-0000824B0000}"/>
    <cellStyle name="Normal 5 3 3 3 2 2 2 3 2" xfId="36899" xr:uid="{3B963557-51FC-4017-B0B7-A37DF3EE8970}"/>
    <cellStyle name="Normal 5 3 3 3 2 2 2 4" xfId="11595" xr:uid="{00000000-0005-0000-0000-0000834B0000}"/>
    <cellStyle name="Normal 5 3 3 3 2 2 2 5" xfId="28465" xr:uid="{42686D43-1BE3-4AF0-9297-0EFC67028131}"/>
    <cellStyle name="Normal 5 3 3 3 2 2 3" xfId="5233" xr:uid="{00000000-0005-0000-0000-0000844B0000}"/>
    <cellStyle name="Normal 5 3 3 3 2 2 3 2" xfId="22103" xr:uid="{00000000-0005-0000-0000-0000854B0000}"/>
    <cellStyle name="Normal 5 3 3 3 2 2 3 2 2" xfId="38971" xr:uid="{11BDF4A7-A39A-4E09-AC48-0438F5E40612}"/>
    <cellStyle name="Normal 5 3 3 3 2 2 3 3" xfId="13668" xr:uid="{00000000-0005-0000-0000-0000864B0000}"/>
    <cellStyle name="Normal 5 3 3 3 2 2 3 4" xfId="30537" xr:uid="{F71C62AC-4347-41B0-972D-A00CC7D3FC38}"/>
    <cellStyle name="Normal 5 3 3 3 2 2 4" xfId="17885" xr:uid="{00000000-0005-0000-0000-0000874B0000}"/>
    <cellStyle name="Normal 5 3 3 3 2 2 4 2" xfId="34754" xr:uid="{3014A09E-B96C-43F0-9027-D51AAC807BDC}"/>
    <cellStyle name="Normal 5 3 3 3 2 2 5" xfId="9450" xr:uid="{00000000-0005-0000-0000-0000884B0000}"/>
    <cellStyle name="Normal 5 3 3 3 2 2 6" xfId="26320" xr:uid="{8B0EAF2D-7C68-4BBC-A02F-DFB0DACD74C7}"/>
    <cellStyle name="Normal 5 3 3 3 2 3" xfId="1338" xr:uid="{00000000-0005-0000-0000-0000894B0000}"/>
    <cellStyle name="Normal 5 3 3 3 2 3 2" xfId="3568" xr:uid="{00000000-0005-0000-0000-00008A4B0000}"/>
    <cellStyle name="Normal 5 3 3 3 2 3 2 2" xfId="7791" xr:uid="{00000000-0005-0000-0000-00008B4B0000}"/>
    <cellStyle name="Normal 5 3 3 3 2 3 2 2 2" xfId="24661" xr:uid="{00000000-0005-0000-0000-00008C4B0000}"/>
    <cellStyle name="Normal 5 3 3 3 2 3 2 2 2 2" xfId="41529" xr:uid="{A2C009B9-7DCE-4EE6-A0A5-A9BDA883E50F}"/>
    <cellStyle name="Normal 5 3 3 3 2 3 2 2 3" xfId="16226" xr:uid="{00000000-0005-0000-0000-00008D4B0000}"/>
    <cellStyle name="Normal 5 3 3 3 2 3 2 2 4" xfId="33095" xr:uid="{05016FF6-64D9-49AF-92B0-AD09AA5850E5}"/>
    <cellStyle name="Normal 5 3 3 3 2 3 2 3" xfId="20443" xr:uid="{00000000-0005-0000-0000-00008E4B0000}"/>
    <cellStyle name="Normal 5 3 3 3 2 3 2 3 2" xfId="37312" xr:uid="{BF50576D-380E-43DB-B4C5-C74AA9442B0A}"/>
    <cellStyle name="Normal 5 3 3 3 2 3 2 4" xfId="12008" xr:uid="{00000000-0005-0000-0000-00008F4B0000}"/>
    <cellStyle name="Normal 5 3 3 3 2 3 2 5" xfId="28878" xr:uid="{C3198E58-E900-406B-B433-51AB51577B30}"/>
    <cellStyle name="Normal 5 3 3 3 2 3 3" xfId="5646" xr:uid="{00000000-0005-0000-0000-0000904B0000}"/>
    <cellStyle name="Normal 5 3 3 3 2 3 3 2" xfId="22516" xr:uid="{00000000-0005-0000-0000-0000914B0000}"/>
    <cellStyle name="Normal 5 3 3 3 2 3 3 2 2" xfId="39384" xr:uid="{7C957F50-EB7E-4FC6-8386-7C1FC0FD0800}"/>
    <cellStyle name="Normal 5 3 3 3 2 3 3 3" xfId="14081" xr:uid="{00000000-0005-0000-0000-0000924B0000}"/>
    <cellStyle name="Normal 5 3 3 3 2 3 3 4" xfId="30950" xr:uid="{C017E7F8-F3DA-469C-8306-8F18689BC761}"/>
    <cellStyle name="Normal 5 3 3 3 2 3 4" xfId="18298" xr:uid="{00000000-0005-0000-0000-0000934B0000}"/>
    <cellStyle name="Normal 5 3 3 3 2 3 4 2" xfId="35167" xr:uid="{353E6889-4905-4603-AC14-3CEEB8F2BA57}"/>
    <cellStyle name="Normal 5 3 3 3 2 3 5" xfId="9863" xr:uid="{00000000-0005-0000-0000-0000944B0000}"/>
    <cellStyle name="Normal 5 3 3 3 2 3 6" xfId="26733" xr:uid="{797570B5-28C6-49F0-9511-3E0F7F11EE9A}"/>
    <cellStyle name="Normal 5 3 3 3 2 4" xfId="1751" xr:uid="{00000000-0005-0000-0000-0000954B0000}"/>
    <cellStyle name="Normal 5 3 3 3 2 4 2" xfId="3981" xr:uid="{00000000-0005-0000-0000-0000964B0000}"/>
    <cellStyle name="Normal 5 3 3 3 2 4 2 2" xfId="8204" xr:uid="{00000000-0005-0000-0000-0000974B0000}"/>
    <cellStyle name="Normal 5 3 3 3 2 4 2 2 2" xfId="25074" xr:uid="{00000000-0005-0000-0000-0000984B0000}"/>
    <cellStyle name="Normal 5 3 3 3 2 4 2 2 2 2" xfId="41942" xr:uid="{9A56F9AE-E4D0-4070-B59D-A6996208BF03}"/>
    <cellStyle name="Normal 5 3 3 3 2 4 2 2 3" xfId="16639" xr:uid="{00000000-0005-0000-0000-0000994B0000}"/>
    <cellStyle name="Normal 5 3 3 3 2 4 2 2 4" xfId="33508" xr:uid="{676352E0-09DA-499C-9B30-0D1B91A7657D}"/>
    <cellStyle name="Normal 5 3 3 3 2 4 2 3" xfId="20856" xr:uid="{00000000-0005-0000-0000-00009A4B0000}"/>
    <cellStyle name="Normal 5 3 3 3 2 4 2 3 2" xfId="37725" xr:uid="{7878D12B-9D16-4842-90EE-ABBE1D691921}"/>
    <cellStyle name="Normal 5 3 3 3 2 4 2 4" xfId="12421" xr:uid="{00000000-0005-0000-0000-00009B4B0000}"/>
    <cellStyle name="Normal 5 3 3 3 2 4 2 5" xfId="29291" xr:uid="{7059BC67-D67D-45FF-819A-0BC37891209A}"/>
    <cellStyle name="Normal 5 3 3 3 2 4 3" xfId="6059" xr:uid="{00000000-0005-0000-0000-00009C4B0000}"/>
    <cellStyle name="Normal 5 3 3 3 2 4 3 2" xfId="22929" xr:uid="{00000000-0005-0000-0000-00009D4B0000}"/>
    <cellStyle name="Normal 5 3 3 3 2 4 3 2 2" xfId="39797" xr:uid="{BC3972CA-E689-4EB9-8FEF-C5A3A7DB879A}"/>
    <cellStyle name="Normal 5 3 3 3 2 4 3 3" xfId="14494" xr:uid="{00000000-0005-0000-0000-00009E4B0000}"/>
    <cellStyle name="Normal 5 3 3 3 2 4 3 4" xfId="31363" xr:uid="{41F1975D-65D1-45D7-8CB5-84BE5E80E1C4}"/>
    <cellStyle name="Normal 5 3 3 3 2 4 4" xfId="18711" xr:uid="{00000000-0005-0000-0000-00009F4B0000}"/>
    <cellStyle name="Normal 5 3 3 3 2 4 4 2" xfId="35580" xr:uid="{66BE828E-6748-474A-A326-4D53ED259384}"/>
    <cellStyle name="Normal 5 3 3 3 2 4 5" xfId="10276" xr:uid="{00000000-0005-0000-0000-0000A04B0000}"/>
    <cellStyle name="Normal 5 3 3 3 2 4 6" xfId="27146" xr:uid="{C0D93381-0D91-42CE-82D2-E8D8495A85DB}"/>
    <cellStyle name="Normal 5 3 3 3 2 5" xfId="2165" xr:uid="{00000000-0005-0000-0000-0000A14B0000}"/>
    <cellStyle name="Normal 5 3 3 3 2 5 2" xfId="4394" xr:uid="{00000000-0005-0000-0000-0000A24B0000}"/>
    <cellStyle name="Normal 5 3 3 3 2 5 2 2" xfId="8617" xr:uid="{00000000-0005-0000-0000-0000A34B0000}"/>
    <cellStyle name="Normal 5 3 3 3 2 5 2 2 2" xfId="25487" xr:uid="{00000000-0005-0000-0000-0000A44B0000}"/>
    <cellStyle name="Normal 5 3 3 3 2 5 2 2 2 2" xfId="42355" xr:uid="{10316627-BB31-4609-9D3F-B335945A4A72}"/>
    <cellStyle name="Normal 5 3 3 3 2 5 2 2 3" xfId="17052" xr:uid="{00000000-0005-0000-0000-0000A54B0000}"/>
    <cellStyle name="Normal 5 3 3 3 2 5 2 2 4" xfId="33921" xr:uid="{37FFD479-3981-40FD-ABED-1BBE20ED2CD2}"/>
    <cellStyle name="Normal 5 3 3 3 2 5 2 3" xfId="21269" xr:uid="{00000000-0005-0000-0000-0000A64B0000}"/>
    <cellStyle name="Normal 5 3 3 3 2 5 2 3 2" xfId="38138" xr:uid="{05307857-BB3D-4B55-9E65-705D4A49AD19}"/>
    <cellStyle name="Normal 5 3 3 3 2 5 2 4" xfId="12834" xr:uid="{00000000-0005-0000-0000-0000A74B0000}"/>
    <cellStyle name="Normal 5 3 3 3 2 5 2 5" xfId="29704" xr:uid="{90B547B6-3E12-480A-AAED-0FCE8B0AC0DF}"/>
    <cellStyle name="Normal 5 3 3 3 2 5 3" xfId="6472" xr:uid="{00000000-0005-0000-0000-0000A84B0000}"/>
    <cellStyle name="Normal 5 3 3 3 2 5 3 2" xfId="23342" xr:uid="{00000000-0005-0000-0000-0000A94B0000}"/>
    <cellStyle name="Normal 5 3 3 3 2 5 3 2 2" xfId="40210" xr:uid="{54F851AD-A90F-4A4D-A251-E5034B750546}"/>
    <cellStyle name="Normal 5 3 3 3 2 5 3 3" xfId="14907" xr:uid="{00000000-0005-0000-0000-0000AA4B0000}"/>
    <cellStyle name="Normal 5 3 3 3 2 5 3 4" xfId="31776" xr:uid="{9BCF7860-2B0E-420D-A77C-131EED6B30FA}"/>
    <cellStyle name="Normal 5 3 3 3 2 5 4" xfId="19124" xr:uid="{00000000-0005-0000-0000-0000AB4B0000}"/>
    <cellStyle name="Normal 5 3 3 3 2 5 4 2" xfId="35993" xr:uid="{E48A309C-64D0-4FD9-9624-929AE8FB9D7C}"/>
    <cellStyle name="Normal 5 3 3 3 2 5 5" xfId="10689" xr:uid="{00000000-0005-0000-0000-0000AC4B0000}"/>
    <cellStyle name="Normal 5 3 3 3 2 5 6" xfId="27559" xr:uid="{5172F26E-184F-40A4-9370-0CF340B7405C}"/>
    <cellStyle name="Normal 5 3 3 3 2 6" xfId="2601" xr:uid="{00000000-0005-0000-0000-0000AD4B0000}"/>
    <cellStyle name="Normal 5 3 3 3 2 6 2" xfId="6885" xr:uid="{00000000-0005-0000-0000-0000AE4B0000}"/>
    <cellStyle name="Normal 5 3 3 3 2 6 2 2" xfId="23755" xr:uid="{00000000-0005-0000-0000-0000AF4B0000}"/>
    <cellStyle name="Normal 5 3 3 3 2 6 2 2 2" xfId="40623" xr:uid="{51F2F53E-E267-41B1-9225-8B376E0BF015}"/>
    <cellStyle name="Normal 5 3 3 3 2 6 2 3" xfId="15320" xr:uid="{00000000-0005-0000-0000-0000B04B0000}"/>
    <cellStyle name="Normal 5 3 3 3 2 6 2 4" xfId="32189" xr:uid="{782D950C-E939-4EC7-B97C-F965031C84F9}"/>
    <cellStyle name="Normal 5 3 3 3 2 6 3" xfId="19537" xr:uid="{00000000-0005-0000-0000-0000B14B0000}"/>
    <cellStyle name="Normal 5 3 3 3 2 6 3 2" xfId="36406" xr:uid="{A0412AF9-E8D2-4501-913E-B6B460628763}"/>
    <cellStyle name="Normal 5 3 3 3 2 6 4" xfId="11102" xr:uid="{00000000-0005-0000-0000-0000B24B0000}"/>
    <cellStyle name="Normal 5 3 3 3 2 6 5" xfId="27972" xr:uid="{BE9283B2-DFB0-4C3A-8EDD-83D3CB40F5DD}"/>
    <cellStyle name="Normal 5 3 3 3 2 7" xfId="4820" xr:uid="{00000000-0005-0000-0000-0000B34B0000}"/>
    <cellStyle name="Normal 5 3 3 3 2 7 2" xfId="21690" xr:uid="{00000000-0005-0000-0000-0000B44B0000}"/>
    <cellStyle name="Normal 5 3 3 3 2 7 2 2" xfId="38558" xr:uid="{BBBC3696-00AA-475E-A7A6-5600305F4727}"/>
    <cellStyle name="Normal 5 3 3 3 2 7 3" xfId="13255" xr:uid="{00000000-0005-0000-0000-0000B54B0000}"/>
    <cellStyle name="Normal 5 3 3 3 2 7 4" xfId="30124" xr:uid="{C2DE8BD2-8CAD-4A1F-96A7-438A286AD5F3}"/>
    <cellStyle name="Normal 5 3 3 3 2 8" xfId="17472" xr:uid="{00000000-0005-0000-0000-0000B64B0000}"/>
    <cellStyle name="Normal 5 3 3 3 2 8 2" xfId="34341" xr:uid="{71FDC73C-BA22-4869-8A90-A8435725D04D}"/>
    <cellStyle name="Normal 5 3 3 3 2 9" xfId="9037" xr:uid="{00000000-0005-0000-0000-0000B74B0000}"/>
    <cellStyle name="Normal 5 3 3 3 3" xfId="920" xr:uid="{00000000-0005-0000-0000-0000B84B0000}"/>
    <cellStyle name="Normal 5 3 3 3 3 2" xfId="3154" xr:uid="{00000000-0005-0000-0000-0000B94B0000}"/>
    <cellStyle name="Normal 5 3 3 3 3 2 2" xfId="7377" xr:uid="{00000000-0005-0000-0000-0000BA4B0000}"/>
    <cellStyle name="Normal 5 3 3 3 3 2 2 2" xfId="24247" xr:uid="{00000000-0005-0000-0000-0000BB4B0000}"/>
    <cellStyle name="Normal 5 3 3 3 3 2 2 2 2" xfId="41115" xr:uid="{E08ADC1D-3417-441E-B7DD-B59A8EC2DBB3}"/>
    <cellStyle name="Normal 5 3 3 3 3 2 2 3" xfId="15812" xr:uid="{00000000-0005-0000-0000-0000BC4B0000}"/>
    <cellStyle name="Normal 5 3 3 3 3 2 2 4" xfId="32681" xr:uid="{CB1A33B1-2154-4010-8B30-349D019E2DAC}"/>
    <cellStyle name="Normal 5 3 3 3 3 2 3" xfId="20029" xr:uid="{00000000-0005-0000-0000-0000BD4B0000}"/>
    <cellStyle name="Normal 5 3 3 3 3 2 3 2" xfId="36898" xr:uid="{EF2D8DE2-1FDB-4B3A-B0CA-F8DF9727BD12}"/>
    <cellStyle name="Normal 5 3 3 3 3 2 4" xfId="11594" xr:uid="{00000000-0005-0000-0000-0000BE4B0000}"/>
    <cellStyle name="Normal 5 3 3 3 3 2 5" xfId="28464" xr:uid="{5A9D07B2-5373-4A98-BF8E-614D481EBA0C}"/>
    <cellStyle name="Normal 5 3 3 3 3 3" xfId="5232" xr:uid="{00000000-0005-0000-0000-0000BF4B0000}"/>
    <cellStyle name="Normal 5 3 3 3 3 3 2" xfId="22102" xr:uid="{00000000-0005-0000-0000-0000C04B0000}"/>
    <cellStyle name="Normal 5 3 3 3 3 3 2 2" xfId="38970" xr:uid="{A9EBE4E0-ECA8-4C8B-9077-3F5497E86F76}"/>
    <cellStyle name="Normal 5 3 3 3 3 3 3" xfId="13667" xr:uid="{00000000-0005-0000-0000-0000C14B0000}"/>
    <cellStyle name="Normal 5 3 3 3 3 3 4" xfId="30536" xr:uid="{6377EC66-F670-435C-B4F4-3595B1803573}"/>
    <cellStyle name="Normal 5 3 3 3 3 4" xfId="17884" xr:uid="{00000000-0005-0000-0000-0000C24B0000}"/>
    <cellStyle name="Normal 5 3 3 3 3 4 2" xfId="34753" xr:uid="{C40CC65D-C7A3-4D73-9B36-E269318E90AA}"/>
    <cellStyle name="Normal 5 3 3 3 3 5" xfId="9449" xr:uid="{00000000-0005-0000-0000-0000C34B0000}"/>
    <cellStyle name="Normal 5 3 3 3 3 6" xfId="26319" xr:uid="{0C418949-1773-44E1-9998-D037C828265F}"/>
    <cellStyle name="Normal 5 3 3 3 4" xfId="1337" xr:uid="{00000000-0005-0000-0000-0000C44B0000}"/>
    <cellStyle name="Normal 5 3 3 3 4 2" xfId="3567" xr:uid="{00000000-0005-0000-0000-0000C54B0000}"/>
    <cellStyle name="Normal 5 3 3 3 4 2 2" xfId="7790" xr:uid="{00000000-0005-0000-0000-0000C64B0000}"/>
    <cellStyle name="Normal 5 3 3 3 4 2 2 2" xfId="24660" xr:uid="{00000000-0005-0000-0000-0000C74B0000}"/>
    <cellStyle name="Normal 5 3 3 3 4 2 2 2 2" xfId="41528" xr:uid="{AF3410D9-EF0A-4CB2-A513-0CECF1EAAB1E}"/>
    <cellStyle name="Normal 5 3 3 3 4 2 2 3" xfId="16225" xr:uid="{00000000-0005-0000-0000-0000C84B0000}"/>
    <cellStyle name="Normal 5 3 3 3 4 2 2 4" xfId="33094" xr:uid="{10B3FCED-CBFD-432C-AB42-F5CE2785A645}"/>
    <cellStyle name="Normal 5 3 3 3 4 2 3" xfId="20442" xr:uid="{00000000-0005-0000-0000-0000C94B0000}"/>
    <cellStyle name="Normal 5 3 3 3 4 2 3 2" xfId="37311" xr:uid="{36A07771-4BB9-4340-A3B4-D867818FEA25}"/>
    <cellStyle name="Normal 5 3 3 3 4 2 4" xfId="12007" xr:uid="{00000000-0005-0000-0000-0000CA4B0000}"/>
    <cellStyle name="Normal 5 3 3 3 4 2 5" xfId="28877" xr:uid="{C1F24FDD-8FEB-49B7-ABF2-0D8FD388D85F}"/>
    <cellStyle name="Normal 5 3 3 3 4 3" xfId="5645" xr:uid="{00000000-0005-0000-0000-0000CB4B0000}"/>
    <cellStyle name="Normal 5 3 3 3 4 3 2" xfId="22515" xr:uid="{00000000-0005-0000-0000-0000CC4B0000}"/>
    <cellStyle name="Normal 5 3 3 3 4 3 2 2" xfId="39383" xr:uid="{CB6C4D40-8BE7-4303-897A-7CA9C23FD3ED}"/>
    <cellStyle name="Normal 5 3 3 3 4 3 3" xfId="14080" xr:uid="{00000000-0005-0000-0000-0000CD4B0000}"/>
    <cellStyle name="Normal 5 3 3 3 4 3 4" xfId="30949" xr:uid="{DE44BA4C-DDE4-4DDC-A62F-69B54583DAE5}"/>
    <cellStyle name="Normal 5 3 3 3 4 4" xfId="18297" xr:uid="{00000000-0005-0000-0000-0000CE4B0000}"/>
    <cellStyle name="Normal 5 3 3 3 4 4 2" xfId="35166" xr:uid="{326B3318-03C9-4F39-B8E5-C2815B3BB996}"/>
    <cellStyle name="Normal 5 3 3 3 4 5" xfId="9862" xr:uid="{00000000-0005-0000-0000-0000CF4B0000}"/>
    <cellStyle name="Normal 5 3 3 3 4 6" xfId="26732" xr:uid="{8179CA2C-B188-4065-83FF-6B71777C9DB2}"/>
    <cellStyle name="Normal 5 3 3 3 5" xfId="1750" xr:uid="{00000000-0005-0000-0000-0000D04B0000}"/>
    <cellStyle name="Normal 5 3 3 3 5 2" xfId="3980" xr:uid="{00000000-0005-0000-0000-0000D14B0000}"/>
    <cellStyle name="Normal 5 3 3 3 5 2 2" xfId="8203" xr:uid="{00000000-0005-0000-0000-0000D24B0000}"/>
    <cellStyle name="Normal 5 3 3 3 5 2 2 2" xfId="25073" xr:uid="{00000000-0005-0000-0000-0000D34B0000}"/>
    <cellStyle name="Normal 5 3 3 3 5 2 2 2 2" xfId="41941" xr:uid="{CBF9AEB0-A2C3-4776-860B-E463B2B8CDBB}"/>
    <cellStyle name="Normal 5 3 3 3 5 2 2 3" xfId="16638" xr:uid="{00000000-0005-0000-0000-0000D44B0000}"/>
    <cellStyle name="Normal 5 3 3 3 5 2 2 4" xfId="33507" xr:uid="{5E4E5787-7187-4B84-A30E-67C89381F43E}"/>
    <cellStyle name="Normal 5 3 3 3 5 2 3" xfId="20855" xr:uid="{00000000-0005-0000-0000-0000D54B0000}"/>
    <cellStyle name="Normal 5 3 3 3 5 2 3 2" xfId="37724" xr:uid="{6ACA119F-0438-4784-9864-48A8BA48A047}"/>
    <cellStyle name="Normal 5 3 3 3 5 2 4" xfId="12420" xr:uid="{00000000-0005-0000-0000-0000D64B0000}"/>
    <cellStyle name="Normal 5 3 3 3 5 2 5" xfId="29290" xr:uid="{196C35D9-848B-4AAC-B3E7-52CCC4653F51}"/>
    <cellStyle name="Normal 5 3 3 3 5 3" xfId="6058" xr:uid="{00000000-0005-0000-0000-0000D74B0000}"/>
    <cellStyle name="Normal 5 3 3 3 5 3 2" xfId="22928" xr:uid="{00000000-0005-0000-0000-0000D84B0000}"/>
    <cellStyle name="Normal 5 3 3 3 5 3 2 2" xfId="39796" xr:uid="{655E4DFD-A6AC-47B4-8214-C72A6AC23226}"/>
    <cellStyle name="Normal 5 3 3 3 5 3 3" xfId="14493" xr:uid="{00000000-0005-0000-0000-0000D94B0000}"/>
    <cellStyle name="Normal 5 3 3 3 5 3 4" xfId="31362" xr:uid="{A676725B-12AE-4CB5-997D-7349D2DC9F78}"/>
    <cellStyle name="Normal 5 3 3 3 5 4" xfId="18710" xr:uid="{00000000-0005-0000-0000-0000DA4B0000}"/>
    <cellStyle name="Normal 5 3 3 3 5 4 2" xfId="35579" xr:uid="{1F8B9DFC-7512-4FDE-8D85-41E2845DC983}"/>
    <cellStyle name="Normal 5 3 3 3 5 5" xfId="10275" xr:uid="{00000000-0005-0000-0000-0000DB4B0000}"/>
    <cellStyle name="Normal 5 3 3 3 5 6" xfId="27145" xr:uid="{EBECD040-23FC-42B5-BFCF-7AD85DAC19DF}"/>
    <cellStyle name="Normal 5 3 3 3 6" xfId="2164" xr:uid="{00000000-0005-0000-0000-0000DC4B0000}"/>
    <cellStyle name="Normal 5 3 3 3 6 2" xfId="4393" xr:uid="{00000000-0005-0000-0000-0000DD4B0000}"/>
    <cellStyle name="Normal 5 3 3 3 6 2 2" xfId="8616" xr:uid="{00000000-0005-0000-0000-0000DE4B0000}"/>
    <cellStyle name="Normal 5 3 3 3 6 2 2 2" xfId="25486" xr:uid="{00000000-0005-0000-0000-0000DF4B0000}"/>
    <cellStyle name="Normal 5 3 3 3 6 2 2 2 2" xfId="42354" xr:uid="{041E9115-D1E8-4714-8493-2E2E3372C64F}"/>
    <cellStyle name="Normal 5 3 3 3 6 2 2 3" xfId="17051" xr:uid="{00000000-0005-0000-0000-0000E04B0000}"/>
    <cellStyle name="Normal 5 3 3 3 6 2 2 4" xfId="33920" xr:uid="{F5C69ABC-8300-4AF3-8C6A-C456D01BAAB5}"/>
    <cellStyle name="Normal 5 3 3 3 6 2 3" xfId="21268" xr:uid="{00000000-0005-0000-0000-0000E14B0000}"/>
    <cellStyle name="Normal 5 3 3 3 6 2 3 2" xfId="38137" xr:uid="{9624CF15-07D2-422D-BBD8-6E36D53EB92C}"/>
    <cellStyle name="Normal 5 3 3 3 6 2 4" xfId="12833" xr:uid="{00000000-0005-0000-0000-0000E24B0000}"/>
    <cellStyle name="Normal 5 3 3 3 6 2 5" xfId="29703" xr:uid="{A421A632-A2BA-4E4F-B49A-69785A5BE29F}"/>
    <cellStyle name="Normal 5 3 3 3 6 3" xfId="6471" xr:uid="{00000000-0005-0000-0000-0000E34B0000}"/>
    <cellStyle name="Normal 5 3 3 3 6 3 2" xfId="23341" xr:uid="{00000000-0005-0000-0000-0000E44B0000}"/>
    <cellStyle name="Normal 5 3 3 3 6 3 2 2" xfId="40209" xr:uid="{0F25DAEF-74B0-47D7-859E-7405B9FB9CE4}"/>
    <cellStyle name="Normal 5 3 3 3 6 3 3" xfId="14906" xr:uid="{00000000-0005-0000-0000-0000E54B0000}"/>
    <cellStyle name="Normal 5 3 3 3 6 3 4" xfId="31775" xr:uid="{4C903E2A-EA82-4A42-B34A-861778DC34C1}"/>
    <cellStyle name="Normal 5 3 3 3 6 4" xfId="19123" xr:uid="{00000000-0005-0000-0000-0000E64B0000}"/>
    <cellStyle name="Normal 5 3 3 3 6 4 2" xfId="35992" xr:uid="{62B300E4-F706-4607-BF94-0FAC2689CD96}"/>
    <cellStyle name="Normal 5 3 3 3 6 5" xfId="10688" xr:uid="{00000000-0005-0000-0000-0000E74B0000}"/>
    <cellStyle name="Normal 5 3 3 3 6 6" xfId="27558" xr:uid="{797B7DAA-EE13-4103-98CE-9A0184B4F71A}"/>
    <cellStyle name="Normal 5 3 3 3 7" xfId="2600" xr:uid="{00000000-0005-0000-0000-0000E84B0000}"/>
    <cellStyle name="Normal 5 3 3 3 7 2" xfId="6884" xr:uid="{00000000-0005-0000-0000-0000E94B0000}"/>
    <cellStyle name="Normal 5 3 3 3 7 2 2" xfId="23754" xr:uid="{00000000-0005-0000-0000-0000EA4B0000}"/>
    <cellStyle name="Normal 5 3 3 3 7 2 2 2" xfId="40622" xr:uid="{93241B1A-4139-4759-B702-2C24FCCAC7B2}"/>
    <cellStyle name="Normal 5 3 3 3 7 2 3" xfId="15319" xr:uid="{00000000-0005-0000-0000-0000EB4B0000}"/>
    <cellStyle name="Normal 5 3 3 3 7 2 4" xfId="32188" xr:uid="{5F3E07AE-263E-4912-965B-D59AAF377115}"/>
    <cellStyle name="Normal 5 3 3 3 7 3" xfId="19536" xr:uid="{00000000-0005-0000-0000-0000EC4B0000}"/>
    <cellStyle name="Normal 5 3 3 3 7 3 2" xfId="36405" xr:uid="{8EC96311-A05C-4DCD-8E7B-83F362A3FF93}"/>
    <cellStyle name="Normal 5 3 3 3 7 4" xfId="11101" xr:uid="{00000000-0005-0000-0000-0000ED4B0000}"/>
    <cellStyle name="Normal 5 3 3 3 7 5" xfId="27971" xr:uid="{88F9A7F7-153E-40F5-90BC-71B0BD98B280}"/>
    <cellStyle name="Normal 5 3 3 3 8" xfId="4819" xr:uid="{00000000-0005-0000-0000-0000EE4B0000}"/>
    <cellStyle name="Normal 5 3 3 3 8 2" xfId="21689" xr:uid="{00000000-0005-0000-0000-0000EF4B0000}"/>
    <cellStyle name="Normal 5 3 3 3 8 2 2" xfId="38557" xr:uid="{A6E8E822-A55F-4926-BC79-2C4759542AEA}"/>
    <cellStyle name="Normal 5 3 3 3 8 3" xfId="13254" xr:uid="{00000000-0005-0000-0000-0000F04B0000}"/>
    <cellStyle name="Normal 5 3 3 3 8 4" xfId="30123" xr:uid="{62F1F98B-3CEB-4F1C-A604-AAFA5D5C10AC}"/>
    <cellStyle name="Normal 5 3 3 3 9" xfId="17471" xr:uid="{00000000-0005-0000-0000-0000F14B0000}"/>
    <cellStyle name="Normal 5 3 3 3 9 2" xfId="34340" xr:uid="{4E41E680-965B-4B45-B113-48B7AC3CC76A}"/>
    <cellStyle name="Normal 5 3 3 4" xfId="448" xr:uid="{00000000-0005-0000-0000-0000F24B0000}"/>
    <cellStyle name="Normal 5 3 3 4 10" xfId="25908" xr:uid="{42360E84-8D26-4A57-8200-2C4B343427CB}"/>
    <cellStyle name="Normal 5 3 3 4 2" xfId="922" xr:uid="{00000000-0005-0000-0000-0000F34B0000}"/>
    <cellStyle name="Normal 5 3 3 4 2 2" xfId="3156" xr:uid="{00000000-0005-0000-0000-0000F44B0000}"/>
    <cellStyle name="Normal 5 3 3 4 2 2 2" xfId="7379" xr:uid="{00000000-0005-0000-0000-0000F54B0000}"/>
    <cellStyle name="Normal 5 3 3 4 2 2 2 2" xfId="24249" xr:uid="{00000000-0005-0000-0000-0000F64B0000}"/>
    <cellStyle name="Normal 5 3 3 4 2 2 2 2 2" xfId="41117" xr:uid="{9CD3C60F-ABA0-449C-98F8-4A72E5C12B21}"/>
    <cellStyle name="Normal 5 3 3 4 2 2 2 3" xfId="15814" xr:uid="{00000000-0005-0000-0000-0000F74B0000}"/>
    <cellStyle name="Normal 5 3 3 4 2 2 2 4" xfId="32683" xr:uid="{0C0E446C-B062-4DC8-A926-080FE506F612}"/>
    <cellStyle name="Normal 5 3 3 4 2 2 3" xfId="20031" xr:uid="{00000000-0005-0000-0000-0000F84B0000}"/>
    <cellStyle name="Normal 5 3 3 4 2 2 3 2" xfId="36900" xr:uid="{4E30A56C-887E-4E27-B7E8-069FE419C4AF}"/>
    <cellStyle name="Normal 5 3 3 4 2 2 4" xfId="11596" xr:uid="{00000000-0005-0000-0000-0000F94B0000}"/>
    <cellStyle name="Normal 5 3 3 4 2 2 5" xfId="28466" xr:uid="{4176DCD4-24E0-43C2-9A0F-5061262E1A40}"/>
    <cellStyle name="Normal 5 3 3 4 2 3" xfId="5234" xr:uid="{00000000-0005-0000-0000-0000FA4B0000}"/>
    <cellStyle name="Normal 5 3 3 4 2 3 2" xfId="22104" xr:uid="{00000000-0005-0000-0000-0000FB4B0000}"/>
    <cellStyle name="Normal 5 3 3 4 2 3 2 2" xfId="38972" xr:uid="{49261DFB-0DA0-4202-98FC-400597FDE856}"/>
    <cellStyle name="Normal 5 3 3 4 2 3 3" xfId="13669" xr:uid="{00000000-0005-0000-0000-0000FC4B0000}"/>
    <cellStyle name="Normal 5 3 3 4 2 3 4" xfId="30538" xr:uid="{DA5D6964-5B77-4003-A216-18393840DD68}"/>
    <cellStyle name="Normal 5 3 3 4 2 4" xfId="17886" xr:uid="{00000000-0005-0000-0000-0000FD4B0000}"/>
    <cellStyle name="Normal 5 3 3 4 2 4 2" xfId="34755" xr:uid="{AC63DEA0-2EF5-407A-9289-1C493DB08676}"/>
    <cellStyle name="Normal 5 3 3 4 2 5" xfId="9451" xr:uid="{00000000-0005-0000-0000-0000FE4B0000}"/>
    <cellStyle name="Normal 5 3 3 4 2 6" xfId="26321" xr:uid="{83B29B58-0DC9-409E-9444-64DB2E06AD87}"/>
    <cellStyle name="Normal 5 3 3 4 3" xfId="1339" xr:uid="{00000000-0005-0000-0000-0000FF4B0000}"/>
    <cellStyle name="Normal 5 3 3 4 3 2" xfId="3569" xr:uid="{00000000-0005-0000-0000-0000004C0000}"/>
    <cellStyle name="Normal 5 3 3 4 3 2 2" xfId="7792" xr:uid="{00000000-0005-0000-0000-0000014C0000}"/>
    <cellStyle name="Normal 5 3 3 4 3 2 2 2" xfId="24662" xr:uid="{00000000-0005-0000-0000-0000024C0000}"/>
    <cellStyle name="Normal 5 3 3 4 3 2 2 2 2" xfId="41530" xr:uid="{7C031630-57FB-4784-BEED-307F045C153C}"/>
    <cellStyle name="Normal 5 3 3 4 3 2 2 3" xfId="16227" xr:uid="{00000000-0005-0000-0000-0000034C0000}"/>
    <cellStyle name="Normal 5 3 3 4 3 2 2 4" xfId="33096" xr:uid="{E2906958-A9F2-4ADE-81A4-A22B0D63E043}"/>
    <cellStyle name="Normal 5 3 3 4 3 2 3" xfId="20444" xr:uid="{00000000-0005-0000-0000-0000044C0000}"/>
    <cellStyle name="Normal 5 3 3 4 3 2 3 2" xfId="37313" xr:uid="{6AC2CCED-481C-433E-ABD8-D9E3B7101FDD}"/>
    <cellStyle name="Normal 5 3 3 4 3 2 4" xfId="12009" xr:uid="{00000000-0005-0000-0000-0000054C0000}"/>
    <cellStyle name="Normal 5 3 3 4 3 2 5" xfId="28879" xr:uid="{93B51058-459D-4858-8C39-DA87043BC801}"/>
    <cellStyle name="Normal 5 3 3 4 3 3" xfId="5647" xr:uid="{00000000-0005-0000-0000-0000064C0000}"/>
    <cellStyle name="Normal 5 3 3 4 3 3 2" xfId="22517" xr:uid="{00000000-0005-0000-0000-0000074C0000}"/>
    <cellStyle name="Normal 5 3 3 4 3 3 2 2" xfId="39385" xr:uid="{F6D7EE93-7685-4742-9B46-CF733BA6DF7D}"/>
    <cellStyle name="Normal 5 3 3 4 3 3 3" xfId="14082" xr:uid="{00000000-0005-0000-0000-0000084C0000}"/>
    <cellStyle name="Normal 5 3 3 4 3 3 4" xfId="30951" xr:uid="{22C41CBA-69F6-4242-8447-7FCDB0106D3F}"/>
    <cellStyle name="Normal 5 3 3 4 3 4" xfId="18299" xr:uid="{00000000-0005-0000-0000-0000094C0000}"/>
    <cellStyle name="Normal 5 3 3 4 3 4 2" xfId="35168" xr:uid="{119BD25D-3AE2-41E4-91FA-3F0FF11D95E2}"/>
    <cellStyle name="Normal 5 3 3 4 3 5" xfId="9864" xr:uid="{00000000-0005-0000-0000-00000A4C0000}"/>
    <cellStyle name="Normal 5 3 3 4 3 6" xfId="26734" xr:uid="{E49445C5-BC4B-4CE7-A728-05A61C4FCECA}"/>
    <cellStyle name="Normal 5 3 3 4 4" xfId="1752" xr:uid="{00000000-0005-0000-0000-00000B4C0000}"/>
    <cellStyle name="Normal 5 3 3 4 4 2" xfId="3982" xr:uid="{00000000-0005-0000-0000-00000C4C0000}"/>
    <cellStyle name="Normal 5 3 3 4 4 2 2" xfId="8205" xr:uid="{00000000-0005-0000-0000-00000D4C0000}"/>
    <cellStyle name="Normal 5 3 3 4 4 2 2 2" xfId="25075" xr:uid="{00000000-0005-0000-0000-00000E4C0000}"/>
    <cellStyle name="Normal 5 3 3 4 4 2 2 2 2" xfId="41943" xr:uid="{8E9FB08A-46F4-48B3-95CA-D9BEE134A389}"/>
    <cellStyle name="Normal 5 3 3 4 4 2 2 3" xfId="16640" xr:uid="{00000000-0005-0000-0000-00000F4C0000}"/>
    <cellStyle name="Normal 5 3 3 4 4 2 2 4" xfId="33509" xr:uid="{24D52CE8-7DB3-4494-994E-28039B1DADF2}"/>
    <cellStyle name="Normal 5 3 3 4 4 2 3" xfId="20857" xr:uid="{00000000-0005-0000-0000-0000104C0000}"/>
    <cellStyle name="Normal 5 3 3 4 4 2 3 2" xfId="37726" xr:uid="{26390036-7303-43EE-9969-4198EEC03704}"/>
    <cellStyle name="Normal 5 3 3 4 4 2 4" xfId="12422" xr:uid="{00000000-0005-0000-0000-0000114C0000}"/>
    <cellStyle name="Normal 5 3 3 4 4 2 5" xfId="29292" xr:uid="{EE76B7F9-A593-417A-9E60-62E8C4D6A1CC}"/>
    <cellStyle name="Normal 5 3 3 4 4 3" xfId="6060" xr:uid="{00000000-0005-0000-0000-0000124C0000}"/>
    <cellStyle name="Normal 5 3 3 4 4 3 2" xfId="22930" xr:uid="{00000000-0005-0000-0000-0000134C0000}"/>
    <cellStyle name="Normal 5 3 3 4 4 3 2 2" xfId="39798" xr:uid="{42C67F7C-D42C-4D7A-A410-E99D50CD8610}"/>
    <cellStyle name="Normal 5 3 3 4 4 3 3" xfId="14495" xr:uid="{00000000-0005-0000-0000-0000144C0000}"/>
    <cellStyle name="Normal 5 3 3 4 4 3 4" xfId="31364" xr:uid="{2B19F701-E375-4869-9830-C90374B09AA8}"/>
    <cellStyle name="Normal 5 3 3 4 4 4" xfId="18712" xr:uid="{00000000-0005-0000-0000-0000154C0000}"/>
    <cellStyle name="Normal 5 3 3 4 4 4 2" xfId="35581" xr:uid="{6F809B6C-0C69-48B2-A565-83CDA49D176E}"/>
    <cellStyle name="Normal 5 3 3 4 4 5" xfId="10277" xr:uid="{00000000-0005-0000-0000-0000164C0000}"/>
    <cellStyle name="Normal 5 3 3 4 4 6" xfId="27147" xr:uid="{973CD456-905E-4E77-8FA4-9D2CC66DFF9B}"/>
    <cellStyle name="Normal 5 3 3 4 5" xfId="2166" xr:uid="{00000000-0005-0000-0000-0000174C0000}"/>
    <cellStyle name="Normal 5 3 3 4 5 2" xfId="4395" xr:uid="{00000000-0005-0000-0000-0000184C0000}"/>
    <cellStyle name="Normal 5 3 3 4 5 2 2" xfId="8618" xr:uid="{00000000-0005-0000-0000-0000194C0000}"/>
    <cellStyle name="Normal 5 3 3 4 5 2 2 2" xfId="25488" xr:uid="{00000000-0005-0000-0000-00001A4C0000}"/>
    <cellStyle name="Normal 5 3 3 4 5 2 2 2 2" xfId="42356" xr:uid="{22F0B187-4E57-43A0-988F-80B85D8B1BFE}"/>
    <cellStyle name="Normal 5 3 3 4 5 2 2 3" xfId="17053" xr:uid="{00000000-0005-0000-0000-00001B4C0000}"/>
    <cellStyle name="Normal 5 3 3 4 5 2 2 4" xfId="33922" xr:uid="{A7CBAF19-61AE-42A2-AF0C-C0BEE003582C}"/>
    <cellStyle name="Normal 5 3 3 4 5 2 3" xfId="21270" xr:uid="{00000000-0005-0000-0000-00001C4C0000}"/>
    <cellStyle name="Normal 5 3 3 4 5 2 3 2" xfId="38139" xr:uid="{9ED3B543-6EF2-4F58-8D21-04FE6F1B7FC1}"/>
    <cellStyle name="Normal 5 3 3 4 5 2 4" xfId="12835" xr:uid="{00000000-0005-0000-0000-00001D4C0000}"/>
    <cellStyle name="Normal 5 3 3 4 5 2 5" xfId="29705" xr:uid="{24F959F7-B63F-4AD5-BE20-0706E961C385}"/>
    <cellStyle name="Normal 5 3 3 4 5 3" xfId="6473" xr:uid="{00000000-0005-0000-0000-00001E4C0000}"/>
    <cellStyle name="Normal 5 3 3 4 5 3 2" xfId="23343" xr:uid="{00000000-0005-0000-0000-00001F4C0000}"/>
    <cellStyle name="Normal 5 3 3 4 5 3 2 2" xfId="40211" xr:uid="{1463F3CB-C74E-426B-93E6-590490A4A7AE}"/>
    <cellStyle name="Normal 5 3 3 4 5 3 3" xfId="14908" xr:uid="{00000000-0005-0000-0000-0000204C0000}"/>
    <cellStyle name="Normal 5 3 3 4 5 3 4" xfId="31777" xr:uid="{9A21D791-F285-4EEE-8240-651F3CF5FE7B}"/>
    <cellStyle name="Normal 5 3 3 4 5 4" xfId="19125" xr:uid="{00000000-0005-0000-0000-0000214C0000}"/>
    <cellStyle name="Normal 5 3 3 4 5 4 2" xfId="35994" xr:uid="{322095DB-C29E-44E9-AB51-D9059D6055C8}"/>
    <cellStyle name="Normal 5 3 3 4 5 5" xfId="10690" xr:uid="{00000000-0005-0000-0000-0000224C0000}"/>
    <cellStyle name="Normal 5 3 3 4 5 6" xfId="27560" xr:uid="{127AF9D1-F5E5-45B3-931C-1F2B7C818EDA}"/>
    <cellStyle name="Normal 5 3 3 4 6" xfId="2602" xr:uid="{00000000-0005-0000-0000-0000234C0000}"/>
    <cellStyle name="Normal 5 3 3 4 6 2" xfId="6886" xr:uid="{00000000-0005-0000-0000-0000244C0000}"/>
    <cellStyle name="Normal 5 3 3 4 6 2 2" xfId="23756" xr:uid="{00000000-0005-0000-0000-0000254C0000}"/>
    <cellStyle name="Normal 5 3 3 4 6 2 2 2" xfId="40624" xr:uid="{512F69E3-8CB6-445B-8521-E7621F97386C}"/>
    <cellStyle name="Normal 5 3 3 4 6 2 3" xfId="15321" xr:uid="{00000000-0005-0000-0000-0000264C0000}"/>
    <cellStyle name="Normal 5 3 3 4 6 2 4" xfId="32190" xr:uid="{E6D193F2-67F9-4C16-AB00-F0A9B102B3A2}"/>
    <cellStyle name="Normal 5 3 3 4 6 3" xfId="19538" xr:uid="{00000000-0005-0000-0000-0000274C0000}"/>
    <cellStyle name="Normal 5 3 3 4 6 3 2" xfId="36407" xr:uid="{09EC7B72-A126-4C94-9B23-F42559054A26}"/>
    <cellStyle name="Normal 5 3 3 4 6 4" xfId="11103" xr:uid="{00000000-0005-0000-0000-0000284C0000}"/>
    <cellStyle name="Normal 5 3 3 4 6 5" xfId="27973" xr:uid="{7C19EEF4-B9F5-494A-AF1F-8A90F3995F4E}"/>
    <cellStyle name="Normal 5 3 3 4 7" xfId="4821" xr:uid="{00000000-0005-0000-0000-0000294C0000}"/>
    <cellStyle name="Normal 5 3 3 4 7 2" xfId="21691" xr:uid="{00000000-0005-0000-0000-00002A4C0000}"/>
    <cellStyle name="Normal 5 3 3 4 7 2 2" xfId="38559" xr:uid="{A22D4053-758B-421A-93A2-197B907A045D}"/>
    <cellStyle name="Normal 5 3 3 4 7 3" xfId="13256" xr:uid="{00000000-0005-0000-0000-00002B4C0000}"/>
    <cellStyle name="Normal 5 3 3 4 7 4" xfId="30125" xr:uid="{7729BD2B-4596-46B1-83A0-1BF7E3E2BF51}"/>
    <cellStyle name="Normal 5 3 3 4 8" xfId="17473" xr:uid="{00000000-0005-0000-0000-00002C4C0000}"/>
    <cellStyle name="Normal 5 3 3 4 8 2" xfId="34342" xr:uid="{0C72060A-22D6-4F50-90F9-BF8F00178220}"/>
    <cellStyle name="Normal 5 3 3 4 9" xfId="9038" xr:uid="{00000000-0005-0000-0000-00002D4C0000}"/>
    <cellStyle name="Normal 5 3 3 5" xfId="915" xr:uid="{00000000-0005-0000-0000-00002E4C0000}"/>
    <cellStyle name="Normal 5 3 3 5 2" xfId="3149" xr:uid="{00000000-0005-0000-0000-00002F4C0000}"/>
    <cellStyle name="Normal 5 3 3 5 2 2" xfId="7372" xr:uid="{00000000-0005-0000-0000-0000304C0000}"/>
    <cellStyle name="Normal 5 3 3 5 2 2 2" xfId="24242" xr:uid="{00000000-0005-0000-0000-0000314C0000}"/>
    <cellStyle name="Normal 5 3 3 5 2 2 2 2" xfId="41110" xr:uid="{212C959C-6F96-4F32-BBBF-0879EF2905F3}"/>
    <cellStyle name="Normal 5 3 3 5 2 2 3" xfId="15807" xr:uid="{00000000-0005-0000-0000-0000324C0000}"/>
    <cellStyle name="Normal 5 3 3 5 2 2 4" xfId="32676" xr:uid="{B46A38D4-3BD3-4075-88DB-2EB9E8055ACD}"/>
    <cellStyle name="Normal 5 3 3 5 2 3" xfId="20024" xr:uid="{00000000-0005-0000-0000-0000334C0000}"/>
    <cellStyle name="Normal 5 3 3 5 2 3 2" xfId="36893" xr:uid="{8C32142F-3B00-4E06-BF72-4B40555CBFA8}"/>
    <cellStyle name="Normal 5 3 3 5 2 4" xfId="11589" xr:uid="{00000000-0005-0000-0000-0000344C0000}"/>
    <cellStyle name="Normal 5 3 3 5 2 5" xfId="28459" xr:uid="{1D5DC937-1200-475A-9A93-8847AD136A99}"/>
    <cellStyle name="Normal 5 3 3 5 3" xfId="5227" xr:uid="{00000000-0005-0000-0000-0000354C0000}"/>
    <cellStyle name="Normal 5 3 3 5 3 2" xfId="22097" xr:uid="{00000000-0005-0000-0000-0000364C0000}"/>
    <cellStyle name="Normal 5 3 3 5 3 2 2" xfId="38965" xr:uid="{30004538-1A25-4FA5-ACF7-F23DF741B2B8}"/>
    <cellStyle name="Normal 5 3 3 5 3 3" xfId="13662" xr:uid="{00000000-0005-0000-0000-0000374C0000}"/>
    <cellStyle name="Normal 5 3 3 5 3 4" xfId="30531" xr:uid="{286AD418-46DE-4083-839F-5F706555F91F}"/>
    <cellStyle name="Normal 5 3 3 5 4" xfId="17879" xr:uid="{00000000-0005-0000-0000-0000384C0000}"/>
    <cellStyle name="Normal 5 3 3 5 4 2" xfId="34748" xr:uid="{69C7A65E-560A-4590-A6B6-8E026231DDA8}"/>
    <cellStyle name="Normal 5 3 3 5 5" xfId="9444" xr:uid="{00000000-0005-0000-0000-0000394C0000}"/>
    <cellStyle name="Normal 5 3 3 5 6" xfId="26314" xr:uid="{35B5C59B-A99A-4C11-82C4-193C719161E7}"/>
    <cellStyle name="Normal 5 3 3 6" xfId="1332" xr:uid="{00000000-0005-0000-0000-00003A4C0000}"/>
    <cellStyle name="Normal 5 3 3 6 2" xfId="3562" xr:uid="{00000000-0005-0000-0000-00003B4C0000}"/>
    <cellStyle name="Normal 5 3 3 6 2 2" xfId="7785" xr:uid="{00000000-0005-0000-0000-00003C4C0000}"/>
    <cellStyle name="Normal 5 3 3 6 2 2 2" xfId="24655" xr:uid="{00000000-0005-0000-0000-00003D4C0000}"/>
    <cellStyle name="Normal 5 3 3 6 2 2 2 2" xfId="41523" xr:uid="{CCFA343D-D373-4D5C-8690-4ED0361AF0E6}"/>
    <cellStyle name="Normal 5 3 3 6 2 2 3" xfId="16220" xr:uid="{00000000-0005-0000-0000-00003E4C0000}"/>
    <cellStyle name="Normal 5 3 3 6 2 2 4" xfId="33089" xr:uid="{7443BCB0-0513-4A16-8942-5760E801A96F}"/>
    <cellStyle name="Normal 5 3 3 6 2 3" xfId="20437" xr:uid="{00000000-0005-0000-0000-00003F4C0000}"/>
    <cellStyle name="Normal 5 3 3 6 2 3 2" xfId="37306" xr:uid="{DD528D4A-1ECF-439F-9168-36CAD3512CED}"/>
    <cellStyle name="Normal 5 3 3 6 2 4" xfId="12002" xr:uid="{00000000-0005-0000-0000-0000404C0000}"/>
    <cellStyle name="Normal 5 3 3 6 2 5" xfId="28872" xr:uid="{2E03F2D7-EA75-43A0-BF57-75F07225F91A}"/>
    <cellStyle name="Normal 5 3 3 6 3" xfId="5640" xr:uid="{00000000-0005-0000-0000-0000414C0000}"/>
    <cellStyle name="Normal 5 3 3 6 3 2" xfId="22510" xr:uid="{00000000-0005-0000-0000-0000424C0000}"/>
    <cellStyle name="Normal 5 3 3 6 3 2 2" xfId="39378" xr:uid="{4C032344-7CA3-4430-9E45-48B5E4DC6DA2}"/>
    <cellStyle name="Normal 5 3 3 6 3 3" xfId="14075" xr:uid="{00000000-0005-0000-0000-0000434C0000}"/>
    <cellStyle name="Normal 5 3 3 6 3 4" xfId="30944" xr:uid="{A0E2E3E8-69C3-4C27-AC8F-3391569EC5C5}"/>
    <cellStyle name="Normal 5 3 3 6 4" xfId="18292" xr:uid="{00000000-0005-0000-0000-0000444C0000}"/>
    <cellStyle name="Normal 5 3 3 6 4 2" xfId="35161" xr:uid="{CF25FBD3-2242-4401-A9D7-C3BC1A71581B}"/>
    <cellStyle name="Normal 5 3 3 6 5" xfId="9857" xr:uid="{00000000-0005-0000-0000-0000454C0000}"/>
    <cellStyle name="Normal 5 3 3 6 6" xfId="26727" xr:uid="{39F33224-87D0-459B-A0A6-61A31DA510C4}"/>
    <cellStyle name="Normal 5 3 3 7" xfId="1745" xr:uid="{00000000-0005-0000-0000-0000464C0000}"/>
    <cellStyle name="Normal 5 3 3 7 2" xfId="3975" xr:uid="{00000000-0005-0000-0000-0000474C0000}"/>
    <cellStyle name="Normal 5 3 3 7 2 2" xfId="8198" xr:uid="{00000000-0005-0000-0000-0000484C0000}"/>
    <cellStyle name="Normal 5 3 3 7 2 2 2" xfId="25068" xr:uid="{00000000-0005-0000-0000-0000494C0000}"/>
    <cellStyle name="Normal 5 3 3 7 2 2 2 2" xfId="41936" xr:uid="{4451DC08-95AC-46B8-979E-966841706452}"/>
    <cellStyle name="Normal 5 3 3 7 2 2 3" xfId="16633" xr:uid="{00000000-0005-0000-0000-00004A4C0000}"/>
    <cellStyle name="Normal 5 3 3 7 2 2 4" xfId="33502" xr:uid="{A3FF9E1B-BCF6-4CBA-B59D-A6A7E859B7F4}"/>
    <cellStyle name="Normal 5 3 3 7 2 3" xfId="20850" xr:uid="{00000000-0005-0000-0000-00004B4C0000}"/>
    <cellStyle name="Normal 5 3 3 7 2 3 2" xfId="37719" xr:uid="{685683A4-D2AC-47CC-BD96-1ADD48FD9178}"/>
    <cellStyle name="Normal 5 3 3 7 2 4" xfId="12415" xr:uid="{00000000-0005-0000-0000-00004C4C0000}"/>
    <cellStyle name="Normal 5 3 3 7 2 5" xfId="29285" xr:uid="{1F4C3B0C-4B0E-436A-993C-D9AADA87BE5F}"/>
    <cellStyle name="Normal 5 3 3 7 3" xfId="6053" xr:uid="{00000000-0005-0000-0000-00004D4C0000}"/>
    <cellStyle name="Normal 5 3 3 7 3 2" xfId="22923" xr:uid="{00000000-0005-0000-0000-00004E4C0000}"/>
    <cellStyle name="Normal 5 3 3 7 3 2 2" xfId="39791" xr:uid="{088D3C92-6C06-4701-ADD2-5665DDCE0D9E}"/>
    <cellStyle name="Normal 5 3 3 7 3 3" xfId="14488" xr:uid="{00000000-0005-0000-0000-00004F4C0000}"/>
    <cellStyle name="Normal 5 3 3 7 3 4" xfId="31357" xr:uid="{94B8190F-6EF3-4FF4-BCEF-A43533A42AC9}"/>
    <cellStyle name="Normal 5 3 3 7 4" xfId="18705" xr:uid="{00000000-0005-0000-0000-0000504C0000}"/>
    <cellStyle name="Normal 5 3 3 7 4 2" xfId="35574" xr:uid="{F25EE2F5-DC4F-4D56-A1BC-2EACC5FB247A}"/>
    <cellStyle name="Normal 5 3 3 7 5" xfId="10270" xr:uid="{00000000-0005-0000-0000-0000514C0000}"/>
    <cellStyle name="Normal 5 3 3 7 6" xfId="27140" xr:uid="{308519D1-DF1F-4B26-8FEF-D9631029545A}"/>
    <cellStyle name="Normal 5 3 3 8" xfId="2159" xr:uid="{00000000-0005-0000-0000-0000524C0000}"/>
    <cellStyle name="Normal 5 3 3 8 2" xfId="4388" xr:uid="{00000000-0005-0000-0000-0000534C0000}"/>
    <cellStyle name="Normal 5 3 3 8 2 2" xfId="8611" xr:uid="{00000000-0005-0000-0000-0000544C0000}"/>
    <cellStyle name="Normal 5 3 3 8 2 2 2" xfId="25481" xr:uid="{00000000-0005-0000-0000-0000554C0000}"/>
    <cellStyle name="Normal 5 3 3 8 2 2 2 2" xfId="42349" xr:uid="{6841E73C-542F-48F0-B4C5-2B6AB3F11983}"/>
    <cellStyle name="Normal 5 3 3 8 2 2 3" xfId="17046" xr:uid="{00000000-0005-0000-0000-0000564C0000}"/>
    <cellStyle name="Normal 5 3 3 8 2 2 4" xfId="33915" xr:uid="{DF10F4D3-A09C-4AD2-B269-9D100DE0BB59}"/>
    <cellStyle name="Normal 5 3 3 8 2 3" xfId="21263" xr:uid="{00000000-0005-0000-0000-0000574C0000}"/>
    <cellStyle name="Normal 5 3 3 8 2 3 2" xfId="38132" xr:uid="{DB7E3D1D-390C-40CA-AC33-901C6CF9B80B}"/>
    <cellStyle name="Normal 5 3 3 8 2 4" xfId="12828" xr:uid="{00000000-0005-0000-0000-0000584C0000}"/>
    <cellStyle name="Normal 5 3 3 8 2 5" xfId="29698" xr:uid="{EE3C2AFC-AFA8-4663-833F-99E144698454}"/>
    <cellStyle name="Normal 5 3 3 8 3" xfId="6466" xr:uid="{00000000-0005-0000-0000-0000594C0000}"/>
    <cellStyle name="Normal 5 3 3 8 3 2" xfId="23336" xr:uid="{00000000-0005-0000-0000-00005A4C0000}"/>
    <cellStyle name="Normal 5 3 3 8 3 2 2" xfId="40204" xr:uid="{26821094-CA62-4516-83AA-1C2C3ECD27B0}"/>
    <cellStyle name="Normal 5 3 3 8 3 3" xfId="14901" xr:uid="{00000000-0005-0000-0000-00005B4C0000}"/>
    <cellStyle name="Normal 5 3 3 8 3 4" xfId="31770" xr:uid="{EBC3EA29-6DE6-4DE0-8387-4FE93CD5EFA6}"/>
    <cellStyle name="Normal 5 3 3 8 4" xfId="19118" xr:uid="{00000000-0005-0000-0000-00005C4C0000}"/>
    <cellStyle name="Normal 5 3 3 8 4 2" xfId="35987" xr:uid="{FA034730-B4ED-45AD-A915-C318D0CF30AB}"/>
    <cellStyle name="Normal 5 3 3 8 5" xfId="10683" xr:uid="{00000000-0005-0000-0000-00005D4C0000}"/>
    <cellStyle name="Normal 5 3 3 8 6" xfId="27553" xr:uid="{C13D739D-1F56-4037-8A24-EA02CE04FABB}"/>
    <cellStyle name="Normal 5 3 3 9" xfId="2595" xr:uid="{00000000-0005-0000-0000-00005E4C0000}"/>
    <cellStyle name="Normal 5 3 3 9 2" xfId="6879" xr:uid="{00000000-0005-0000-0000-00005F4C0000}"/>
    <cellStyle name="Normal 5 3 3 9 2 2" xfId="23749" xr:uid="{00000000-0005-0000-0000-0000604C0000}"/>
    <cellStyle name="Normal 5 3 3 9 2 2 2" xfId="40617" xr:uid="{49955B11-A335-4108-A2C8-1140EC29AA44}"/>
    <cellStyle name="Normal 5 3 3 9 2 3" xfId="15314" xr:uid="{00000000-0005-0000-0000-0000614C0000}"/>
    <cellStyle name="Normal 5 3 3 9 2 4" xfId="32183" xr:uid="{D628161B-0D09-42F6-827F-83EE25777F9E}"/>
    <cellStyle name="Normal 5 3 3 9 3" xfId="19531" xr:uid="{00000000-0005-0000-0000-0000624C0000}"/>
    <cellStyle name="Normal 5 3 3 9 3 2" xfId="36400" xr:uid="{D8EAA2E1-46D1-45E2-98CC-BD73856F97C5}"/>
    <cellStyle name="Normal 5 3 3 9 4" xfId="11096" xr:uid="{00000000-0005-0000-0000-0000634C0000}"/>
    <cellStyle name="Normal 5 3 3 9 5" xfId="27966" xr:uid="{C722528E-A666-47FF-AD86-4A60BE1F5B75}"/>
    <cellStyle name="Normal 5 3 4" xfId="449" xr:uid="{00000000-0005-0000-0000-0000644C0000}"/>
    <cellStyle name="Normal 5 3 4 10" xfId="17474" xr:uid="{00000000-0005-0000-0000-0000654C0000}"/>
    <cellStyle name="Normal 5 3 4 10 2" xfId="34343" xr:uid="{56C1A7BD-F9FC-4A2D-9D45-766388C3373F}"/>
    <cellStyle name="Normal 5 3 4 11" xfId="9039" xr:uid="{00000000-0005-0000-0000-0000664C0000}"/>
    <cellStyle name="Normal 5 3 4 12" xfId="25909" xr:uid="{D2BF4F2D-9409-43FB-A77F-E8B97C72C184}"/>
    <cellStyle name="Normal 5 3 4 2" xfId="450" xr:uid="{00000000-0005-0000-0000-0000674C0000}"/>
    <cellStyle name="Normal 5 3 4 2 10" xfId="9040" xr:uid="{00000000-0005-0000-0000-0000684C0000}"/>
    <cellStyle name="Normal 5 3 4 2 11" xfId="25910" xr:uid="{470E3C89-3E0B-41F7-BF67-A826217660FE}"/>
    <cellStyle name="Normal 5 3 4 2 2" xfId="451" xr:uid="{00000000-0005-0000-0000-0000694C0000}"/>
    <cellStyle name="Normal 5 3 4 2 2 10" xfId="25911" xr:uid="{AC653CE9-472B-4E53-8EBF-BD170E470D5C}"/>
    <cellStyle name="Normal 5 3 4 2 2 2" xfId="925" xr:uid="{00000000-0005-0000-0000-00006A4C0000}"/>
    <cellStyle name="Normal 5 3 4 2 2 2 2" xfId="3159" xr:uid="{00000000-0005-0000-0000-00006B4C0000}"/>
    <cellStyle name="Normal 5 3 4 2 2 2 2 2" xfId="7382" xr:uid="{00000000-0005-0000-0000-00006C4C0000}"/>
    <cellStyle name="Normal 5 3 4 2 2 2 2 2 2" xfId="24252" xr:uid="{00000000-0005-0000-0000-00006D4C0000}"/>
    <cellStyle name="Normal 5 3 4 2 2 2 2 2 2 2" xfId="41120" xr:uid="{490BDB2F-A974-4F6D-8740-A42301B46F3A}"/>
    <cellStyle name="Normal 5 3 4 2 2 2 2 2 3" xfId="15817" xr:uid="{00000000-0005-0000-0000-00006E4C0000}"/>
    <cellStyle name="Normal 5 3 4 2 2 2 2 2 4" xfId="32686" xr:uid="{8804CAD0-4EB9-4AA3-B4F6-8930CC11A5BC}"/>
    <cellStyle name="Normal 5 3 4 2 2 2 2 3" xfId="20034" xr:uid="{00000000-0005-0000-0000-00006F4C0000}"/>
    <cellStyle name="Normal 5 3 4 2 2 2 2 3 2" xfId="36903" xr:uid="{2EFCEC9E-562E-45B2-8424-E0C641DBAE3D}"/>
    <cellStyle name="Normal 5 3 4 2 2 2 2 4" xfId="11599" xr:uid="{00000000-0005-0000-0000-0000704C0000}"/>
    <cellStyle name="Normal 5 3 4 2 2 2 2 5" xfId="28469" xr:uid="{ECF5A8D2-03C5-49DE-9403-826A752C0BC7}"/>
    <cellStyle name="Normal 5 3 4 2 2 2 3" xfId="5237" xr:uid="{00000000-0005-0000-0000-0000714C0000}"/>
    <cellStyle name="Normal 5 3 4 2 2 2 3 2" xfId="22107" xr:uid="{00000000-0005-0000-0000-0000724C0000}"/>
    <cellStyle name="Normal 5 3 4 2 2 2 3 2 2" xfId="38975" xr:uid="{C3AD9783-B53B-4FFC-AAFB-0B2B7D97E06A}"/>
    <cellStyle name="Normal 5 3 4 2 2 2 3 3" xfId="13672" xr:uid="{00000000-0005-0000-0000-0000734C0000}"/>
    <cellStyle name="Normal 5 3 4 2 2 2 3 4" xfId="30541" xr:uid="{6E46E5D4-E619-4CA9-B7EE-DBBBD80EF97F}"/>
    <cellStyle name="Normal 5 3 4 2 2 2 4" xfId="17889" xr:uid="{00000000-0005-0000-0000-0000744C0000}"/>
    <cellStyle name="Normal 5 3 4 2 2 2 4 2" xfId="34758" xr:uid="{14421D61-49AA-42EC-A071-267582018CC8}"/>
    <cellStyle name="Normal 5 3 4 2 2 2 5" xfId="9454" xr:uid="{00000000-0005-0000-0000-0000754C0000}"/>
    <cellStyle name="Normal 5 3 4 2 2 2 6" xfId="26324" xr:uid="{E29304AC-2AC2-4E5B-ACE9-6113308D4861}"/>
    <cellStyle name="Normal 5 3 4 2 2 3" xfId="1342" xr:uid="{00000000-0005-0000-0000-0000764C0000}"/>
    <cellStyle name="Normal 5 3 4 2 2 3 2" xfId="3572" xr:uid="{00000000-0005-0000-0000-0000774C0000}"/>
    <cellStyle name="Normal 5 3 4 2 2 3 2 2" xfId="7795" xr:uid="{00000000-0005-0000-0000-0000784C0000}"/>
    <cellStyle name="Normal 5 3 4 2 2 3 2 2 2" xfId="24665" xr:uid="{00000000-0005-0000-0000-0000794C0000}"/>
    <cellStyle name="Normal 5 3 4 2 2 3 2 2 2 2" xfId="41533" xr:uid="{1E536DA4-1080-45DB-BF6B-C5EA2C4ED70F}"/>
    <cellStyle name="Normal 5 3 4 2 2 3 2 2 3" xfId="16230" xr:uid="{00000000-0005-0000-0000-00007A4C0000}"/>
    <cellStyle name="Normal 5 3 4 2 2 3 2 2 4" xfId="33099" xr:uid="{900A9AFE-1F46-4206-992D-A5ECC4CC59C5}"/>
    <cellStyle name="Normal 5 3 4 2 2 3 2 3" xfId="20447" xr:uid="{00000000-0005-0000-0000-00007B4C0000}"/>
    <cellStyle name="Normal 5 3 4 2 2 3 2 3 2" xfId="37316" xr:uid="{14FDC365-7328-4238-9C83-662654DECE1A}"/>
    <cellStyle name="Normal 5 3 4 2 2 3 2 4" xfId="12012" xr:uid="{00000000-0005-0000-0000-00007C4C0000}"/>
    <cellStyle name="Normal 5 3 4 2 2 3 2 5" xfId="28882" xr:uid="{FBDC271F-1607-4799-9108-61209F66BE32}"/>
    <cellStyle name="Normal 5 3 4 2 2 3 3" xfId="5650" xr:uid="{00000000-0005-0000-0000-00007D4C0000}"/>
    <cellStyle name="Normal 5 3 4 2 2 3 3 2" xfId="22520" xr:uid="{00000000-0005-0000-0000-00007E4C0000}"/>
    <cellStyle name="Normal 5 3 4 2 2 3 3 2 2" xfId="39388" xr:uid="{28F508D8-CE06-46EA-BB4A-BA86DCAC35B4}"/>
    <cellStyle name="Normal 5 3 4 2 2 3 3 3" xfId="14085" xr:uid="{00000000-0005-0000-0000-00007F4C0000}"/>
    <cellStyle name="Normal 5 3 4 2 2 3 3 4" xfId="30954" xr:uid="{17915FAC-7583-4408-B1B6-1798908785CF}"/>
    <cellStyle name="Normal 5 3 4 2 2 3 4" xfId="18302" xr:uid="{00000000-0005-0000-0000-0000804C0000}"/>
    <cellStyle name="Normal 5 3 4 2 2 3 4 2" xfId="35171" xr:uid="{7D860A84-9556-403B-894B-6CD1EABD1D2F}"/>
    <cellStyle name="Normal 5 3 4 2 2 3 5" xfId="9867" xr:uid="{00000000-0005-0000-0000-0000814C0000}"/>
    <cellStyle name="Normal 5 3 4 2 2 3 6" xfId="26737" xr:uid="{868D569D-1BA3-4295-8BAF-D3719D03F519}"/>
    <cellStyle name="Normal 5 3 4 2 2 4" xfId="1755" xr:uid="{00000000-0005-0000-0000-0000824C0000}"/>
    <cellStyle name="Normal 5 3 4 2 2 4 2" xfId="3985" xr:uid="{00000000-0005-0000-0000-0000834C0000}"/>
    <cellStyle name="Normal 5 3 4 2 2 4 2 2" xfId="8208" xr:uid="{00000000-0005-0000-0000-0000844C0000}"/>
    <cellStyle name="Normal 5 3 4 2 2 4 2 2 2" xfId="25078" xr:uid="{00000000-0005-0000-0000-0000854C0000}"/>
    <cellStyle name="Normal 5 3 4 2 2 4 2 2 2 2" xfId="41946" xr:uid="{EBCBD658-0C9B-4352-A42B-0C9C68B5ABC6}"/>
    <cellStyle name="Normal 5 3 4 2 2 4 2 2 3" xfId="16643" xr:uid="{00000000-0005-0000-0000-0000864C0000}"/>
    <cellStyle name="Normal 5 3 4 2 2 4 2 2 4" xfId="33512" xr:uid="{3E700073-BD61-47D6-9514-276A303C6D97}"/>
    <cellStyle name="Normal 5 3 4 2 2 4 2 3" xfId="20860" xr:uid="{00000000-0005-0000-0000-0000874C0000}"/>
    <cellStyle name="Normal 5 3 4 2 2 4 2 3 2" xfId="37729" xr:uid="{D33C0F8A-D742-43F0-A818-29D88E55D9BB}"/>
    <cellStyle name="Normal 5 3 4 2 2 4 2 4" xfId="12425" xr:uid="{00000000-0005-0000-0000-0000884C0000}"/>
    <cellStyle name="Normal 5 3 4 2 2 4 2 5" xfId="29295" xr:uid="{C54D402D-D043-4AA2-B9FD-B683E7DCC0ED}"/>
    <cellStyle name="Normal 5 3 4 2 2 4 3" xfId="6063" xr:uid="{00000000-0005-0000-0000-0000894C0000}"/>
    <cellStyle name="Normal 5 3 4 2 2 4 3 2" xfId="22933" xr:uid="{00000000-0005-0000-0000-00008A4C0000}"/>
    <cellStyle name="Normal 5 3 4 2 2 4 3 2 2" xfId="39801" xr:uid="{F6C4F600-9BEC-4F8C-87B7-FDE25CF1A3C1}"/>
    <cellStyle name="Normal 5 3 4 2 2 4 3 3" xfId="14498" xr:uid="{00000000-0005-0000-0000-00008B4C0000}"/>
    <cellStyle name="Normal 5 3 4 2 2 4 3 4" xfId="31367" xr:uid="{678961A6-6549-4826-8823-DFD5239EFD0E}"/>
    <cellStyle name="Normal 5 3 4 2 2 4 4" xfId="18715" xr:uid="{00000000-0005-0000-0000-00008C4C0000}"/>
    <cellStyle name="Normal 5 3 4 2 2 4 4 2" xfId="35584" xr:uid="{26733406-C4B8-4919-B2AD-B19032CE4D6B}"/>
    <cellStyle name="Normal 5 3 4 2 2 4 5" xfId="10280" xr:uid="{00000000-0005-0000-0000-00008D4C0000}"/>
    <cellStyle name="Normal 5 3 4 2 2 4 6" xfId="27150" xr:uid="{C4D25DFF-1B12-428B-B613-1358832A076A}"/>
    <cellStyle name="Normal 5 3 4 2 2 5" xfId="2169" xr:uid="{00000000-0005-0000-0000-00008E4C0000}"/>
    <cellStyle name="Normal 5 3 4 2 2 5 2" xfId="4398" xr:uid="{00000000-0005-0000-0000-00008F4C0000}"/>
    <cellStyle name="Normal 5 3 4 2 2 5 2 2" xfId="8621" xr:uid="{00000000-0005-0000-0000-0000904C0000}"/>
    <cellStyle name="Normal 5 3 4 2 2 5 2 2 2" xfId="25491" xr:uid="{00000000-0005-0000-0000-0000914C0000}"/>
    <cellStyle name="Normal 5 3 4 2 2 5 2 2 2 2" xfId="42359" xr:uid="{375A8F45-4161-47D1-A4C6-F8BD3AA59492}"/>
    <cellStyle name="Normal 5 3 4 2 2 5 2 2 3" xfId="17056" xr:uid="{00000000-0005-0000-0000-0000924C0000}"/>
    <cellStyle name="Normal 5 3 4 2 2 5 2 2 4" xfId="33925" xr:uid="{C8DE531E-3DB0-47EB-ABEB-AB20BA24ACB2}"/>
    <cellStyle name="Normal 5 3 4 2 2 5 2 3" xfId="21273" xr:uid="{00000000-0005-0000-0000-0000934C0000}"/>
    <cellStyle name="Normal 5 3 4 2 2 5 2 3 2" xfId="38142" xr:uid="{EB8D76E3-1FE9-45D8-8F24-0B1F07555078}"/>
    <cellStyle name="Normal 5 3 4 2 2 5 2 4" xfId="12838" xr:uid="{00000000-0005-0000-0000-0000944C0000}"/>
    <cellStyle name="Normal 5 3 4 2 2 5 2 5" xfId="29708" xr:uid="{E3196845-3343-464A-93A7-5FB513B68117}"/>
    <cellStyle name="Normal 5 3 4 2 2 5 3" xfId="6476" xr:uid="{00000000-0005-0000-0000-0000954C0000}"/>
    <cellStyle name="Normal 5 3 4 2 2 5 3 2" xfId="23346" xr:uid="{00000000-0005-0000-0000-0000964C0000}"/>
    <cellStyle name="Normal 5 3 4 2 2 5 3 2 2" xfId="40214" xr:uid="{0BF2BB06-7993-47A0-B01C-EAE3B2D1DD93}"/>
    <cellStyle name="Normal 5 3 4 2 2 5 3 3" xfId="14911" xr:uid="{00000000-0005-0000-0000-0000974C0000}"/>
    <cellStyle name="Normal 5 3 4 2 2 5 3 4" xfId="31780" xr:uid="{2771F8DD-64AC-47FC-8C66-3BDA03D9270B}"/>
    <cellStyle name="Normal 5 3 4 2 2 5 4" xfId="19128" xr:uid="{00000000-0005-0000-0000-0000984C0000}"/>
    <cellStyle name="Normal 5 3 4 2 2 5 4 2" xfId="35997" xr:uid="{211A80BB-595E-4843-911C-B898F3856E58}"/>
    <cellStyle name="Normal 5 3 4 2 2 5 5" xfId="10693" xr:uid="{00000000-0005-0000-0000-0000994C0000}"/>
    <cellStyle name="Normal 5 3 4 2 2 5 6" xfId="27563" xr:uid="{D99D632E-F65F-4D17-B38C-1248BEB5F0CC}"/>
    <cellStyle name="Normal 5 3 4 2 2 6" xfId="2605" xr:uid="{00000000-0005-0000-0000-00009A4C0000}"/>
    <cellStyle name="Normal 5 3 4 2 2 6 2" xfId="6889" xr:uid="{00000000-0005-0000-0000-00009B4C0000}"/>
    <cellStyle name="Normal 5 3 4 2 2 6 2 2" xfId="23759" xr:uid="{00000000-0005-0000-0000-00009C4C0000}"/>
    <cellStyle name="Normal 5 3 4 2 2 6 2 2 2" xfId="40627" xr:uid="{4401BE3A-46CD-44D5-87D0-679C0F37625E}"/>
    <cellStyle name="Normal 5 3 4 2 2 6 2 3" xfId="15324" xr:uid="{00000000-0005-0000-0000-00009D4C0000}"/>
    <cellStyle name="Normal 5 3 4 2 2 6 2 4" xfId="32193" xr:uid="{0182FB24-3FE2-41A8-A044-EB94B218CA13}"/>
    <cellStyle name="Normal 5 3 4 2 2 6 3" xfId="19541" xr:uid="{00000000-0005-0000-0000-00009E4C0000}"/>
    <cellStyle name="Normal 5 3 4 2 2 6 3 2" xfId="36410" xr:uid="{32BE0117-4CBC-47DD-A981-64772A8BDBC8}"/>
    <cellStyle name="Normal 5 3 4 2 2 6 4" xfId="11106" xr:uid="{00000000-0005-0000-0000-00009F4C0000}"/>
    <cellStyle name="Normal 5 3 4 2 2 6 5" xfId="27976" xr:uid="{697653A4-62E4-4198-9751-A1F68EF676D9}"/>
    <cellStyle name="Normal 5 3 4 2 2 7" xfId="4824" xr:uid="{00000000-0005-0000-0000-0000A04C0000}"/>
    <cellStyle name="Normal 5 3 4 2 2 7 2" xfId="21694" xr:uid="{00000000-0005-0000-0000-0000A14C0000}"/>
    <cellStyle name="Normal 5 3 4 2 2 7 2 2" xfId="38562" xr:uid="{C8EB5112-0FFA-46C6-8BDC-BF5EF98A900C}"/>
    <cellStyle name="Normal 5 3 4 2 2 7 3" xfId="13259" xr:uid="{00000000-0005-0000-0000-0000A24C0000}"/>
    <cellStyle name="Normal 5 3 4 2 2 7 4" xfId="30128" xr:uid="{599CCA46-7B03-4FD4-AD0F-63026BD8A047}"/>
    <cellStyle name="Normal 5 3 4 2 2 8" xfId="17476" xr:uid="{00000000-0005-0000-0000-0000A34C0000}"/>
    <cellStyle name="Normal 5 3 4 2 2 8 2" xfId="34345" xr:uid="{23D86958-6FEA-4994-A035-8FD20A098705}"/>
    <cellStyle name="Normal 5 3 4 2 2 9" xfId="9041" xr:uid="{00000000-0005-0000-0000-0000A44C0000}"/>
    <cellStyle name="Normal 5 3 4 2 3" xfId="924" xr:uid="{00000000-0005-0000-0000-0000A54C0000}"/>
    <cellStyle name="Normal 5 3 4 2 3 2" xfId="3158" xr:uid="{00000000-0005-0000-0000-0000A64C0000}"/>
    <cellStyle name="Normal 5 3 4 2 3 2 2" xfId="7381" xr:uid="{00000000-0005-0000-0000-0000A74C0000}"/>
    <cellStyle name="Normal 5 3 4 2 3 2 2 2" xfId="24251" xr:uid="{00000000-0005-0000-0000-0000A84C0000}"/>
    <cellStyle name="Normal 5 3 4 2 3 2 2 2 2" xfId="41119" xr:uid="{E765F620-FF41-4D1D-97B6-A9E63837F16E}"/>
    <cellStyle name="Normal 5 3 4 2 3 2 2 3" xfId="15816" xr:uid="{00000000-0005-0000-0000-0000A94C0000}"/>
    <cellStyle name="Normal 5 3 4 2 3 2 2 4" xfId="32685" xr:uid="{AF65578C-6D12-46DC-B9A1-CC818760D6C7}"/>
    <cellStyle name="Normal 5 3 4 2 3 2 3" xfId="20033" xr:uid="{00000000-0005-0000-0000-0000AA4C0000}"/>
    <cellStyle name="Normal 5 3 4 2 3 2 3 2" xfId="36902" xr:uid="{F96844F2-1439-4C15-8563-B76925A160AB}"/>
    <cellStyle name="Normal 5 3 4 2 3 2 4" xfId="11598" xr:uid="{00000000-0005-0000-0000-0000AB4C0000}"/>
    <cellStyle name="Normal 5 3 4 2 3 2 5" xfId="28468" xr:uid="{D57D0A4F-5B1A-4BA2-97EE-9B255FE62C0E}"/>
    <cellStyle name="Normal 5 3 4 2 3 3" xfId="5236" xr:uid="{00000000-0005-0000-0000-0000AC4C0000}"/>
    <cellStyle name="Normal 5 3 4 2 3 3 2" xfId="22106" xr:uid="{00000000-0005-0000-0000-0000AD4C0000}"/>
    <cellStyle name="Normal 5 3 4 2 3 3 2 2" xfId="38974" xr:uid="{D2606469-0746-4C9B-A18F-588C7DF9696B}"/>
    <cellStyle name="Normal 5 3 4 2 3 3 3" xfId="13671" xr:uid="{00000000-0005-0000-0000-0000AE4C0000}"/>
    <cellStyle name="Normal 5 3 4 2 3 3 4" xfId="30540" xr:uid="{47CBDDFB-5AA6-4530-82A5-D04007E7BC9E}"/>
    <cellStyle name="Normal 5 3 4 2 3 4" xfId="17888" xr:uid="{00000000-0005-0000-0000-0000AF4C0000}"/>
    <cellStyle name="Normal 5 3 4 2 3 4 2" xfId="34757" xr:uid="{D61D14AA-1B46-4AF6-8B3F-EE77CF593CE6}"/>
    <cellStyle name="Normal 5 3 4 2 3 5" xfId="9453" xr:uid="{00000000-0005-0000-0000-0000B04C0000}"/>
    <cellStyle name="Normal 5 3 4 2 3 6" xfId="26323" xr:uid="{0AE614A0-B52B-43D9-8F00-C5F3AAFC620D}"/>
    <cellStyle name="Normal 5 3 4 2 4" xfId="1341" xr:uid="{00000000-0005-0000-0000-0000B14C0000}"/>
    <cellStyle name="Normal 5 3 4 2 4 2" xfId="3571" xr:uid="{00000000-0005-0000-0000-0000B24C0000}"/>
    <cellStyle name="Normal 5 3 4 2 4 2 2" xfId="7794" xr:uid="{00000000-0005-0000-0000-0000B34C0000}"/>
    <cellStyle name="Normal 5 3 4 2 4 2 2 2" xfId="24664" xr:uid="{00000000-0005-0000-0000-0000B44C0000}"/>
    <cellStyle name="Normal 5 3 4 2 4 2 2 2 2" xfId="41532" xr:uid="{E2CAECBA-2F20-44AD-9353-D5FED00B064B}"/>
    <cellStyle name="Normal 5 3 4 2 4 2 2 3" xfId="16229" xr:uid="{00000000-0005-0000-0000-0000B54C0000}"/>
    <cellStyle name="Normal 5 3 4 2 4 2 2 4" xfId="33098" xr:uid="{E481117F-100A-4661-A0CE-3B1F89791465}"/>
    <cellStyle name="Normal 5 3 4 2 4 2 3" xfId="20446" xr:uid="{00000000-0005-0000-0000-0000B64C0000}"/>
    <cellStyle name="Normal 5 3 4 2 4 2 3 2" xfId="37315" xr:uid="{84B058A9-FB34-4B15-8F81-F8D63B54F5F2}"/>
    <cellStyle name="Normal 5 3 4 2 4 2 4" xfId="12011" xr:uid="{00000000-0005-0000-0000-0000B74C0000}"/>
    <cellStyle name="Normal 5 3 4 2 4 2 5" xfId="28881" xr:uid="{E841451F-684A-490A-B751-2CDB5871136D}"/>
    <cellStyle name="Normal 5 3 4 2 4 3" xfId="5649" xr:uid="{00000000-0005-0000-0000-0000B84C0000}"/>
    <cellStyle name="Normal 5 3 4 2 4 3 2" xfId="22519" xr:uid="{00000000-0005-0000-0000-0000B94C0000}"/>
    <cellStyle name="Normal 5 3 4 2 4 3 2 2" xfId="39387" xr:uid="{49FEC264-524B-4F2D-8B87-C846EAD01775}"/>
    <cellStyle name="Normal 5 3 4 2 4 3 3" xfId="14084" xr:uid="{00000000-0005-0000-0000-0000BA4C0000}"/>
    <cellStyle name="Normal 5 3 4 2 4 3 4" xfId="30953" xr:uid="{3511F45B-F6B9-441A-8F5D-9B13D911DA35}"/>
    <cellStyle name="Normal 5 3 4 2 4 4" xfId="18301" xr:uid="{00000000-0005-0000-0000-0000BB4C0000}"/>
    <cellStyle name="Normal 5 3 4 2 4 4 2" xfId="35170" xr:uid="{C0BA4DBD-E0AD-4C2B-99A8-9E5A1B05D586}"/>
    <cellStyle name="Normal 5 3 4 2 4 5" xfId="9866" xr:uid="{00000000-0005-0000-0000-0000BC4C0000}"/>
    <cellStyle name="Normal 5 3 4 2 4 6" xfId="26736" xr:uid="{6CFC4B7E-A95B-429F-A380-044642075C91}"/>
    <cellStyle name="Normal 5 3 4 2 5" xfId="1754" xr:uid="{00000000-0005-0000-0000-0000BD4C0000}"/>
    <cellStyle name="Normal 5 3 4 2 5 2" xfId="3984" xr:uid="{00000000-0005-0000-0000-0000BE4C0000}"/>
    <cellStyle name="Normal 5 3 4 2 5 2 2" xfId="8207" xr:uid="{00000000-0005-0000-0000-0000BF4C0000}"/>
    <cellStyle name="Normal 5 3 4 2 5 2 2 2" xfId="25077" xr:uid="{00000000-0005-0000-0000-0000C04C0000}"/>
    <cellStyle name="Normal 5 3 4 2 5 2 2 2 2" xfId="41945" xr:uid="{1910E9E7-E8B8-46C8-9E4D-7115000F986D}"/>
    <cellStyle name="Normal 5 3 4 2 5 2 2 3" xfId="16642" xr:uid="{00000000-0005-0000-0000-0000C14C0000}"/>
    <cellStyle name="Normal 5 3 4 2 5 2 2 4" xfId="33511" xr:uid="{7A98C912-E6B9-4E51-8BFB-E8F4C18BE9A3}"/>
    <cellStyle name="Normal 5 3 4 2 5 2 3" xfId="20859" xr:uid="{00000000-0005-0000-0000-0000C24C0000}"/>
    <cellStyle name="Normal 5 3 4 2 5 2 3 2" xfId="37728" xr:uid="{821E1D34-37F7-42DA-AB29-71DEE4862AE2}"/>
    <cellStyle name="Normal 5 3 4 2 5 2 4" xfId="12424" xr:uid="{00000000-0005-0000-0000-0000C34C0000}"/>
    <cellStyle name="Normal 5 3 4 2 5 2 5" xfId="29294" xr:uid="{3453650A-BC5A-4FAF-B172-087D1A87EC1C}"/>
    <cellStyle name="Normal 5 3 4 2 5 3" xfId="6062" xr:uid="{00000000-0005-0000-0000-0000C44C0000}"/>
    <cellStyle name="Normal 5 3 4 2 5 3 2" xfId="22932" xr:uid="{00000000-0005-0000-0000-0000C54C0000}"/>
    <cellStyle name="Normal 5 3 4 2 5 3 2 2" xfId="39800" xr:uid="{EB7B8721-0121-4F8D-807D-A25F31C31E75}"/>
    <cellStyle name="Normal 5 3 4 2 5 3 3" xfId="14497" xr:uid="{00000000-0005-0000-0000-0000C64C0000}"/>
    <cellStyle name="Normal 5 3 4 2 5 3 4" xfId="31366" xr:uid="{FD62609B-BB9F-4075-A5C5-C71E9F39E827}"/>
    <cellStyle name="Normal 5 3 4 2 5 4" xfId="18714" xr:uid="{00000000-0005-0000-0000-0000C74C0000}"/>
    <cellStyle name="Normal 5 3 4 2 5 4 2" xfId="35583" xr:uid="{2D42CE66-FD7D-44FC-B886-A62ABB14BB7B}"/>
    <cellStyle name="Normal 5 3 4 2 5 5" xfId="10279" xr:uid="{00000000-0005-0000-0000-0000C84C0000}"/>
    <cellStyle name="Normal 5 3 4 2 5 6" xfId="27149" xr:uid="{78C6BBF2-120D-441E-93D6-0C600A274274}"/>
    <cellStyle name="Normal 5 3 4 2 6" xfId="2168" xr:uid="{00000000-0005-0000-0000-0000C94C0000}"/>
    <cellStyle name="Normal 5 3 4 2 6 2" xfId="4397" xr:uid="{00000000-0005-0000-0000-0000CA4C0000}"/>
    <cellStyle name="Normal 5 3 4 2 6 2 2" xfId="8620" xr:uid="{00000000-0005-0000-0000-0000CB4C0000}"/>
    <cellStyle name="Normal 5 3 4 2 6 2 2 2" xfId="25490" xr:uid="{00000000-0005-0000-0000-0000CC4C0000}"/>
    <cellStyle name="Normal 5 3 4 2 6 2 2 2 2" xfId="42358" xr:uid="{066FA80C-2716-45DE-978B-C9658F5B75CE}"/>
    <cellStyle name="Normal 5 3 4 2 6 2 2 3" xfId="17055" xr:uid="{00000000-0005-0000-0000-0000CD4C0000}"/>
    <cellStyle name="Normal 5 3 4 2 6 2 2 4" xfId="33924" xr:uid="{D909C2A0-1591-4481-952B-1B54CBD11045}"/>
    <cellStyle name="Normal 5 3 4 2 6 2 3" xfId="21272" xr:uid="{00000000-0005-0000-0000-0000CE4C0000}"/>
    <cellStyle name="Normal 5 3 4 2 6 2 3 2" xfId="38141" xr:uid="{F115D5DA-3286-4CF4-8B76-7E4279D90192}"/>
    <cellStyle name="Normal 5 3 4 2 6 2 4" xfId="12837" xr:uid="{00000000-0005-0000-0000-0000CF4C0000}"/>
    <cellStyle name="Normal 5 3 4 2 6 2 5" xfId="29707" xr:uid="{2326DBD4-9E08-47D2-9608-4D0323BCD9CC}"/>
    <cellStyle name="Normal 5 3 4 2 6 3" xfId="6475" xr:uid="{00000000-0005-0000-0000-0000D04C0000}"/>
    <cellStyle name="Normal 5 3 4 2 6 3 2" xfId="23345" xr:uid="{00000000-0005-0000-0000-0000D14C0000}"/>
    <cellStyle name="Normal 5 3 4 2 6 3 2 2" xfId="40213" xr:uid="{D9972F8C-4ABB-4F5B-B8D2-DA7B1729FF1F}"/>
    <cellStyle name="Normal 5 3 4 2 6 3 3" xfId="14910" xr:uid="{00000000-0005-0000-0000-0000D24C0000}"/>
    <cellStyle name="Normal 5 3 4 2 6 3 4" xfId="31779" xr:uid="{F1C717AD-7AFD-4B96-BB8D-E7E558A58468}"/>
    <cellStyle name="Normal 5 3 4 2 6 4" xfId="19127" xr:uid="{00000000-0005-0000-0000-0000D34C0000}"/>
    <cellStyle name="Normal 5 3 4 2 6 4 2" xfId="35996" xr:uid="{54124D85-0590-4700-BF5F-79D90BED3F8F}"/>
    <cellStyle name="Normal 5 3 4 2 6 5" xfId="10692" xr:uid="{00000000-0005-0000-0000-0000D44C0000}"/>
    <cellStyle name="Normal 5 3 4 2 6 6" xfId="27562" xr:uid="{10DC6D46-2BFD-4128-B6F9-12825A9FD2FF}"/>
    <cellStyle name="Normal 5 3 4 2 7" xfId="2604" xr:uid="{00000000-0005-0000-0000-0000D54C0000}"/>
    <cellStyle name="Normal 5 3 4 2 7 2" xfId="6888" xr:uid="{00000000-0005-0000-0000-0000D64C0000}"/>
    <cellStyle name="Normal 5 3 4 2 7 2 2" xfId="23758" xr:uid="{00000000-0005-0000-0000-0000D74C0000}"/>
    <cellStyle name="Normal 5 3 4 2 7 2 2 2" xfId="40626" xr:uid="{F363C826-F114-4709-BEEB-945B3A8F4393}"/>
    <cellStyle name="Normal 5 3 4 2 7 2 3" xfId="15323" xr:uid="{00000000-0005-0000-0000-0000D84C0000}"/>
    <cellStyle name="Normal 5 3 4 2 7 2 4" xfId="32192" xr:uid="{681A8353-522E-4723-8588-E413D29EFEBC}"/>
    <cellStyle name="Normal 5 3 4 2 7 3" xfId="19540" xr:uid="{00000000-0005-0000-0000-0000D94C0000}"/>
    <cellStyle name="Normal 5 3 4 2 7 3 2" xfId="36409" xr:uid="{63EC2988-0207-40EB-AD83-1F76AD7D9C45}"/>
    <cellStyle name="Normal 5 3 4 2 7 4" xfId="11105" xr:uid="{00000000-0005-0000-0000-0000DA4C0000}"/>
    <cellStyle name="Normal 5 3 4 2 7 5" xfId="27975" xr:uid="{90E3884A-915C-47C9-B2DB-CB75B5504F53}"/>
    <cellStyle name="Normal 5 3 4 2 8" xfId="4823" xr:uid="{00000000-0005-0000-0000-0000DB4C0000}"/>
    <cellStyle name="Normal 5 3 4 2 8 2" xfId="21693" xr:uid="{00000000-0005-0000-0000-0000DC4C0000}"/>
    <cellStyle name="Normal 5 3 4 2 8 2 2" xfId="38561" xr:uid="{96EA1B59-A6BB-4239-9680-C492BDC9AFF1}"/>
    <cellStyle name="Normal 5 3 4 2 8 3" xfId="13258" xr:uid="{00000000-0005-0000-0000-0000DD4C0000}"/>
    <cellStyle name="Normal 5 3 4 2 8 4" xfId="30127" xr:uid="{5411D901-E1CE-4C07-96BD-46B3A5F6A414}"/>
    <cellStyle name="Normal 5 3 4 2 9" xfId="17475" xr:uid="{00000000-0005-0000-0000-0000DE4C0000}"/>
    <cellStyle name="Normal 5 3 4 2 9 2" xfId="34344" xr:uid="{45A70A87-9001-4F9A-A2B1-108C66925064}"/>
    <cellStyle name="Normal 5 3 4 3" xfId="452" xr:uid="{00000000-0005-0000-0000-0000DF4C0000}"/>
    <cellStyle name="Normal 5 3 4 3 10" xfId="25912" xr:uid="{3C6E1C49-B314-4A6D-9C1E-231C4E3F8B77}"/>
    <cellStyle name="Normal 5 3 4 3 2" xfId="926" xr:uid="{00000000-0005-0000-0000-0000E04C0000}"/>
    <cellStyle name="Normal 5 3 4 3 2 2" xfId="3160" xr:uid="{00000000-0005-0000-0000-0000E14C0000}"/>
    <cellStyle name="Normal 5 3 4 3 2 2 2" xfId="7383" xr:uid="{00000000-0005-0000-0000-0000E24C0000}"/>
    <cellStyle name="Normal 5 3 4 3 2 2 2 2" xfId="24253" xr:uid="{00000000-0005-0000-0000-0000E34C0000}"/>
    <cellStyle name="Normal 5 3 4 3 2 2 2 2 2" xfId="41121" xr:uid="{09F9C08F-233B-4BA7-9DA4-80D2A828B041}"/>
    <cellStyle name="Normal 5 3 4 3 2 2 2 3" xfId="15818" xr:uid="{00000000-0005-0000-0000-0000E44C0000}"/>
    <cellStyle name="Normal 5 3 4 3 2 2 2 4" xfId="32687" xr:uid="{6D5C800B-5007-4B74-8A3A-D1453AEB73CA}"/>
    <cellStyle name="Normal 5 3 4 3 2 2 3" xfId="20035" xr:uid="{00000000-0005-0000-0000-0000E54C0000}"/>
    <cellStyle name="Normal 5 3 4 3 2 2 3 2" xfId="36904" xr:uid="{60DA1541-1943-4F3A-8985-0C8CF4A3DBDF}"/>
    <cellStyle name="Normal 5 3 4 3 2 2 4" xfId="11600" xr:uid="{00000000-0005-0000-0000-0000E64C0000}"/>
    <cellStyle name="Normal 5 3 4 3 2 2 5" xfId="28470" xr:uid="{0CA0831B-12E3-43B1-BF9B-41A197E4299D}"/>
    <cellStyle name="Normal 5 3 4 3 2 3" xfId="5238" xr:uid="{00000000-0005-0000-0000-0000E74C0000}"/>
    <cellStyle name="Normal 5 3 4 3 2 3 2" xfId="22108" xr:uid="{00000000-0005-0000-0000-0000E84C0000}"/>
    <cellStyle name="Normal 5 3 4 3 2 3 2 2" xfId="38976" xr:uid="{509531B4-E037-4F42-BBCB-37E605493AEA}"/>
    <cellStyle name="Normal 5 3 4 3 2 3 3" xfId="13673" xr:uid="{00000000-0005-0000-0000-0000E94C0000}"/>
    <cellStyle name="Normal 5 3 4 3 2 3 4" xfId="30542" xr:uid="{8A9C8258-9A8A-4CD6-9694-5A9386610513}"/>
    <cellStyle name="Normal 5 3 4 3 2 4" xfId="17890" xr:uid="{00000000-0005-0000-0000-0000EA4C0000}"/>
    <cellStyle name="Normal 5 3 4 3 2 4 2" xfId="34759" xr:uid="{A76D4859-1B48-4997-9F81-C160540D7948}"/>
    <cellStyle name="Normal 5 3 4 3 2 5" xfId="9455" xr:uid="{00000000-0005-0000-0000-0000EB4C0000}"/>
    <cellStyle name="Normal 5 3 4 3 2 6" xfId="26325" xr:uid="{9A6AA2E3-1F69-4DC5-A15C-F1AEF53DB222}"/>
    <cellStyle name="Normal 5 3 4 3 3" xfId="1343" xr:uid="{00000000-0005-0000-0000-0000EC4C0000}"/>
    <cellStyle name="Normal 5 3 4 3 3 2" xfId="3573" xr:uid="{00000000-0005-0000-0000-0000ED4C0000}"/>
    <cellStyle name="Normal 5 3 4 3 3 2 2" xfId="7796" xr:uid="{00000000-0005-0000-0000-0000EE4C0000}"/>
    <cellStyle name="Normal 5 3 4 3 3 2 2 2" xfId="24666" xr:uid="{00000000-0005-0000-0000-0000EF4C0000}"/>
    <cellStyle name="Normal 5 3 4 3 3 2 2 2 2" xfId="41534" xr:uid="{ABC788C9-08A4-4836-A0F8-7291A23970A0}"/>
    <cellStyle name="Normal 5 3 4 3 3 2 2 3" xfId="16231" xr:uid="{00000000-0005-0000-0000-0000F04C0000}"/>
    <cellStyle name="Normal 5 3 4 3 3 2 2 4" xfId="33100" xr:uid="{633E9304-8D5A-4888-BEA4-4F3F0936EE49}"/>
    <cellStyle name="Normal 5 3 4 3 3 2 3" xfId="20448" xr:uid="{00000000-0005-0000-0000-0000F14C0000}"/>
    <cellStyle name="Normal 5 3 4 3 3 2 3 2" xfId="37317" xr:uid="{EEF62EDE-7A47-44FF-8834-D23EFC769A79}"/>
    <cellStyle name="Normal 5 3 4 3 3 2 4" xfId="12013" xr:uid="{00000000-0005-0000-0000-0000F24C0000}"/>
    <cellStyle name="Normal 5 3 4 3 3 2 5" xfId="28883" xr:uid="{36F5622A-44D7-42F4-834D-1E1795086110}"/>
    <cellStyle name="Normal 5 3 4 3 3 3" xfId="5651" xr:uid="{00000000-0005-0000-0000-0000F34C0000}"/>
    <cellStyle name="Normal 5 3 4 3 3 3 2" xfId="22521" xr:uid="{00000000-0005-0000-0000-0000F44C0000}"/>
    <cellStyle name="Normal 5 3 4 3 3 3 2 2" xfId="39389" xr:uid="{FDA94755-265B-414A-94DB-C05DD83ADB0B}"/>
    <cellStyle name="Normal 5 3 4 3 3 3 3" xfId="14086" xr:uid="{00000000-0005-0000-0000-0000F54C0000}"/>
    <cellStyle name="Normal 5 3 4 3 3 3 4" xfId="30955" xr:uid="{86D60FD9-C0D8-4F8C-81D7-220033A45270}"/>
    <cellStyle name="Normal 5 3 4 3 3 4" xfId="18303" xr:uid="{00000000-0005-0000-0000-0000F64C0000}"/>
    <cellStyle name="Normal 5 3 4 3 3 4 2" xfId="35172" xr:uid="{7A49DCF8-661B-485E-8016-073638F8FCC4}"/>
    <cellStyle name="Normal 5 3 4 3 3 5" xfId="9868" xr:uid="{00000000-0005-0000-0000-0000F74C0000}"/>
    <cellStyle name="Normal 5 3 4 3 3 6" xfId="26738" xr:uid="{F8FDC500-5565-4F08-B2F8-0EF777A6B952}"/>
    <cellStyle name="Normal 5 3 4 3 4" xfId="1756" xr:uid="{00000000-0005-0000-0000-0000F84C0000}"/>
    <cellStyle name="Normal 5 3 4 3 4 2" xfId="3986" xr:uid="{00000000-0005-0000-0000-0000F94C0000}"/>
    <cellStyle name="Normal 5 3 4 3 4 2 2" xfId="8209" xr:uid="{00000000-0005-0000-0000-0000FA4C0000}"/>
    <cellStyle name="Normal 5 3 4 3 4 2 2 2" xfId="25079" xr:uid="{00000000-0005-0000-0000-0000FB4C0000}"/>
    <cellStyle name="Normal 5 3 4 3 4 2 2 2 2" xfId="41947" xr:uid="{FF268165-8D96-4688-807D-A617327DA40F}"/>
    <cellStyle name="Normal 5 3 4 3 4 2 2 3" xfId="16644" xr:uid="{00000000-0005-0000-0000-0000FC4C0000}"/>
    <cellStyle name="Normal 5 3 4 3 4 2 2 4" xfId="33513" xr:uid="{11056A0D-2FA3-4DBF-8825-D288E5EB1047}"/>
    <cellStyle name="Normal 5 3 4 3 4 2 3" xfId="20861" xr:uid="{00000000-0005-0000-0000-0000FD4C0000}"/>
    <cellStyle name="Normal 5 3 4 3 4 2 3 2" xfId="37730" xr:uid="{A14772C9-3E9A-4ADF-959C-898779CB99F0}"/>
    <cellStyle name="Normal 5 3 4 3 4 2 4" xfId="12426" xr:uid="{00000000-0005-0000-0000-0000FE4C0000}"/>
    <cellStyle name="Normal 5 3 4 3 4 2 5" xfId="29296" xr:uid="{5F255913-648B-42CC-A938-C72CBBBCAA2C}"/>
    <cellStyle name="Normal 5 3 4 3 4 3" xfId="6064" xr:uid="{00000000-0005-0000-0000-0000FF4C0000}"/>
    <cellStyle name="Normal 5 3 4 3 4 3 2" xfId="22934" xr:uid="{00000000-0005-0000-0000-0000004D0000}"/>
    <cellStyle name="Normal 5 3 4 3 4 3 2 2" xfId="39802" xr:uid="{63121D3B-E314-4B65-B8BF-1392A8B94B09}"/>
    <cellStyle name="Normal 5 3 4 3 4 3 3" xfId="14499" xr:uid="{00000000-0005-0000-0000-0000014D0000}"/>
    <cellStyle name="Normal 5 3 4 3 4 3 4" xfId="31368" xr:uid="{0DEBCA61-B4B5-4D30-8EF8-1C55620FC3C2}"/>
    <cellStyle name="Normal 5 3 4 3 4 4" xfId="18716" xr:uid="{00000000-0005-0000-0000-0000024D0000}"/>
    <cellStyle name="Normal 5 3 4 3 4 4 2" xfId="35585" xr:uid="{6761D389-528A-4B21-8618-06EFE59F63E6}"/>
    <cellStyle name="Normal 5 3 4 3 4 5" xfId="10281" xr:uid="{00000000-0005-0000-0000-0000034D0000}"/>
    <cellStyle name="Normal 5 3 4 3 4 6" xfId="27151" xr:uid="{BC854355-D80A-4D2D-AA94-CA11C92CD528}"/>
    <cellStyle name="Normal 5 3 4 3 5" xfId="2170" xr:uid="{00000000-0005-0000-0000-0000044D0000}"/>
    <cellStyle name="Normal 5 3 4 3 5 2" xfId="4399" xr:uid="{00000000-0005-0000-0000-0000054D0000}"/>
    <cellStyle name="Normal 5 3 4 3 5 2 2" xfId="8622" xr:uid="{00000000-0005-0000-0000-0000064D0000}"/>
    <cellStyle name="Normal 5 3 4 3 5 2 2 2" xfId="25492" xr:uid="{00000000-0005-0000-0000-0000074D0000}"/>
    <cellStyle name="Normal 5 3 4 3 5 2 2 2 2" xfId="42360" xr:uid="{75A4FA09-1211-4585-9140-EF72DA37E082}"/>
    <cellStyle name="Normal 5 3 4 3 5 2 2 3" xfId="17057" xr:uid="{00000000-0005-0000-0000-0000084D0000}"/>
    <cellStyle name="Normal 5 3 4 3 5 2 2 4" xfId="33926" xr:uid="{435A9FFD-0182-4689-85C4-BB5EE80D0953}"/>
    <cellStyle name="Normal 5 3 4 3 5 2 3" xfId="21274" xr:uid="{00000000-0005-0000-0000-0000094D0000}"/>
    <cellStyle name="Normal 5 3 4 3 5 2 3 2" xfId="38143" xr:uid="{DED5CB5F-6128-406D-9718-D8B119639AF0}"/>
    <cellStyle name="Normal 5 3 4 3 5 2 4" xfId="12839" xr:uid="{00000000-0005-0000-0000-00000A4D0000}"/>
    <cellStyle name="Normal 5 3 4 3 5 2 5" xfId="29709" xr:uid="{5AA601BD-9C61-4941-B97F-4A7E8AEC9F3E}"/>
    <cellStyle name="Normal 5 3 4 3 5 3" xfId="6477" xr:uid="{00000000-0005-0000-0000-00000B4D0000}"/>
    <cellStyle name="Normal 5 3 4 3 5 3 2" xfId="23347" xr:uid="{00000000-0005-0000-0000-00000C4D0000}"/>
    <cellStyle name="Normal 5 3 4 3 5 3 2 2" xfId="40215" xr:uid="{43607E63-0A9C-40EA-8F86-E21CDD9F7E12}"/>
    <cellStyle name="Normal 5 3 4 3 5 3 3" xfId="14912" xr:uid="{00000000-0005-0000-0000-00000D4D0000}"/>
    <cellStyle name="Normal 5 3 4 3 5 3 4" xfId="31781" xr:uid="{5BB2B6BE-A649-4C7D-93FD-10508016C5A1}"/>
    <cellStyle name="Normal 5 3 4 3 5 4" xfId="19129" xr:uid="{00000000-0005-0000-0000-00000E4D0000}"/>
    <cellStyle name="Normal 5 3 4 3 5 4 2" xfId="35998" xr:uid="{3653925F-9037-4A3A-9909-CD8181F64947}"/>
    <cellStyle name="Normal 5 3 4 3 5 5" xfId="10694" xr:uid="{00000000-0005-0000-0000-00000F4D0000}"/>
    <cellStyle name="Normal 5 3 4 3 5 6" xfId="27564" xr:uid="{A829DA17-FD1B-4FFF-B10F-5B23154251A3}"/>
    <cellStyle name="Normal 5 3 4 3 6" xfId="2606" xr:uid="{00000000-0005-0000-0000-0000104D0000}"/>
    <cellStyle name="Normal 5 3 4 3 6 2" xfId="6890" xr:uid="{00000000-0005-0000-0000-0000114D0000}"/>
    <cellStyle name="Normal 5 3 4 3 6 2 2" xfId="23760" xr:uid="{00000000-0005-0000-0000-0000124D0000}"/>
    <cellStyle name="Normal 5 3 4 3 6 2 2 2" xfId="40628" xr:uid="{A9BEA5F5-40A7-4983-96C9-FFA113E56B28}"/>
    <cellStyle name="Normal 5 3 4 3 6 2 3" xfId="15325" xr:uid="{00000000-0005-0000-0000-0000134D0000}"/>
    <cellStyle name="Normal 5 3 4 3 6 2 4" xfId="32194" xr:uid="{D2A12A53-2AAA-4348-BE72-AA8DAF3BFE90}"/>
    <cellStyle name="Normal 5 3 4 3 6 3" xfId="19542" xr:uid="{00000000-0005-0000-0000-0000144D0000}"/>
    <cellStyle name="Normal 5 3 4 3 6 3 2" xfId="36411" xr:uid="{6F240005-72C9-4436-BD99-159A1A1CC04A}"/>
    <cellStyle name="Normal 5 3 4 3 6 4" xfId="11107" xr:uid="{00000000-0005-0000-0000-0000154D0000}"/>
    <cellStyle name="Normal 5 3 4 3 6 5" xfId="27977" xr:uid="{4218CDD0-3DE8-47E2-9437-9FEC91ABBB07}"/>
    <cellStyle name="Normal 5 3 4 3 7" xfId="4825" xr:uid="{00000000-0005-0000-0000-0000164D0000}"/>
    <cellStyle name="Normal 5 3 4 3 7 2" xfId="21695" xr:uid="{00000000-0005-0000-0000-0000174D0000}"/>
    <cellStyle name="Normal 5 3 4 3 7 2 2" xfId="38563" xr:uid="{4CBB6A67-57E3-4F25-B2BC-A7126A9483DC}"/>
    <cellStyle name="Normal 5 3 4 3 7 3" xfId="13260" xr:uid="{00000000-0005-0000-0000-0000184D0000}"/>
    <cellStyle name="Normal 5 3 4 3 7 4" xfId="30129" xr:uid="{24761CAF-FE40-43F6-8B40-B76DA11B7241}"/>
    <cellStyle name="Normal 5 3 4 3 8" xfId="17477" xr:uid="{00000000-0005-0000-0000-0000194D0000}"/>
    <cellStyle name="Normal 5 3 4 3 8 2" xfId="34346" xr:uid="{1E6BAA2F-15AE-4A5A-96AD-2117C8E381C7}"/>
    <cellStyle name="Normal 5 3 4 3 9" xfId="9042" xr:uid="{00000000-0005-0000-0000-00001A4D0000}"/>
    <cellStyle name="Normal 5 3 4 4" xfId="923" xr:uid="{00000000-0005-0000-0000-00001B4D0000}"/>
    <cellStyle name="Normal 5 3 4 4 2" xfId="3157" xr:uid="{00000000-0005-0000-0000-00001C4D0000}"/>
    <cellStyle name="Normal 5 3 4 4 2 2" xfId="7380" xr:uid="{00000000-0005-0000-0000-00001D4D0000}"/>
    <cellStyle name="Normal 5 3 4 4 2 2 2" xfId="24250" xr:uid="{00000000-0005-0000-0000-00001E4D0000}"/>
    <cellStyle name="Normal 5 3 4 4 2 2 2 2" xfId="41118" xr:uid="{4702278C-0333-45FE-8652-E74E0AD17FEE}"/>
    <cellStyle name="Normal 5 3 4 4 2 2 3" xfId="15815" xr:uid="{00000000-0005-0000-0000-00001F4D0000}"/>
    <cellStyle name="Normal 5 3 4 4 2 2 4" xfId="32684" xr:uid="{98D19F25-992A-48C3-9A31-7A1532FEED11}"/>
    <cellStyle name="Normal 5 3 4 4 2 3" xfId="20032" xr:uid="{00000000-0005-0000-0000-0000204D0000}"/>
    <cellStyle name="Normal 5 3 4 4 2 3 2" xfId="36901" xr:uid="{6393FC26-7A5D-4AEC-9086-6D7810591D15}"/>
    <cellStyle name="Normal 5 3 4 4 2 4" xfId="11597" xr:uid="{00000000-0005-0000-0000-0000214D0000}"/>
    <cellStyle name="Normal 5 3 4 4 2 5" xfId="28467" xr:uid="{4B90A570-982A-41B2-8B5C-BC2087F29357}"/>
    <cellStyle name="Normal 5 3 4 4 3" xfId="5235" xr:uid="{00000000-0005-0000-0000-0000224D0000}"/>
    <cellStyle name="Normal 5 3 4 4 3 2" xfId="22105" xr:uid="{00000000-0005-0000-0000-0000234D0000}"/>
    <cellStyle name="Normal 5 3 4 4 3 2 2" xfId="38973" xr:uid="{8CB22953-E324-4F72-9F31-ACAE9C0213FA}"/>
    <cellStyle name="Normal 5 3 4 4 3 3" xfId="13670" xr:uid="{00000000-0005-0000-0000-0000244D0000}"/>
    <cellStyle name="Normal 5 3 4 4 3 4" xfId="30539" xr:uid="{31D77FCF-DEA2-4CED-A701-C0C24EB57104}"/>
    <cellStyle name="Normal 5 3 4 4 4" xfId="17887" xr:uid="{00000000-0005-0000-0000-0000254D0000}"/>
    <cellStyle name="Normal 5 3 4 4 4 2" xfId="34756" xr:uid="{7C86ECDD-9170-48D8-AE04-BC485B4056D5}"/>
    <cellStyle name="Normal 5 3 4 4 5" xfId="9452" xr:uid="{00000000-0005-0000-0000-0000264D0000}"/>
    <cellStyle name="Normal 5 3 4 4 6" xfId="26322" xr:uid="{79F7F9A9-3277-481C-8324-BD6025DE7421}"/>
    <cellStyle name="Normal 5 3 4 5" xfId="1340" xr:uid="{00000000-0005-0000-0000-0000274D0000}"/>
    <cellStyle name="Normal 5 3 4 5 2" xfId="3570" xr:uid="{00000000-0005-0000-0000-0000284D0000}"/>
    <cellStyle name="Normal 5 3 4 5 2 2" xfId="7793" xr:uid="{00000000-0005-0000-0000-0000294D0000}"/>
    <cellStyle name="Normal 5 3 4 5 2 2 2" xfId="24663" xr:uid="{00000000-0005-0000-0000-00002A4D0000}"/>
    <cellStyle name="Normal 5 3 4 5 2 2 2 2" xfId="41531" xr:uid="{1C31A7D5-6407-4AA4-800C-B72D964582FE}"/>
    <cellStyle name="Normal 5 3 4 5 2 2 3" xfId="16228" xr:uid="{00000000-0005-0000-0000-00002B4D0000}"/>
    <cellStyle name="Normal 5 3 4 5 2 2 4" xfId="33097" xr:uid="{5F40C04E-6BA7-4ECA-904A-CCBB2B677802}"/>
    <cellStyle name="Normal 5 3 4 5 2 3" xfId="20445" xr:uid="{00000000-0005-0000-0000-00002C4D0000}"/>
    <cellStyle name="Normal 5 3 4 5 2 3 2" xfId="37314" xr:uid="{92451E57-1049-4A32-9E3F-9AF7ADF33977}"/>
    <cellStyle name="Normal 5 3 4 5 2 4" xfId="12010" xr:uid="{00000000-0005-0000-0000-00002D4D0000}"/>
    <cellStyle name="Normal 5 3 4 5 2 5" xfId="28880" xr:uid="{845C9EBE-22B3-4A89-8B9A-C93693564E5C}"/>
    <cellStyle name="Normal 5 3 4 5 3" xfId="5648" xr:uid="{00000000-0005-0000-0000-00002E4D0000}"/>
    <cellStyle name="Normal 5 3 4 5 3 2" xfId="22518" xr:uid="{00000000-0005-0000-0000-00002F4D0000}"/>
    <cellStyle name="Normal 5 3 4 5 3 2 2" xfId="39386" xr:uid="{9AD46775-D798-4962-A7D5-383E3B883B9E}"/>
    <cellStyle name="Normal 5 3 4 5 3 3" xfId="14083" xr:uid="{00000000-0005-0000-0000-0000304D0000}"/>
    <cellStyle name="Normal 5 3 4 5 3 4" xfId="30952" xr:uid="{894A5E5B-24CE-4D20-9377-1D53EE5CC852}"/>
    <cellStyle name="Normal 5 3 4 5 4" xfId="18300" xr:uid="{00000000-0005-0000-0000-0000314D0000}"/>
    <cellStyle name="Normal 5 3 4 5 4 2" xfId="35169" xr:uid="{2F527647-66A7-4332-B997-2305837D241E}"/>
    <cellStyle name="Normal 5 3 4 5 5" xfId="9865" xr:uid="{00000000-0005-0000-0000-0000324D0000}"/>
    <cellStyle name="Normal 5 3 4 5 6" xfId="26735" xr:uid="{9CD48015-76B8-49B3-89A9-702B33A1EB6C}"/>
    <cellStyle name="Normal 5 3 4 6" xfId="1753" xr:uid="{00000000-0005-0000-0000-0000334D0000}"/>
    <cellStyle name="Normal 5 3 4 6 2" xfId="3983" xr:uid="{00000000-0005-0000-0000-0000344D0000}"/>
    <cellStyle name="Normal 5 3 4 6 2 2" xfId="8206" xr:uid="{00000000-0005-0000-0000-0000354D0000}"/>
    <cellStyle name="Normal 5 3 4 6 2 2 2" xfId="25076" xr:uid="{00000000-0005-0000-0000-0000364D0000}"/>
    <cellStyle name="Normal 5 3 4 6 2 2 2 2" xfId="41944" xr:uid="{EAC799CC-F6AE-4FC9-B88E-8D71E5769A5D}"/>
    <cellStyle name="Normal 5 3 4 6 2 2 3" xfId="16641" xr:uid="{00000000-0005-0000-0000-0000374D0000}"/>
    <cellStyle name="Normal 5 3 4 6 2 2 4" xfId="33510" xr:uid="{97FBF5C5-9292-4F86-BF06-3A034C15C166}"/>
    <cellStyle name="Normal 5 3 4 6 2 3" xfId="20858" xr:uid="{00000000-0005-0000-0000-0000384D0000}"/>
    <cellStyle name="Normal 5 3 4 6 2 3 2" xfId="37727" xr:uid="{D050B908-08D4-47A4-9279-2AEA9CBA7BE5}"/>
    <cellStyle name="Normal 5 3 4 6 2 4" xfId="12423" xr:uid="{00000000-0005-0000-0000-0000394D0000}"/>
    <cellStyle name="Normal 5 3 4 6 2 5" xfId="29293" xr:uid="{95C7B797-F936-44B1-8BB0-519FB6D07E33}"/>
    <cellStyle name="Normal 5 3 4 6 3" xfId="6061" xr:uid="{00000000-0005-0000-0000-00003A4D0000}"/>
    <cellStyle name="Normal 5 3 4 6 3 2" xfId="22931" xr:uid="{00000000-0005-0000-0000-00003B4D0000}"/>
    <cellStyle name="Normal 5 3 4 6 3 2 2" xfId="39799" xr:uid="{AD6CDC18-21AC-4BA5-82AF-D6E315D56BE5}"/>
    <cellStyle name="Normal 5 3 4 6 3 3" xfId="14496" xr:uid="{00000000-0005-0000-0000-00003C4D0000}"/>
    <cellStyle name="Normal 5 3 4 6 3 4" xfId="31365" xr:uid="{B364A56F-7E6A-49F9-971C-83794B748017}"/>
    <cellStyle name="Normal 5 3 4 6 4" xfId="18713" xr:uid="{00000000-0005-0000-0000-00003D4D0000}"/>
    <cellStyle name="Normal 5 3 4 6 4 2" xfId="35582" xr:uid="{E386518D-2D8D-4EEE-9AB7-1C774FF1744B}"/>
    <cellStyle name="Normal 5 3 4 6 5" xfId="10278" xr:uid="{00000000-0005-0000-0000-00003E4D0000}"/>
    <cellStyle name="Normal 5 3 4 6 6" xfId="27148" xr:uid="{4535BAF2-5FD3-411C-A73E-CDE6DB0E393D}"/>
    <cellStyle name="Normal 5 3 4 7" xfId="2167" xr:uid="{00000000-0005-0000-0000-00003F4D0000}"/>
    <cellStyle name="Normal 5 3 4 7 2" xfId="4396" xr:uid="{00000000-0005-0000-0000-0000404D0000}"/>
    <cellStyle name="Normal 5 3 4 7 2 2" xfId="8619" xr:uid="{00000000-0005-0000-0000-0000414D0000}"/>
    <cellStyle name="Normal 5 3 4 7 2 2 2" xfId="25489" xr:uid="{00000000-0005-0000-0000-0000424D0000}"/>
    <cellStyle name="Normal 5 3 4 7 2 2 2 2" xfId="42357" xr:uid="{3663CB6F-FAA2-48A6-A18A-5A191453C8BF}"/>
    <cellStyle name="Normal 5 3 4 7 2 2 3" xfId="17054" xr:uid="{00000000-0005-0000-0000-0000434D0000}"/>
    <cellStyle name="Normal 5 3 4 7 2 2 4" xfId="33923" xr:uid="{24EBBE54-4C4F-4557-9D37-6B7670A5E9C9}"/>
    <cellStyle name="Normal 5 3 4 7 2 3" xfId="21271" xr:uid="{00000000-0005-0000-0000-0000444D0000}"/>
    <cellStyle name="Normal 5 3 4 7 2 3 2" xfId="38140" xr:uid="{25DD8430-DBD5-4EF4-9D5E-F0BD8840AEA8}"/>
    <cellStyle name="Normal 5 3 4 7 2 4" xfId="12836" xr:uid="{00000000-0005-0000-0000-0000454D0000}"/>
    <cellStyle name="Normal 5 3 4 7 2 5" xfId="29706" xr:uid="{9371B701-536E-4879-8C8A-B931023EB71C}"/>
    <cellStyle name="Normal 5 3 4 7 3" xfId="6474" xr:uid="{00000000-0005-0000-0000-0000464D0000}"/>
    <cellStyle name="Normal 5 3 4 7 3 2" xfId="23344" xr:uid="{00000000-0005-0000-0000-0000474D0000}"/>
    <cellStyle name="Normal 5 3 4 7 3 2 2" xfId="40212" xr:uid="{FBDF1E18-49EA-401C-AB33-D030F366F73E}"/>
    <cellStyle name="Normal 5 3 4 7 3 3" xfId="14909" xr:uid="{00000000-0005-0000-0000-0000484D0000}"/>
    <cellStyle name="Normal 5 3 4 7 3 4" xfId="31778" xr:uid="{03340AEE-2980-42DC-801F-62ED6ECE1AFF}"/>
    <cellStyle name="Normal 5 3 4 7 4" xfId="19126" xr:uid="{00000000-0005-0000-0000-0000494D0000}"/>
    <cellStyle name="Normal 5 3 4 7 4 2" xfId="35995" xr:uid="{53A30E00-D598-47CE-BED7-A3B573CC698B}"/>
    <cellStyle name="Normal 5 3 4 7 5" xfId="10691" xr:uid="{00000000-0005-0000-0000-00004A4D0000}"/>
    <cellStyle name="Normal 5 3 4 7 6" xfId="27561" xr:uid="{01EB9B60-27E2-48FF-A327-722CDF9BDE77}"/>
    <cellStyle name="Normal 5 3 4 8" xfId="2603" xr:uid="{00000000-0005-0000-0000-00004B4D0000}"/>
    <cellStyle name="Normal 5 3 4 8 2" xfId="6887" xr:uid="{00000000-0005-0000-0000-00004C4D0000}"/>
    <cellStyle name="Normal 5 3 4 8 2 2" xfId="23757" xr:uid="{00000000-0005-0000-0000-00004D4D0000}"/>
    <cellStyle name="Normal 5 3 4 8 2 2 2" xfId="40625" xr:uid="{BBB0F85E-7E08-4FAE-A219-A0962DC12291}"/>
    <cellStyle name="Normal 5 3 4 8 2 3" xfId="15322" xr:uid="{00000000-0005-0000-0000-00004E4D0000}"/>
    <cellStyle name="Normal 5 3 4 8 2 4" xfId="32191" xr:uid="{9FA6744A-06F0-4EC4-96F5-57E92A5EB3D1}"/>
    <cellStyle name="Normal 5 3 4 8 3" xfId="19539" xr:uid="{00000000-0005-0000-0000-00004F4D0000}"/>
    <cellStyle name="Normal 5 3 4 8 3 2" xfId="36408" xr:uid="{2D5BDA52-0044-45A2-98F3-1AC542A3AD69}"/>
    <cellStyle name="Normal 5 3 4 8 4" xfId="11104" xr:uid="{00000000-0005-0000-0000-0000504D0000}"/>
    <cellStyle name="Normal 5 3 4 8 5" xfId="27974" xr:uid="{E3C396C6-0970-4CC0-AD23-DF34C561A7E0}"/>
    <cellStyle name="Normal 5 3 4 9" xfId="4822" xr:uid="{00000000-0005-0000-0000-0000514D0000}"/>
    <cellStyle name="Normal 5 3 4 9 2" xfId="21692" xr:uid="{00000000-0005-0000-0000-0000524D0000}"/>
    <cellStyle name="Normal 5 3 4 9 2 2" xfId="38560" xr:uid="{021F9F7E-D450-4E04-AF5B-8C58BEC6D71F}"/>
    <cellStyle name="Normal 5 3 4 9 3" xfId="13257" xr:uid="{00000000-0005-0000-0000-0000534D0000}"/>
    <cellStyle name="Normal 5 3 4 9 4" xfId="30126" xr:uid="{946F8659-4381-48EA-9FCF-B1C0130C338A}"/>
    <cellStyle name="Normal 5 3 5" xfId="453" xr:uid="{00000000-0005-0000-0000-0000544D0000}"/>
    <cellStyle name="Normal 5 3 5 10" xfId="9043" xr:uid="{00000000-0005-0000-0000-0000554D0000}"/>
    <cellStyle name="Normal 5 3 5 11" xfId="25913" xr:uid="{3D87171C-E4F1-4471-B47A-E93561A96E22}"/>
    <cellStyle name="Normal 5 3 5 2" xfId="454" xr:uid="{00000000-0005-0000-0000-0000564D0000}"/>
    <cellStyle name="Normal 5 3 5 2 10" xfId="25914" xr:uid="{5DF67AE4-BA7B-4B31-89EC-F9E0A15C0BB2}"/>
    <cellStyle name="Normal 5 3 5 2 2" xfId="928" xr:uid="{00000000-0005-0000-0000-0000574D0000}"/>
    <cellStyle name="Normal 5 3 5 2 2 2" xfId="3162" xr:uid="{00000000-0005-0000-0000-0000584D0000}"/>
    <cellStyle name="Normal 5 3 5 2 2 2 2" xfId="7385" xr:uid="{00000000-0005-0000-0000-0000594D0000}"/>
    <cellStyle name="Normal 5 3 5 2 2 2 2 2" xfId="24255" xr:uid="{00000000-0005-0000-0000-00005A4D0000}"/>
    <cellStyle name="Normal 5 3 5 2 2 2 2 2 2" xfId="41123" xr:uid="{3948E1FA-CCC3-4253-A965-6B0A489E208E}"/>
    <cellStyle name="Normal 5 3 5 2 2 2 2 3" xfId="15820" xr:uid="{00000000-0005-0000-0000-00005B4D0000}"/>
    <cellStyle name="Normal 5 3 5 2 2 2 2 4" xfId="32689" xr:uid="{8C2C182A-351D-4BC9-966B-831D9A8ACC65}"/>
    <cellStyle name="Normal 5 3 5 2 2 2 3" xfId="20037" xr:uid="{00000000-0005-0000-0000-00005C4D0000}"/>
    <cellStyle name="Normal 5 3 5 2 2 2 3 2" xfId="36906" xr:uid="{6A15B0BA-8775-455F-9606-1AF1836B3326}"/>
    <cellStyle name="Normal 5 3 5 2 2 2 4" xfId="11602" xr:uid="{00000000-0005-0000-0000-00005D4D0000}"/>
    <cellStyle name="Normal 5 3 5 2 2 2 5" xfId="28472" xr:uid="{C216796A-D963-4286-8836-AC1DC635F9EB}"/>
    <cellStyle name="Normal 5 3 5 2 2 3" xfId="5240" xr:uid="{00000000-0005-0000-0000-00005E4D0000}"/>
    <cellStyle name="Normal 5 3 5 2 2 3 2" xfId="22110" xr:uid="{00000000-0005-0000-0000-00005F4D0000}"/>
    <cellStyle name="Normal 5 3 5 2 2 3 2 2" xfId="38978" xr:uid="{89445091-B3FC-43BB-B349-32172D8F2078}"/>
    <cellStyle name="Normal 5 3 5 2 2 3 3" xfId="13675" xr:uid="{00000000-0005-0000-0000-0000604D0000}"/>
    <cellStyle name="Normal 5 3 5 2 2 3 4" xfId="30544" xr:uid="{63093C60-A380-4F35-9C42-8E6349F1094B}"/>
    <cellStyle name="Normal 5 3 5 2 2 4" xfId="17892" xr:uid="{00000000-0005-0000-0000-0000614D0000}"/>
    <cellStyle name="Normal 5 3 5 2 2 4 2" xfId="34761" xr:uid="{F2666CE0-B50D-4B6F-A5D3-2163C7C336C4}"/>
    <cellStyle name="Normal 5 3 5 2 2 5" xfId="9457" xr:uid="{00000000-0005-0000-0000-0000624D0000}"/>
    <cellStyle name="Normal 5 3 5 2 2 6" xfId="26327" xr:uid="{BA27AF5B-CF91-4FF7-9108-3B52C7BF3492}"/>
    <cellStyle name="Normal 5 3 5 2 3" xfId="1345" xr:uid="{00000000-0005-0000-0000-0000634D0000}"/>
    <cellStyle name="Normal 5 3 5 2 3 2" xfId="3575" xr:uid="{00000000-0005-0000-0000-0000644D0000}"/>
    <cellStyle name="Normal 5 3 5 2 3 2 2" xfId="7798" xr:uid="{00000000-0005-0000-0000-0000654D0000}"/>
    <cellStyle name="Normal 5 3 5 2 3 2 2 2" xfId="24668" xr:uid="{00000000-0005-0000-0000-0000664D0000}"/>
    <cellStyle name="Normal 5 3 5 2 3 2 2 2 2" xfId="41536" xr:uid="{F50AE6DF-493A-494E-944A-757AF35D07BD}"/>
    <cellStyle name="Normal 5 3 5 2 3 2 2 3" xfId="16233" xr:uid="{00000000-0005-0000-0000-0000674D0000}"/>
    <cellStyle name="Normal 5 3 5 2 3 2 2 4" xfId="33102" xr:uid="{872B1E93-E0AB-40B8-9591-E9E15E8D7841}"/>
    <cellStyle name="Normal 5 3 5 2 3 2 3" xfId="20450" xr:uid="{00000000-0005-0000-0000-0000684D0000}"/>
    <cellStyle name="Normal 5 3 5 2 3 2 3 2" xfId="37319" xr:uid="{448A0C33-935E-4BF1-A0B2-0804DBFBFB2F}"/>
    <cellStyle name="Normal 5 3 5 2 3 2 4" xfId="12015" xr:uid="{00000000-0005-0000-0000-0000694D0000}"/>
    <cellStyle name="Normal 5 3 5 2 3 2 5" xfId="28885" xr:uid="{E4C746D6-1966-4DA9-8227-55B3493B6160}"/>
    <cellStyle name="Normal 5 3 5 2 3 3" xfId="5653" xr:uid="{00000000-0005-0000-0000-00006A4D0000}"/>
    <cellStyle name="Normal 5 3 5 2 3 3 2" xfId="22523" xr:uid="{00000000-0005-0000-0000-00006B4D0000}"/>
    <cellStyle name="Normal 5 3 5 2 3 3 2 2" xfId="39391" xr:uid="{E4FF24DC-5F37-4387-9010-3A17815243F0}"/>
    <cellStyle name="Normal 5 3 5 2 3 3 3" xfId="14088" xr:uid="{00000000-0005-0000-0000-00006C4D0000}"/>
    <cellStyle name="Normal 5 3 5 2 3 3 4" xfId="30957" xr:uid="{11692D5E-0B60-4CDD-BB09-4F02F284EF1B}"/>
    <cellStyle name="Normal 5 3 5 2 3 4" xfId="18305" xr:uid="{00000000-0005-0000-0000-00006D4D0000}"/>
    <cellStyle name="Normal 5 3 5 2 3 4 2" xfId="35174" xr:uid="{AFC47DB2-D7C7-41FC-AFFC-94DDD116D8D4}"/>
    <cellStyle name="Normal 5 3 5 2 3 5" xfId="9870" xr:uid="{00000000-0005-0000-0000-00006E4D0000}"/>
    <cellStyle name="Normal 5 3 5 2 3 6" xfId="26740" xr:uid="{02E87AF1-B587-43F8-AE45-5DB8996BF182}"/>
    <cellStyle name="Normal 5 3 5 2 4" xfId="1758" xr:uid="{00000000-0005-0000-0000-00006F4D0000}"/>
    <cellStyle name="Normal 5 3 5 2 4 2" xfId="3988" xr:uid="{00000000-0005-0000-0000-0000704D0000}"/>
    <cellStyle name="Normal 5 3 5 2 4 2 2" xfId="8211" xr:uid="{00000000-0005-0000-0000-0000714D0000}"/>
    <cellStyle name="Normal 5 3 5 2 4 2 2 2" xfId="25081" xr:uid="{00000000-0005-0000-0000-0000724D0000}"/>
    <cellStyle name="Normal 5 3 5 2 4 2 2 2 2" xfId="41949" xr:uid="{5D66445B-EEF4-4461-BE19-7D87B95B6052}"/>
    <cellStyle name="Normal 5 3 5 2 4 2 2 3" xfId="16646" xr:uid="{00000000-0005-0000-0000-0000734D0000}"/>
    <cellStyle name="Normal 5 3 5 2 4 2 2 4" xfId="33515" xr:uid="{96AF47A0-73E5-4792-B60C-E5D81EED16CB}"/>
    <cellStyle name="Normal 5 3 5 2 4 2 3" xfId="20863" xr:uid="{00000000-0005-0000-0000-0000744D0000}"/>
    <cellStyle name="Normal 5 3 5 2 4 2 3 2" xfId="37732" xr:uid="{EA50DFE6-2E3C-4830-A41F-9D32D46D4DF0}"/>
    <cellStyle name="Normal 5 3 5 2 4 2 4" xfId="12428" xr:uid="{00000000-0005-0000-0000-0000754D0000}"/>
    <cellStyle name="Normal 5 3 5 2 4 2 5" xfId="29298" xr:uid="{832B9B46-6DC0-4F4F-8E34-D8DFB46F6CFD}"/>
    <cellStyle name="Normal 5 3 5 2 4 3" xfId="6066" xr:uid="{00000000-0005-0000-0000-0000764D0000}"/>
    <cellStyle name="Normal 5 3 5 2 4 3 2" xfId="22936" xr:uid="{00000000-0005-0000-0000-0000774D0000}"/>
    <cellStyle name="Normal 5 3 5 2 4 3 2 2" xfId="39804" xr:uid="{96C62133-19F5-4CC2-9A85-DB8DFC21A729}"/>
    <cellStyle name="Normal 5 3 5 2 4 3 3" xfId="14501" xr:uid="{00000000-0005-0000-0000-0000784D0000}"/>
    <cellStyle name="Normal 5 3 5 2 4 3 4" xfId="31370" xr:uid="{9FF895AA-B14A-4503-8A76-D42AB9E4F796}"/>
    <cellStyle name="Normal 5 3 5 2 4 4" xfId="18718" xr:uid="{00000000-0005-0000-0000-0000794D0000}"/>
    <cellStyle name="Normal 5 3 5 2 4 4 2" xfId="35587" xr:uid="{F0035CA3-9527-449B-BEF9-AE88D49D8EAF}"/>
    <cellStyle name="Normal 5 3 5 2 4 5" xfId="10283" xr:uid="{00000000-0005-0000-0000-00007A4D0000}"/>
    <cellStyle name="Normal 5 3 5 2 4 6" xfId="27153" xr:uid="{8FF8308A-2D76-4263-96B1-0AA741F3673D}"/>
    <cellStyle name="Normal 5 3 5 2 5" xfId="2172" xr:uid="{00000000-0005-0000-0000-00007B4D0000}"/>
    <cellStyle name="Normal 5 3 5 2 5 2" xfId="4401" xr:uid="{00000000-0005-0000-0000-00007C4D0000}"/>
    <cellStyle name="Normal 5 3 5 2 5 2 2" xfId="8624" xr:uid="{00000000-0005-0000-0000-00007D4D0000}"/>
    <cellStyle name="Normal 5 3 5 2 5 2 2 2" xfId="25494" xr:uid="{00000000-0005-0000-0000-00007E4D0000}"/>
    <cellStyle name="Normal 5 3 5 2 5 2 2 2 2" xfId="42362" xr:uid="{A4C76AE8-CD2A-411E-9479-766588085D73}"/>
    <cellStyle name="Normal 5 3 5 2 5 2 2 3" xfId="17059" xr:uid="{00000000-0005-0000-0000-00007F4D0000}"/>
    <cellStyle name="Normal 5 3 5 2 5 2 2 4" xfId="33928" xr:uid="{378D49B2-E5AE-4E80-8D51-008B5D8C0CFD}"/>
    <cellStyle name="Normal 5 3 5 2 5 2 3" xfId="21276" xr:uid="{00000000-0005-0000-0000-0000804D0000}"/>
    <cellStyle name="Normal 5 3 5 2 5 2 3 2" xfId="38145" xr:uid="{21A38E59-30A5-481A-A260-2289208FC76D}"/>
    <cellStyle name="Normal 5 3 5 2 5 2 4" xfId="12841" xr:uid="{00000000-0005-0000-0000-0000814D0000}"/>
    <cellStyle name="Normal 5 3 5 2 5 2 5" xfId="29711" xr:uid="{1041FAA3-B7C1-4F6C-B1C6-4AF76B5C3CA1}"/>
    <cellStyle name="Normal 5 3 5 2 5 3" xfId="6479" xr:uid="{00000000-0005-0000-0000-0000824D0000}"/>
    <cellStyle name="Normal 5 3 5 2 5 3 2" xfId="23349" xr:uid="{00000000-0005-0000-0000-0000834D0000}"/>
    <cellStyle name="Normal 5 3 5 2 5 3 2 2" xfId="40217" xr:uid="{373BFFA3-F3C6-4375-8970-A058A202E23C}"/>
    <cellStyle name="Normal 5 3 5 2 5 3 3" xfId="14914" xr:uid="{00000000-0005-0000-0000-0000844D0000}"/>
    <cellStyle name="Normal 5 3 5 2 5 3 4" xfId="31783" xr:uid="{463CC209-9DF7-436C-A757-8EA2BEB7A028}"/>
    <cellStyle name="Normal 5 3 5 2 5 4" xfId="19131" xr:uid="{00000000-0005-0000-0000-0000854D0000}"/>
    <cellStyle name="Normal 5 3 5 2 5 4 2" xfId="36000" xr:uid="{BCDD87F5-BE52-4539-80C0-98816DA295CC}"/>
    <cellStyle name="Normal 5 3 5 2 5 5" xfId="10696" xr:uid="{00000000-0005-0000-0000-0000864D0000}"/>
    <cellStyle name="Normal 5 3 5 2 5 6" xfId="27566" xr:uid="{E67C1A47-D9B0-4985-860A-1E783AD5A5A2}"/>
    <cellStyle name="Normal 5 3 5 2 6" xfId="2608" xr:uid="{00000000-0005-0000-0000-0000874D0000}"/>
    <cellStyle name="Normal 5 3 5 2 6 2" xfId="6892" xr:uid="{00000000-0005-0000-0000-0000884D0000}"/>
    <cellStyle name="Normal 5 3 5 2 6 2 2" xfId="23762" xr:uid="{00000000-0005-0000-0000-0000894D0000}"/>
    <cellStyle name="Normal 5 3 5 2 6 2 2 2" xfId="40630" xr:uid="{0D331254-FB70-4EA2-98B5-7F7D30B320D9}"/>
    <cellStyle name="Normal 5 3 5 2 6 2 3" xfId="15327" xr:uid="{00000000-0005-0000-0000-00008A4D0000}"/>
    <cellStyle name="Normal 5 3 5 2 6 2 4" xfId="32196" xr:uid="{9D3E859B-769A-4EF8-9F2F-974514A23A71}"/>
    <cellStyle name="Normal 5 3 5 2 6 3" xfId="19544" xr:uid="{00000000-0005-0000-0000-00008B4D0000}"/>
    <cellStyle name="Normal 5 3 5 2 6 3 2" xfId="36413" xr:uid="{227F5754-D53A-4DC1-87D7-2571C09805D4}"/>
    <cellStyle name="Normal 5 3 5 2 6 4" xfId="11109" xr:uid="{00000000-0005-0000-0000-00008C4D0000}"/>
    <cellStyle name="Normal 5 3 5 2 6 5" xfId="27979" xr:uid="{F73D313C-C383-491F-91AD-0C5CC7C08194}"/>
    <cellStyle name="Normal 5 3 5 2 7" xfId="4827" xr:uid="{00000000-0005-0000-0000-00008D4D0000}"/>
    <cellStyle name="Normal 5 3 5 2 7 2" xfId="21697" xr:uid="{00000000-0005-0000-0000-00008E4D0000}"/>
    <cellStyle name="Normal 5 3 5 2 7 2 2" xfId="38565" xr:uid="{2C8CD4C9-93CE-4960-B40E-E643A7D243F8}"/>
    <cellStyle name="Normal 5 3 5 2 7 3" xfId="13262" xr:uid="{00000000-0005-0000-0000-00008F4D0000}"/>
    <cellStyle name="Normal 5 3 5 2 7 4" xfId="30131" xr:uid="{2D969CBC-F3A6-49A2-A66B-60432A59285F}"/>
    <cellStyle name="Normal 5 3 5 2 8" xfId="17479" xr:uid="{00000000-0005-0000-0000-0000904D0000}"/>
    <cellStyle name="Normal 5 3 5 2 8 2" xfId="34348" xr:uid="{79EC889B-1A44-4373-A600-B19EB3DFF56C}"/>
    <cellStyle name="Normal 5 3 5 2 9" xfId="9044" xr:uid="{00000000-0005-0000-0000-0000914D0000}"/>
    <cellStyle name="Normal 5 3 5 3" xfId="927" xr:uid="{00000000-0005-0000-0000-0000924D0000}"/>
    <cellStyle name="Normal 5 3 5 3 2" xfId="3161" xr:uid="{00000000-0005-0000-0000-0000934D0000}"/>
    <cellStyle name="Normal 5 3 5 3 2 2" xfId="7384" xr:uid="{00000000-0005-0000-0000-0000944D0000}"/>
    <cellStyle name="Normal 5 3 5 3 2 2 2" xfId="24254" xr:uid="{00000000-0005-0000-0000-0000954D0000}"/>
    <cellStyle name="Normal 5 3 5 3 2 2 2 2" xfId="41122" xr:uid="{364D010E-1796-4F9B-88F1-B2850CAC9A01}"/>
    <cellStyle name="Normal 5 3 5 3 2 2 3" xfId="15819" xr:uid="{00000000-0005-0000-0000-0000964D0000}"/>
    <cellStyle name="Normal 5 3 5 3 2 2 4" xfId="32688" xr:uid="{C06D70AD-784D-4AE8-9785-5FC409A5B9CF}"/>
    <cellStyle name="Normal 5 3 5 3 2 3" xfId="20036" xr:uid="{00000000-0005-0000-0000-0000974D0000}"/>
    <cellStyle name="Normal 5 3 5 3 2 3 2" xfId="36905" xr:uid="{0F0F529A-370D-4B38-A760-455B112E34FF}"/>
    <cellStyle name="Normal 5 3 5 3 2 4" xfId="11601" xr:uid="{00000000-0005-0000-0000-0000984D0000}"/>
    <cellStyle name="Normal 5 3 5 3 2 5" xfId="28471" xr:uid="{669FFFE4-77E9-4A40-B581-53EB06656070}"/>
    <cellStyle name="Normal 5 3 5 3 3" xfId="5239" xr:uid="{00000000-0005-0000-0000-0000994D0000}"/>
    <cellStyle name="Normal 5 3 5 3 3 2" xfId="22109" xr:uid="{00000000-0005-0000-0000-00009A4D0000}"/>
    <cellStyle name="Normal 5 3 5 3 3 2 2" xfId="38977" xr:uid="{5FC987CD-97D0-4DAC-8AD9-1736F25FEB22}"/>
    <cellStyle name="Normal 5 3 5 3 3 3" xfId="13674" xr:uid="{00000000-0005-0000-0000-00009B4D0000}"/>
    <cellStyle name="Normal 5 3 5 3 3 4" xfId="30543" xr:uid="{D10B9F36-2988-487F-83C3-2D9724E4083B}"/>
    <cellStyle name="Normal 5 3 5 3 4" xfId="17891" xr:uid="{00000000-0005-0000-0000-00009C4D0000}"/>
    <cellStyle name="Normal 5 3 5 3 4 2" xfId="34760" xr:uid="{849CAA28-55DF-4334-9B73-11DCAE476D2A}"/>
    <cellStyle name="Normal 5 3 5 3 5" xfId="9456" xr:uid="{00000000-0005-0000-0000-00009D4D0000}"/>
    <cellStyle name="Normal 5 3 5 3 6" xfId="26326" xr:uid="{E3675624-6F50-469C-9A6C-BB997DA38AB8}"/>
    <cellStyle name="Normal 5 3 5 4" xfId="1344" xr:uid="{00000000-0005-0000-0000-00009E4D0000}"/>
    <cellStyle name="Normal 5 3 5 4 2" xfId="3574" xr:uid="{00000000-0005-0000-0000-00009F4D0000}"/>
    <cellStyle name="Normal 5 3 5 4 2 2" xfId="7797" xr:uid="{00000000-0005-0000-0000-0000A04D0000}"/>
    <cellStyle name="Normal 5 3 5 4 2 2 2" xfId="24667" xr:uid="{00000000-0005-0000-0000-0000A14D0000}"/>
    <cellStyle name="Normal 5 3 5 4 2 2 2 2" xfId="41535" xr:uid="{73237236-4495-49F0-A1C4-138F72848B8C}"/>
    <cellStyle name="Normal 5 3 5 4 2 2 3" xfId="16232" xr:uid="{00000000-0005-0000-0000-0000A24D0000}"/>
    <cellStyle name="Normal 5 3 5 4 2 2 4" xfId="33101" xr:uid="{D91481BE-84F9-4037-91D4-739D36946AD0}"/>
    <cellStyle name="Normal 5 3 5 4 2 3" xfId="20449" xr:uid="{00000000-0005-0000-0000-0000A34D0000}"/>
    <cellStyle name="Normal 5 3 5 4 2 3 2" xfId="37318" xr:uid="{E1726D77-4ED8-4DDF-9176-7334860A8F12}"/>
    <cellStyle name="Normal 5 3 5 4 2 4" xfId="12014" xr:uid="{00000000-0005-0000-0000-0000A44D0000}"/>
    <cellStyle name="Normal 5 3 5 4 2 5" xfId="28884" xr:uid="{6468571E-4A16-4024-93C7-5D06ADEF320A}"/>
    <cellStyle name="Normal 5 3 5 4 3" xfId="5652" xr:uid="{00000000-0005-0000-0000-0000A54D0000}"/>
    <cellStyle name="Normal 5 3 5 4 3 2" xfId="22522" xr:uid="{00000000-0005-0000-0000-0000A64D0000}"/>
    <cellStyle name="Normal 5 3 5 4 3 2 2" xfId="39390" xr:uid="{F3889A17-60B6-40F4-A1D5-387850420602}"/>
    <cellStyle name="Normal 5 3 5 4 3 3" xfId="14087" xr:uid="{00000000-0005-0000-0000-0000A74D0000}"/>
    <cellStyle name="Normal 5 3 5 4 3 4" xfId="30956" xr:uid="{76A7E63A-E35B-4E69-92F3-5E6C29DF3D3D}"/>
    <cellStyle name="Normal 5 3 5 4 4" xfId="18304" xr:uid="{00000000-0005-0000-0000-0000A84D0000}"/>
    <cellStyle name="Normal 5 3 5 4 4 2" xfId="35173" xr:uid="{2E8EE06B-E705-4BA3-9AF1-0CA256BAEA3B}"/>
    <cellStyle name="Normal 5 3 5 4 5" xfId="9869" xr:uid="{00000000-0005-0000-0000-0000A94D0000}"/>
    <cellStyle name="Normal 5 3 5 4 6" xfId="26739" xr:uid="{BB195551-A517-4477-ACC0-62113D009E15}"/>
    <cellStyle name="Normal 5 3 5 5" xfId="1757" xr:uid="{00000000-0005-0000-0000-0000AA4D0000}"/>
    <cellStyle name="Normal 5 3 5 5 2" xfId="3987" xr:uid="{00000000-0005-0000-0000-0000AB4D0000}"/>
    <cellStyle name="Normal 5 3 5 5 2 2" xfId="8210" xr:uid="{00000000-0005-0000-0000-0000AC4D0000}"/>
    <cellStyle name="Normal 5 3 5 5 2 2 2" xfId="25080" xr:uid="{00000000-0005-0000-0000-0000AD4D0000}"/>
    <cellStyle name="Normal 5 3 5 5 2 2 2 2" xfId="41948" xr:uid="{E092BF9C-9C8F-4E9A-A2AC-4255051C4AB5}"/>
    <cellStyle name="Normal 5 3 5 5 2 2 3" xfId="16645" xr:uid="{00000000-0005-0000-0000-0000AE4D0000}"/>
    <cellStyle name="Normal 5 3 5 5 2 2 4" xfId="33514" xr:uid="{1B5557D8-A5ED-466E-9B41-D897E4C08B18}"/>
    <cellStyle name="Normal 5 3 5 5 2 3" xfId="20862" xr:uid="{00000000-0005-0000-0000-0000AF4D0000}"/>
    <cellStyle name="Normal 5 3 5 5 2 3 2" xfId="37731" xr:uid="{95043038-48AF-46CE-B94A-067E09EEA25A}"/>
    <cellStyle name="Normal 5 3 5 5 2 4" xfId="12427" xr:uid="{00000000-0005-0000-0000-0000B04D0000}"/>
    <cellStyle name="Normal 5 3 5 5 2 5" xfId="29297" xr:uid="{C367B36D-BA75-45A3-A57A-0F95EC3DA82D}"/>
    <cellStyle name="Normal 5 3 5 5 3" xfId="6065" xr:uid="{00000000-0005-0000-0000-0000B14D0000}"/>
    <cellStyle name="Normal 5 3 5 5 3 2" xfId="22935" xr:uid="{00000000-0005-0000-0000-0000B24D0000}"/>
    <cellStyle name="Normal 5 3 5 5 3 2 2" xfId="39803" xr:uid="{DDBFE637-91D6-41F3-B822-8A3CD66D3DB6}"/>
    <cellStyle name="Normal 5 3 5 5 3 3" xfId="14500" xr:uid="{00000000-0005-0000-0000-0000B34D0000}"/>
    <cellStyle name="Normal 5 3 5 5 3 4" xfId="31369" xr:uid="{0976EAB8-728A-489D-B12F-70FF14BCA5B0}"/>
    <cellStyle name="Normal 5 3 5 5 4" xfId="18717" xr:uid="{00000000-0005-0000-0000-0000B44D0000}"/>
    <cellStyle name="Normal 5 3 5 5 4 2" xfId="35586" xr:uid="{591D5FFC-AA2B-46EC-9106-0D33559A90E9}"/>
    <cellStyle name="Normal 5 3 5 5 5" xfId="10282" xr:uid="{00000000-0005-0000-0000-0000B54D0000}"/>
    <cellStyle name="Normal 5 3 5 5 6" xfId="27152" xr:uid="{BC5A5CE7-EDB1-452A-9448-716786CD5F76}"/>
    <cellStyle name="Normal 5 3 5 6" xfId="2171" xr:uid="{00000000-0005-0000-0000-0000B64D0000}"/>
    <cellStyle name="Normal 5 3 5 6 2" xfId="4400" xr:uid="{00000000-0005-0000-0000-0000B74D0000}"/>
    <cellStyle name="Normal 5 3 5 6 2 2" xfId="8623" xr:uid="{00000000-0005-0000-0000-0000B84D0000}"/>
    <cellStyle name="Normal 5 3 5 6 2 2 2" xfId="25493" xr:uid="{00000000-0005-0000-0000-0000B94D0000}"/>
    <cellStyle name="Normal 5 3 5 6 2 2 2 2" xfId="42361" xr:uid="{D7D71595-8A30-4575-BC49-AFF9849D4858}"/>
    <cellStyle name="Normal 5 3 5 6 2 2 3" xfId="17058" xr:uid="{00000000-0005-0000-0000-0000BA4D0000}"/>
    <cellStyle name="Normal 5 3 5 6 2 2 4" xfId="33927" xr:uid="{0A5E86E6-01B7-41A0-BBDA-68BA2C487D1F}"/>
    <cellStyle name="Normal 5 3 5 6 2 3" xfId="21275" xr:uid="{00000000-0005-0000-0000-0000BB4D0000}"/>
    <cellStyle name="Normal 5 3 5 6 2 3 2" xfId="38144" xr:uid="{05B4411D-EEB8-4CAE-976B-1E17284935B4}"/>
    <cellStyle name="Normal 5 3 5 6 2 4" xfId="12840" xr:uid="{00000000-0005-0000-0000-0000BC4D0000}"/>
    <cellStyle name="Normal 5 3 5 6 2 5" xfId="29710" xr:uid="{198165D8-E705-4756-A444-E401848BED56}"/>
    <cellStyle name="Normal 5 3 5 6 3" xfId="6478" xr:uid="{00000000-0005-0000-0000-0000BD4D0000}"/>
    <cellStyle name="Normal 5 3 5 6 3 2" xfId="23348" xr:uid="{00000000-0005-0000-0000-0000BE4D0000}"/>
    <cellStyle name="Normal 5 3 5 6 3 2 2" xfId="40216" xr:uid="{F12A98C5-F038-4A69-8595-8C5ED4DBE48B}"/>
    <cellStyle name="Normal 5 3 5 6 3 3" xfId="14913" xr:uid="{00000000-0005-0000-0000-0000BF4D0000}"/>
    <cellStyle name="Normal 5 3 5 6 3 4" xfId="31782" xr:uid="{5C7BFBFA-B96D-481D-BE6E-C94DCD47BF97}"/>
    <cellStyle name="Normal 5 3 5 6 4" xfId="19130" xr:uid="{00000000-0005-0000-0000-0000C04D0000}"/>
    <cellStyle name="Normal 5 3 5 6 4 2" xfId="35999" xr:uid="{30E738B3-AAE6-4B01-AD35-A064E9D0DAAE}"/>
    <cellStyle name="Normal 5 3 5 6 5" xfId="10695" xr:uid="{00000000-0005-0000-0000-0000C14D0000}"/>
    <cellStyle name="Normal 5 3 5 6 6" xfId="27565" xr:uid="{606F0AC7-E605-4BBD-AA24-53D3CF83BD36}"/>
    <cellStyle name="Normal 5 3 5 7" xfId="2607" xr:uid="{00000000-0005-0000-0000-0000C24D0000}"/>
    <cellStyle name="Normal 5 3 5 7 2" xfId="6891" xr:uid="{00000000-0005-0000-0000-0000C34D0000}"/>
    <cellStyle name="Normal 5 3 5 7 2 2" xfId="23761" xr:uid="{00000000-0005-0000-0000-0000C44D0000}"/>
    <cellStyle name="Normal 5 3 5 7 2 2 2" xfId="40629" xr:uid="{5228A6CC-0C96-4134-9D0E-8732C323A326}"/>
    <cellStyle name="Normal 5 3 5 7 2 3" xfId="15326" xr:uid="{00000000-0005-0000-0000-0000C54D0000}"/>
    <cellStyle name="Normal 5 3 5 7 2 4" xfId="32195" xr:uid="{0A605AEE-AD52-4101-9512-2AC48958F80A}"/>
    <cellStyle name="Normal 5 3 5 7 3" xfId="19543" xr:uid="{00000000-0005-0000-0000-0000C64D0000}"/>
    <cellStyle name="Normal 5 3 5 7 3 2" xfId="36412" xr:uid="{26035F5D-E2DF-43A6-805A-5AC4AFCBFF38}"/>
    <cellStyle name="Normal 5 3 5 7 4" xfId="11108" xr:uid="{00000000-0005-0000-0000-0000C74D0000}"/>
    <cellStyle name="Normal 5 3 5 7 5" xfId="27978" xr:uid="{9AEB486C-3390-4979-A205-ABD2E091546D}"/>
    <cellStyle name="Normal 5 3 5 8" xfId="4826" xr:uid="{00000000-0005-0000-0000-0000C84D0000}"/>
    <cellStyle name="Normal 5 3 5 8 2" xfId="21696" xr:uid="{00000000-0005-0000-0000-0000C94D0000}"/>
    <cellStyle name="Normal 5 3 5 8 2 2" xfId="38564" xr:uid="{FDFC1502-1989-4A1B-A41D-B4531F675CDC}"/>
    <cellStyle name="Normal 5 3 5 8 3" xfId="13261" xr:uid="{00000000-0005-0000-0000-0000CA4D0000}"/>
    <cellStyle name="Normal 5 3 5 8 4" xfId="30130" xr:uid="{13CAB343-CF65-4CFF-863F-D37FEC4BCBDD}"/>
    <cellStyle name="Normal 5 3 5 9" xfId="17478" xr:uid="{00000000-0005-0000-0000-0000CB4D0000}"/>
    <cellStyle name="Normal 5 3 5 9 2" xfId="34347" xr:uid="{5ADB51AF-5F91-4B01-8FD1-B35B07636AD4}"/>
    <cellStyle name="Normal 5 3 6" xfId="455" xr:uid="{00000000-0005-0000-0000-0000CC4D0000}"/>
    <cellStyle name="Normal 5 3 6 10" xfId="25915" xr:uid="{12A3844D-24EA-4888-8C63-9A7E3AB2EF72}"/>
    <cellStyle name="Normal 5 3 6 2" xfId="929" xr:uid="{00000000-0005-0000-0000-0000CD4D0000}"/>
    <cellStyle name="Normal 5 3 6 2 2" xfId="3163" xr:uid="{00000000-0005-0000-0000-0000CE4D0000}"/>
    <cellStyle name="Normal 5 3 6 2 2 2" xfId="7386" xr:uid="{00000000-0005-0000-0000-0000CF4D0000}"/>
    <cellStyle name="Normal 5 3 6 2 2 2 2" xfId="24256" xr:uid="{00000000-0005-0000-0000-0000D04D0000}"/>
    <cellStyle name="Normal 5 3 6 2 2 2 2 2" xfId="41124" xr:uid="{107B1FCC-DCC8-4B07-AF8C-AEC1CC57DB99}"/>
    <cellStyle name="Normal 5 3 6 2 2 2 3" xfId="15821" xr:uid="{00000000-0005-0000-0000-0000D14D0000}"/>
    <cellStyle name="Normal 5 3 6 2 2 2 4" xfId="32690" xr:uid="{4D60BDFC-30B0-4992-AB52-AC1A32236961}"/>
    <cellStyle name="Normal 5 3 6 2 2 3" xfId="20038" xr:uid="{00000000-0005-0000-0000-0000D24D0000}"/>
    <cellStyle name="Normal 5 3 6 2 2 3 2" xfId="36907" xr:uid="{19FA9F1A-3F45-417E-B8A8-A4CD9C83AC98}"/>
    <cellStyle name="Normal 5 3 6 2 2 4" xfId="11603" xr:uid="{00000000-0005-0000-0000-0000D34D0000}"/>
    <cellStyle name="Normal 5 3 6 2 2 5" xfId="28473" xr:uid="{392BB062-5501-490F-B1DF-A61E6E8CE7D6}"/>
    <cellStyle name="Normal 5 3 6 2 3" xfId="5241" xr:uid="{00000000-0005-0000-0000-0000D44D0000}"/>
    <cellStyle name="Normal 5 3 6 2 3 2" xfId="22111" xr:uid="{00000000-0005-0000-0000-0000D54D0000}"/>
    <cellStyle name="Normal 5 3 6 2 3 2 2" xfId="38979" xr:uid="{CE8F108F-58D8-4504-8C2D-BF4ED5749584}"/>
    <cellStyle name="Normal 5 3 6 2 3 3" xfId="13676" xr:uid="{00000000-0005-0000-0000-0000D64D0000}"/>
    <cellStyle name="Normal 5 3 6 2 3 4" xfId="30545" xr:uid="{FD1148D7-037C-41C0-A874-52D35BC24C79}"/>
    <cellStyle name="Normal 5 3 6 2 4" xfId="17893" xr:uid="{00000000-0005-0000-0000-0000D74D0000}"/>
    <cellStyle name="Normal 5 3 6 2 4 2" xfId="34762" xr:uid="{77FB6F35-8B72-4278-BBC1-18566FEEC536}"/>
    <cellStyle name="Normal 5 3 6 2 5" xfId="9458" xr:uid="{00000000-0005-0000-0000-0000D84D0000}"/>
    <cellStyle name="Normal 5 3 6 2 6" xfId="26328" xr:uid="{5C252DDD-4978-488C-9D7E-B8F73C9B9BF2}"/>
    <cellStyle name="Normal 5 3 6 3" xfId="1346" xr:uid="{00000000-0005-0000-0000-0000D94D0000}"/>
    <cellStyle name="Normal 5 3 6 3 2" xfId="3576" xr:uid="{00000000-0005-0000-0000-0000DA4D0000}"/>
    <cellStyle name="Normal 5 3 6 3 2 2" xfId="7799" xr:uid="{00000000-0005-0000-0000-0000DB4D0000}"/>
    <cellStyle name="Normal 5 3 6 3 2 2 2" xfId="24669" xr:uid="{00000000-0005-0000-0000-0000DC4D0000}"/>
    <cellStyle name="Normal 5 3 6 3 2 2 2 2" xfId="41537" xr:uid="{31B3B101-A323-4C2C-8EA2-F6B0917C75B2}"/>
    <cellStyle name="Normal 5 3 6 3 2 2 3" xfId="16234" xr:uid="{00000000-0005-0000-0000-0000DD4D0000}"/>
    <cellStyle name="Normal 5 3 6 3 2 2 4" xfId="33103" xr:uid="{3E447C7C-D892-4FA7-A9CF-CA06B89ECFDC}"/>
    <cellStyle name="Normal 5 3 6 3 2 3" xfId="20451" xr:uid="{00000000-0005-0000-0000-0000DE4D0000}"/>
    <cellStyle name="Normal 5 3 6 3 2 3 2" xfId="37320" xr:uid="{9A508C76-5CAD-42F4-9B54-9AFE55866BA1}"/>
    <cellStyle name="Normal 5 3 6 3 2 4" xfId="12016" xr:uid="{00000000-0005-0000-0000-0000DF4D0000}"/>
    <cellStyle name="Normal 5 3 6 3 2 5" xfId="28886" xr:uid="{23976EEB-5004-4B24-953C-9CD19048FD72}"/>
    <cellStyle name="Normal 5 3 6 3 3" xfId="5654" xr:uid="{00000000-0005-0000-0000-0000E04D0000}"/>
    <cellStyle name="Normal 5 3 6 3 3 2" xfId="22524" xr:uid="{00000000-0005-0000-0000-0000E14D0000}"/>
    <cellStyle name="Normal 5 3 6 3 3 2 2" xfId="39392" xr:uid="{CDC2B7E6-7F0B-4863-87CC-52BBF0739B11}"/>
    <cellStyle name="Normal 5 3 6 3 3 3" xfId="14089" xr:uid="{00000000-0005-0000-0000-0000E24D0000}"/>
    <cellStyle name="Normal 5 3 6 3 3 4" xfId="30958" xr:uid="{D1D3C377-8889-4636-8D8F-9A8AE2DE6FDA}"/>
    <cellStyle name="Normal 5 3 6 3 4" xfId="18306" xr:uid="{00000000-0005-0000-0000-0000E34D0000}"/>
    <cellStyle name="Normal 5 3 6 3 4 2" xfId="35175" xr:uid="{5E821E31-DCB1-4B4F-9AA8-2F286F40E6CD}"/>
    <cellStyle name="Normal 5 3 6 3 5" xfId="9871" xr:uid="{00000000-0005-0000-0000-0000E44D0000}"/>
    <cellStyle name="Normal 5 3 6 3 6" xfId="26741" xr:uid="{83AC6C96-CA64-468D-803B-94572912982F}"/>
    <cellStyle name="Normal 5 3 6 4" xfId="1759" xr:uid="{00000000-0005-0000-0000-0000E54D0000}"/>
    <cellStyle name="Normal 5 3 6 4 2" xfId="3989" xr:uid="{00000000-0005-0000-0000-0000E64D0000}"/>
    <cellStyle name="Normal 5 3 6 4 2 2" xfId="8212" xr:uid="{00000000-0005-0000-0000-0000E74D0000}"/>
    <cellStyle name="Normal 5 3 6 4 2 2 2" xfId="25082" xr:uid="{00000000-0005-0000-0000-0000E84D0000}"/>
    <cellStyle name="Normal 5 3 6 4 2 2 2 2" xfId="41950" xr:uid="{E3823FB5-FB8D-4ED9-81D9-89EDEC2C142C}"/>
    <cellStyle name="Normal 5 3 6 4 2 2 3" xfId="16647" xr:uid="{00000000-0005-0000-0000-0000E94D0000}"/>
    <cellStyle name="Normal 5 3 6 4 2 2 4" xfId="33516" xr:uid="{04E35A42-B8B5-4CAD-BB4D-8EAE826775DF}"/>
    <cellStyle name="Normal 5 3 6 4 2 3" xfId="20864" xr:uid="{00000000-0005-0000-0000-0000EA4D0000}"/>
    <cellStyle name="Normal 5 3 6 4 2 3 2" xfId="37733" xr:uid="{71E88E69-CAA2-4DCE-A6CD-AA52527A705D}"/>
    <cellStyle name="Normal 5 3 6 4 2 4" xfId="12429" xr:uid="{00000000-0005-0000-0000-0000EB4D0000}"/>
    <cellStyle name="Normal 5 3 6 4 2 5" xfId="29299" xr:uid="{CE609DB9-97B1-4F91-B65F-431D9255F282}"/>
    <cellStyle name="Normal 5 3 6 4 3" xfId="6067" xr:uid="{00000000-0005-0000-0000-0000EC4D0000}"/>
    <cellStyle name="Normal 5 3 6 4 3 2" xfId="22937" xr:uid="{00000000-0005-0000-0000-0000ED4D0000}"/>
    <cellStyle name="Normal 5 3 6 4 3 2 2" xfId="39805" xr:uid="{B04B7150-01D1-4284-893A-99F1F9288C5D}"/>
    <cellStyle name="Normal 5 3 6 4 3 3" xfId="14502" xr:uid="{00000000-0005-0000-0000-0000EE4D0000}"/>
    <cellStyle name="Normal 5 3 6 4 3 4" xfId="31371" xr:uid="{40438581-9B97-47B6-A902-2F4E83DC7958}"/>
    <cellStyle name="Normal 5 3 6 4 4" xfId="18719" xr:uid="{00000000-0005-0000-0000-0000EF4D0000}"/>
    <cellStyle name="Normal 5 3 6 4 4 2" xfId="35588" xr:uid="{063314E6-4087-4433-83C5-596FD6F4DF7E}"/>
    <cellStyle name="Normal 5 3 6 4 5" xfId="10284" xr:uid="{00000000-0005-0000-0000-0000F04D0000}"/>
    <cellStyle name="Normal 5 3 6 4 6" xfId="27154" xr:uid="{209B5B88-3C41-40D3-8BA6-220002761CD0}"/>
    <cellStyle name="Normal 5 3 6 5" xfId="2173" xr:uid="{00000000-0005-0000-0000-0000F14D0000}"/>
    <cellStyle name="Normal 5 3 6 5 2" xfId="4402" xr:uid="{00000000-0005-0000-0000-0000F24D0000}"/>
    <cellStyle name="Normal 5 3 6 5 2 2" xfId="8625" xr:uid="{00000000-0005-0000-0000-0000F34D0000}"/>
    <cellStyle name="Normal 5 3 6 5 2 2 2" xfId="25495" xr:uid="{00000000-0005-0000-0000-0000F44D0000}"/>
    <cellStyle name="Normal 5 3 6 5 2 2 2 2" xfId="42363" xr:uid="{291C7052-14B1-49AA-BD1D-1EA52EC7844B}"/>
    <cellStyle name="Normal 5 3 6 5 2 2 3" xfId="17060" xr:uid="{00000000-0005-0000-0000-0000F54D0000}"/>
    <cellStyle name="Normal 5 3 6 5 2 2 4" xfId="33929" xr:uid="{3CDEB39A-4C12-41DA-94C7-42CCC14D9696}"/>
    <cellStyle name="Normal 5 3 6 5 2 3" xfId="21277" xr:uid="{00000000-0005-0000-0000-0000F64D0000}"/>
    <cellStyle name="Normal 5 3 6 5 2 3 2" xfId="38146" xr:uid="{9B5C97EB-9CAF-421C-AF53-61650E879D48}"/>
    <cellStyle name="Normal 5 3 6 5 2 4" xfId="12842" xr:uid="{00000000-0005-0000-0000-0000F74D0000}"/>
    <cellStyle name="Normal 5 3 6 5 2 5" xfId="29712" xr:uid="{ECFF0B88-3C64-4DB7-9CF5-CD543608C2CB}"/>
    <cellStyle name="Normal 5 3 6 5 3" xfId="6480" xr:uid="{00000000-0005-0000-0000-0000F84D0000}"/>
    <cellStyle name="Normal 5 3 6 5 3 2" xfId="23350" xr:uid="{00000000-0005-0000-0000-0000F94D0000}"/>
    <cellStyle name="Normal 5 3 6 5 3 2 2" xfId="40218" xr:uid="{A6312459-82D9-4C70-949F-65D859FD67EB}"/>
    <cellStyle name="Normal 5 3 6 5 3 3" xfId="14915" xr:uid="{00000000-0005-0000-0000-0000FA4D0000}"/>
    <cellStyle name="Normal 5 3 6 5 3 4" xfId="31784" xr:uid="{EB4890DD-C18A-426A-AAE4-F5DEAC844483}"/>
    <cellStyle name="Normal 5 3 6 5 4" xfId="19132" xr:uid="{00000000-0005-0000-0000-0000FB4D0000}"/>
    <cellStyle name="Normal 5 3 6 5 4 2" xfId="36001" xr:uid="{2E4A3811-DB02-4A71-A60B-309D48C16279}"/>
    <cellStyle name="Normal 5 3 6 5 5" xfId="10697" xr:uid="{00000000-0005-0000-0000-0000FC4D0000}"/>
    <cellStyle name="Normal 5 3 6 5 6" xfId="27567" xr:uid="{7A6A93A3-BA4D-4363-A780-562BA41EFF8C}"/>
    <cellStyle name="Normal 5 3 6 6" xfId="2609" xr:uid="{00000000-0005-0000-0000-0000FD4D0000}"/>
    <cellStyle name="Normal 5 3 6 6 2" xfId="6893" xr:uid="{00000000-0005-0000-0000-0000FE4D0000}"/>
    <cellStyle name="Normal 5 3 6 6 2 2" xfId="23763" xr:uid="{00000000-0005-0000-0000-0000FF4D0000}"/>
    <cellStyle name="Normal 5 3 6 6 2 2 2" xfId="40631" xr:uid="{71347CF4-E91E-402C-A931-9C4471A90D92}"/>
    <cellStyle name="Normal 5 3 6 6 2 3" xfId="15328" xr:uid="{00000000-0005-0000-0000-0000004E0000}"/>
    <cellStyle name="Normal 5 3 6 6 2 4" xfId="32197" xr:uid="{BD40B98C-FB45-45F3-B973-754C8E6E74DA}"/>
    <cellStyle name="Normal 5 3 6 6 3" xfId="19545" xr:uid="{00000000-0005-0000-0000-0000014E0000}"/>
    <cellStyle name="Normal 5 3 6 6 3 2" xfId="36414" xr:uid="{5E2EB730-9446-4EFF-8903-0E399BCF5EE5}"/>
    <cellStyle name="Normal 5 3 6 6 4" xfId="11110" xr:uid="{00000000-0005-0000-0000-0000024E0000}"/>
    <cellStyle name="Normal 5 3 6 6 5" xfId="27980" xr:uid="{2A7379D8-1F10-452C-BF1B-E84FD9BFEBB9}"/>
    <cellStyle name="Normal 5 3 6 7" xfId="4828" xr:uid="{00000000-0005-0000-0000-0000034E0000}"/>
    <cellStyle name="Normal 5 3 6 7 2" xfId="21698" xr:uid="{00000000-0005-0000-0000-0000044E0000}"/>
    <cellStyle name="Normal 5 3 6 7 2 2" xfId="38566" xr:uid="{48362BFA-DF3F-4315-BF1F-D651E398CE84}"/>
    <cellStyle name="Normal 5 3 6 7 3" xfId="13263" xr:uid="{00000000-0005-0000-0000-0000054E0000}"/>
    <cellStyle name="Normal 5 3 6 7 4" xfId="30132" xr:uid="{8991BE6D-91E9-471D-A637-2E624C6BD6EA}"/>
    <cellStyle name="Normal 5 3 6 8" xfId="17480" xr:uid="{00000000-0005-0000-0000-0000064E0000}"/>
    <cellStyle name="Normal 5 3 6 8 2" xfId="34349" xr:uid="{2D1B54C2-178A-4D9E-A4C5-574AB01A8C56}"/>
    <cellStyle name="Normal 5 3 6 9" xfId="9045" xr:uid="{00000000-0005-0000-0000-0000074E0000}"/>
    <cellStyle name="Normal 5 3 7" xfId="913" xr:uid="{00000000-0005-0000-0000-0000084E0000}"/>
    <cellStyle name="Normal 5 3 7 2" xfId="3148" xr:uid="{00000000-0005-0000-0000-0000094E0000}"/>
    <cellStyle name="Normal 5 3 7 2 2" xfId="7371" xr:uid="{00000000-0005-0000-0000-00000A4E0000}"/>
    <cellStyle name="Normal 5 3 7 2 2 2" xfId="24241" xr:uid="{00000000-0005-0000-0000-00000B4E0000}"/>
    <cellStyle name="Normal 5 3 7 2 2 2 2" xfId="41109" xr:uid="{BA5D5D5C-3E5C-4256-A94B-B4F42151B55D}"/>
    <cellStyle name="Normal 5 3 7 2 2 3" xfId="15806" xr:uid="{00000000-0005-0000-0000-00000C4E0000}"/>
    <cellStyle name="Normal 5 3 7 2 2 4" xfId="32675" xr:uid="{B2014115-AF55-4C05-8233-644C493240D6}"/>
    <cellStyle name="Normal 5 3 7 2 3" xfId="20023" xr:uid="{00000000-0005-0000-0000-00000D4E0000}"/>
    <cellStyle name="Normal 5 3 7 2 3 2" xfId="36892" xr:uid="{3D70CDAE-A5DD-45CB-AE64-9AD0B976FE01}"/>
    <cellStyle name="Normal 5 3 7 2 4" xfId="11588" xr:uid="{00000000-0005-0000-0000-00000E4E0000}"/>
    <cellStyle name="Normal 5 3 7 2 5" xfId="28458" xr:uid="{BFD54171-3BB9-4ECA-89D8-1F5CF6FFF296}"/>
    <cellStyle name="Normal 5 3 7 3" xfId="5226" xr:uid="{00000000-0005-0000-0000-00000F4E0000}"/>
    <cellStyle name="Normal 5 3 7 3 2" xfId="22096" xr:uid="{00000000-0005-0000-0000-0000104E0000}"/>
    <cellStyle name="Normal 5 3 7 3 2 2" xfId="38964" xr:uid="{2B6E0DDE-69F1-45AD-81F8-71F070A98AA8}"/>
    <cellStyle name="Normal 5 3 7 3 3" xfId="13661" xr:uid="{00000000-0005-0000-0000-0000114E0000}"/>
    <cellStyle name="Normal 5 3 7 3 4" xfId="30530" xr:uid="{E332D325-F910-4E57-B7B4-2C0AAAE4EBBD}"/>
    <cellStyle name="Normal 5 3 7 4" xfId="17878" xr:uid="{00000000-0005-0000-0000-0000124E0000}"/>
    <cellStyle name="Normal 5 3 7 4 2" xfId="34747" xr:uid="{66E082D0-CB7D-4867-8DE5-4F65297B9F1C}"/>
    <cellStyle name="Normal 5 3 7 5" xfId="9443" xr:uid="{00000000-0005-0000-0000-0000134E0000}"/>
    <cellStyle name="Normal 5 3 7 6" xfId="26313" xr:uid="{E4F7536F-CC58-4980-BB4D-05BC6C143F33}"/>
    <cellStyle name="Normal 5 3 8" xfId="1331" xr:uid="{00000000-0005-0000-0000-0000144E0000}"/>
    <cellStyle name="Normal 5 3 8 2" xfId="3561" xr:uid="{00000000-0005-0000-0000-0000154E0000}"/>
    <cellStyle name="Normal 5 3 8 2 2" xfId="7784" xr:uid="{00000000-0005-0000-0000-0000164E0000}"/>
    <cellStyle name="Normal 5 3 8 2 2 2" xfId="24654" xr:uid="{00000000-0005-0000-0000-0000174E0000}"/>
    <cellStyle name="Normal 5 3 8 2 2 2 2" xfId="41522" xr:uid="{881178E5-87C4-4E63-829E-EDFBA851136F}"/>
    <cellStyle name="Normal 5 3 8 2 2 3" xfId="16219" xr:uid="{00000000-0005-0000-0000-0000184E0000}"/>
    <cellStyle name="Normal 5 3 8 2 2 4" xfId="33088" xr:uid="{622A1990-4BDF-4DA2-9DA4-64C4ACE8B5A2}"/>
    <cellStyle name="Normal 5 3 8 2 3" xfId="20436" xr:uid="{00000000-0005-0000-0000-0000194E0000}"/>
    <cellStyle name="Normal 5 3 8 2 3 2" xfId="37305" xr:uid="{E2CECA48-3BC8-4640-82B8-1D8023FC426D}"/>
    <cellStyle name="Normal 5 3 8 2 4" xfId="12001" xr:uid="{00000000-0005-0000-0000-00001A4E0000}"/>
    <cellStyle name="Normal 5 3 8 2 5" xfId="28871" xr:uid="{89D2ADAA-707C-47B0-A32D-EC70E9DE2683}"/>
    <cellStyle name="Normal 5 3 8 3" xfId="5639" xr:uid="{00000000-0005-0000-0000-00001B4E0000}"/>
    <cellStyle name="Normal 5 3 8 3 2" xfId="22509" xr:uid="{00000000-0005-0000-0000-00001C4E0000}"/>
    <cellStyle name="Normal 5 3 8 3 2 2" xfId="39377" xr:uid="{8B3D4D68-BDB1-4FD8-B8EB-96A5400115A3}"/>
    <cellStyle name="Normal 5 3 8 3 3" xfId="14074" xr:uid="{00000000-0005-0000-0000-00001D4E0000}"/>
    <cellStyle name="Normal 5 3 8 3 4" xfId="30943" xr:uid="{B3C405C6-F7E2-44A8-B5F5-37EE802D38DC}"/>
    <cellStyle name="Normal 5 3 8 4" xfId="18291" xr:uid="{00000000-0005-0000-0000-00001E4E0000}"/>
    <cellStyle name="Normal 5 3 8 4 2" xfId="35160" xr:uid="{9198158D-02EC-4439-8AB8-AFB5D0B92E50}"/>
    <cellStyle name="Normal 5 3 8 5" xfId="9856" xr:uid="{00000000-0005-0000-0000-00001F4E0000}"/>
    <cellStyle name="Normal 5 3 8 6" xfId="26726" xr:uid="{508BAD60-7A83-4D5E-A929-2194D2EBB312}"/>
    <cellStyle name="Normal 5 3 9" xfId="1744" xr:uid="{00000000-0005-0000-0000-0000204E0000}"/>
    <cellStyle name="Normal 5 3 9 2" xfId="3974" xr:uid="{00000000-0005-0000-0000-0000214E0000}"/>
    <cellStyle name="Normal 5 3 9 2 2" xfId="8197" xr:uid="{00000000-0005-0000-0000-0000224E0000}"/>
    <cellStyle name="Normal 5 3 9 2 2 2" xfId="25067" xr:uid="{00000000-0005-0000-0000-0000234E0000}"/>
    <cellStyle name="Normal 5 3 9 2 2 2 2" xfId="41935" xr:uid="{F423A4B1-EC8E-459A-B081-88DE7EA0066D}"/>
    <cellStyle name="Normal 5 3 9 2 2 3" xfId="16632" xr:uid="{00000000-0005-0000-0000-0000244E0000}"/>
    <cellStyle name="Normal 5 3 9 2 2 4" xfId="33501" xr:uid="{F277CB56-4AA0-420B-8C5C-52C57AC666F3}"/>
    <cellStyle name="Normal 5 3 9 2 3" xfId="20849" xr:uid="{00000000-0005-0000-0000-0000254E0000}"/>
    <cellStyle name="Normal 5 3 9 2 3 2" xfId="37718" xr:uid="{848CAA31-6EA0-423D-B593-FB5AE41064A4}"/>
    <cellStyle name="Normal 5 3 9 2 4" xfId="12414" xr:uid="{00000000-0005-0000-0000-0000264E0000}"/>
    <cellStyle name="Normal 5 3 9 2 5" xfId="29284" xr:uid="{3DC3BD40-AE0A-4DC4-AD0F-D60A9D8C1AE8}"/>
    <cellStyle name="Normal 5 3 9 3" xfId="6052" xr:uid="{00000000-0005-0000-0000-0000274E0000}"/>
    <cellStyle name="Normal 5 3 9 3 2" xfId="22922" xr:uid="{00000000-0005-0000-0000-0000284E0000}"/>
    <cellStyle name="Normal 5 3 9 3 2 2" xfId="39790" xr:uid="{44E3FEDD-701C-4B32-B43F-AE462DC45B68}"/>
    <cellStyle name="Normal 5 3 9 3 3" xfId="14487" xr:uid="{00000000-0005-0000-0000-0000294E0000}"/>
    <cellStyle name="Normal 5 3 9 3 4" xfId="31356" xr:uid="{75B5E92A-2406-40F5-8B22-A3CAD287B982}"/>
    <cellStyle name="Normal 5 3 9 4" xfId="18704" xr:uid="{00000000-0005-0000-0000-00002A4E0000}"/>
    <cellStyle name="Normal 5 3 9 4 2" xfId="35573" xr:uid="{E733CEC0-5100-495B-B0AB-515C38B3E008}"/>
    <cellStyle name="Normal 5 3 9 5" xfId="10269" xr:uid="{00000000-0005-0000-0000-00002B4E0000}"/>
    <cellStyle name="Normal 5 3 9 6" xfId="27139" xr:uid="{43434245-53D1-4997-AA48-8CACF2FF3CC7}"/>
    <cellStyle name="Normal 5 4" xfId="456" xr:uid="{00000000-0005-0000-0000-00002C4E0000}"/>
    <cellStyle name="Normal 5 4 10" xfId="4829" xr:uid="{00000000-0005-0000-0000-00002D4E0000}"/>
    <cellStyle name="Normal 5 4 10 2" xfId="21699" xr:uid="{00000000-0005-0000-0000-00002E4E0000}"/>
    <cellStyle name="Normal 5 4 10 2 2" xfId="38567" xr:uid="{7AA2680E-D364-47E3-ADA4-F49BF0730199}"/>
    <cellStyle name="Normal 5 4 10 3" xfId="13264" xr:uid="{00000000-0005-0000-0000-00002F4E0000}"/>
    <cellStyle name="Normal 5 4 10 4" xfId="30133" xr:uid="{C500C97B-1F6A-4A7D-9FCA-9CE85BEB9613}"/>
    <cellStyle name="Normal 5 4 11" xfId="17481" xr:uid="{00000000-0005-0000-0000-0000304E0000}"/>
    <cellStyle name="Normal 5 4 11 2" xfId="34350" xr:uid="{2688A4E2-DC33-4A68-B617-A45E4DB0296B}"/>
    <cellStyle name="Normal 5 4 12" xfId="9046" xr:uid="{00000000-0005-0000-0000-0000314E0000}"/>
    <cellStyle name="Normal 5 4 13" xfId="25916" xr:uid="{A6A2A6EE-0947-4F41-A2FA-259B23F6732A}"/>
    <cellStyle name="Normal 5 4 2" xfId="457" xr:uid="{00000000-0005-0000-0000-0000324E0000}"/>
    <cellStyle name="Normal 5 4 2 10" xfId="17482" xr:uid="{00000000-0005-0000-0000-0000334E0000}"/>
    <cellStyle name="Normal 5 4 2 10 2" xfId="34351" xr:uid="{20A78DAA-4645-49A4-B82A-516125E5F642}"/>
    <cellStyle name="Normal 5 4 2 11" xfId="9047" xr:uid="{00000000-0005-0000-0000-0000344E0000}"/>
    <cellStyle name="Normal 5 4 2 12" xfId="25917" xr:uid="{57211ED6-E1C6-48B2-93F1-C97850229491}"/>
    <cellStyle name="Normal 5 4 2 2" xfId="458" xr:uid="{00000000-0005-0000-0000-0000354E0000}"/>
    <cellStyle name="Normal 5 4 2 2 10" xfId="9048" xr:uid="{00000000-0005-0000-0000-0000364E0000}"/>
    <cellStyle name="Normal 5 4 2 2 11" xfId="25918" xr:uid="{BBA2E825-C0E5-4588-956C-21731E5A03E4}"/>
    <cellStyle name="Normal 5 4 2 2 2" xfId="459" xr:uid="{00000000-0005-0000-0000-0000374E0000}"/>
    <cellStyle name="Normal 5 4 2 2 2 10" xfId="25919" xr:uid="{F4AFB8FF-6F87-4AEA-9894-BF1CD4D2AD61}"/>
    <cellStyle name="Normal 5 4 2 2 2 2" xfId="933" xr:uid="{00000000-0005-0000-0000-0000384E0000}"/>
    <cellStyle name="Normal 5 4 2 2 2 2 2" xfId="3167" xr:uid="{00000000-0005-0000-0000-0000394E0000}"/>
    <cellStyle name="Normal 5 4 2 2 2 2 2 2" xfId="7390" xr:uid="{00000000-0005-0000-0000-00003A4E0000}"/>
    <cellStyle name="Normal 5 4 2 2 2 2 2 2 2" xfId="24260" xr:uid="{00000000-0005-0000-0000-00003B4E0000}"/>
    <cellStyle name="Normal 5 4 2 2 2 2 2 2 2 2" xfId="41128" xr:uid="{2EF4F2C9-EC22-4486-8396-BD930FF65AB7}"/>
    <cellStyle name="Normal 5 4 2 2 2 2 2 2 3" xfId="15825" xr:uid="{00000000-0005-0000-0000-00003C4E0000}"/>
    <cellStyle name="Normal 5 4 2 2 2 2 2 2 4" xfId="32694" xr:uid="{9B144E93-9860-47D3-9A5E-FF8865DBF0D0}"/>
    <cellStyle name="Normal 5 4 2 2 2 2 2 3" xfId="20042" xr:uid="{00000000-0005-0000-0000-00003D4E0000}"/>
    <cellStyle name="Normal 5 4 2 2 2 2 2 3 2" xfId="36911" xr:uid="{CFBCFDB0-5F82-4E33-B2D8-E31163212153}"/>
    <cellStyle name="Normal 5 4 2 2 2 2 2 4" xfId="11607" xr:uid="{00000000-0005-0000-0000-00003E4E0000}"/>
    <cellStyle name="Normal 5 4 2 2 2 2 2 5" xfId="28477" xr:uid="{B38A5705-0D1B-4B6E-9DA2-8053CA93353A}"/>
    <cellStyle name="Normal 5 4 2 2 2 2 3" xfId="5245" xr:uid="{00000000-0005-0000-0000-00003F4E0000}"/>
    <cellStyle name="Normal 5 4 2 2 2 2 3 2" xfId="22115" xr:uid="{00000000-0005-0000-0000-0000404E0000}"/>
    <cellStyle name="Normal 5 4 2 2 2 2 3 2 2" xfId="38983" xr:uid="{E801634A-B666-4291-9AC1-400F4DEDCE98}"/>
    <cellStyle name="Normal 5 4 2 2 2 2 3 3" xfId="13680" xr:uid="{00000000-0005-0000-0000-0000414E0000}"/>
    <cellStyle name="Normal 5 4 2 2 2 2 3 4" xfId="30549" xr:uid="{0D5A5048-BEC5-4725-ABB8-8102D667193D}"/>
    <cellStyle name="Normal 5 4 2 2 2 2 4" xfId="17897" xr:uid="{00000000-0005-0000-0000-0000424E0000}"/>
    <cellStyle name="Normal 5 4 2 2 2 2 4 2" xfId="34766" xr:uid="{EFD3AFBC-3809-4046-BCEC-96F1F919C906}"/>
    <cellStyle name="Normal 5 4 2 2 2 2 5" xfId="9462" xr:uid="{00000000-0005-0000-0000-0000434E0000}"/>
    <cellStyle name="Normal 5 4 2 2 2 2 6" xfId="26332" xr:uid="{3321A7CC-AA9F-4A6D-90A2-DBF1692180FE}"/>
    <cellStyle name="Normal 5 4 2 2 2 3" xfId="1350" xr:uid="{00000000-0005-0000-0000-0000444E0000}"/>
    <cellStyle name="Normal 5 4 2 2 2 3 2" xfId="3580" xr:uid="{00000000-0005-0000-0000-0000454E0000}"/>
    <cellStyle name="Normal 5 4 2 2 2 3 2 2" xfId="7803" xr:uid="{00000000-0005-0000-0000-0000464E0000}"/>
    <cellStyle name="Normal 5 4 2 2 2 3 2 2 2" xfId="24673" xr:uid="{00000000-0005-0000-0000-0000474E0000}"/>
    <cellStyle name="Normal 5 4 2 2 2 3 2 2 2 2" xfId="41541" xr:uid="{24F03A4E-36A9-4AB9-9988-58E06756871C}"/>
    <cellStyle name="Normal 5 4 2 2 2 3 2 2 3" xfId="16238" xr:uid="{00000000-0005-0000-0000-0000484E0000}"/>
    <cellStyle name="Normal 5 4 2 2 2 3 2 2 4" xfId="33107" xr:uid="{648EC25E-EEF3-4A7A-8A0F-D2B59D304734}"/>
    <cellStyle name="Normal 5 4 2 2 2 3 2 3" xfId="20455" xr:uid="{00000000-0005-0000-0000-0000494E0000}"/>
    <cellStyle name="Normal 5 4 2 2 2 3 2 3 2" xfId="37324" xr:uid="{EFDBDBBD-18AF-44A8-A143-E75BD0BC6DFA}"/>
    <cellStyle name="Normal 5 4 2 2 2 3 2 4" xfId="12020" xr:uid="{00000000-0005-0000-0000-00004A4E0000}"/>
    <cellStyle name="Normal 5 4 2 2 2 3 2 5" xfId="28890" xr:uid="{679D8731-5ABF-4905-9320-E463812B939E}"/>
    <cellStyle name="Normal 5 4 2 2 2 3 3" xfId="5658" xr:uid="{00000000-0005-0000-0000-00004B4E0000}"/>
    <cellStyle name="Normal 5 4 2 2 2 3 3 2" xfId="22528" xr:uid="{00000000-0005-0000-0000-00004C4E0000}"/>
    <cellStyle name="Normal 5 4 2 2 2 3 3 2 2" xfId="39396" xr:uid="{E58E4AE2-7C37-446A-83D6-AA57B0A7EE2C}"/>
    <cellStyle name="Normal 5 4 2 2 2 3 3 3" xfId="14093" xr:uid="{00000000-0005-0000-0000-00004D4E0000}"/>
    <cellStyle name="Normal 5 4 2 2 2 3 3 4" xfId="30962" xr:uid="{216FFE28-5DEE-4521-8B8C-E9C9B38A5A39}"/>
    <cellStyle name="Normal 5 4 2 2 2 3 4" xfId="18310" xr:uid="{00000000-0005-0000-0000-00004E4E0000}"/>
    <cellStyle name="Normal 5 4 2 2 2 3 4 2" xfId="35179" xr:uid="{F035CD23-AB37-4B5F-AFDE-ADBFD122B033}"/>
    <cellStyle name="Normal 5 4 2 2 2 3 5" xfId="9875" xr:uid="{00000000-0005-0000-0000-00004F4E0000}"/>
    <cellStyle name="Normal 5 4 2 2 2 3 6" xfId="26745" xr:uid="{66D31E0D-01B2-465D-A1A5-08270F5A6333}"/>
    <cellStyle name="Normal 5 4 2 2 2 4" xfId="1763" xr:uid="{00000000-0005-0000-0000-0000504E0000}"/>
    <cellStyle name="Normal 5 4 2 2 2 4 2" xfId="3993" xr:uid="{00000000-0005-0000-0000-0000514E0000}"/>
    <cellStyle name="Normal 5 4 2 2 2 4 2 2" xfId="8216" xr:uid="{00000000-0005-0000-0000-0000524E0000}"/>
    <cellStyle name="Normal 5 4 2 2 2 4 2 2 2" xfId="25086" xr:uid="{00000000-0005-0000-0000-0000534E0000}"/>
    <cellStyle name="Normal 5 4 2 2 2 4 2 2 2 2" xfId="41954" xr:uid="{70E97427-DCAE-4A28-91B0-7933D0CE80EE}"/>
    <cellStyle name="Normal 5 4 2 2 2 4 2 2 3" xfId="16651" xr:uid="{00000000-0005-0000-0000-0000544E0000}"/>
    <cellStyle name="Normal 5 4 2 2 2 4 2 2 4" xfId="33520" xr:uid="{790AFD79-B8CC-4D8B-A10A-8676ED4140EA}"/>
    <cellStyle name="Normal 5 4 2 2 2 4 2 3" xfId="20868" xr:uid="{00000000-0005-0000-0000-0000554E0000}"/>
    <cellStyle name="Normal 5 4 2 2 2 4 2 3 2" xfId="37737" xr:uid="{5C53C8A0-38B3-43FB-8AB9-F6C4D0FE9ABB}"/>
    <cellStyle name="Normal 5 4 2 2 2 4 2 4" xfId="12433" xr:uid="{00000000-0005-0000-0000-0000564E0000}"/>
    <cellStyle name="Normal 5 4 2 2 2 4 2 5" xfId="29303" xr:uid="{5C866CF9-8C8D-4B6A-ACC4-56B0FBE205DC}"/>
    <cellStyle name="Normal 5 4 2 2 2 4 3" xfId="6071" xr:uid="{00000000-0005-0000-0000-0000574E0000}"/>
    <cellStyle name="Normal 5 4 2 2 2 4 3 2" xfId="22941" xr:uid="{00000000-0005-0000-0000-0000584E0000}"/>
    <cellStyle name="Normal 5 4 2 2 2 4 3 2 2" xfId="39809" xr:uid="{5656D130-C564-4998-A5AA-682DB599647E}"/>
    <cellStyle name="Normal 5 4 2 2 2 4 3 3" xfId="14506" xr:uid="{00000000-0005-0000-0000-0000594E0000}"/>
    <cellStyle name="Normal 5 4 2 2 2 4 3 4" xfId="31375" xr:uid="{AA8F719A-7184-4EA4-9564-A96BCDB1F735}"/>
    <cellStyle name="Normal 5 4 2 2 2 4 4" xfId="18723" xr:uid="{00000000-0005-0000-0000-00005A4E0000}"/>
    <cellStyle name="Normal 5 4 2 2 2 4 4 2" xfId="35592" xr:uid="{7762A3BA-8307-43EB-9718-E181ACC97155}"/>
    <cellStyle name="Normal 5 4 2 2 2 4 5" xfId="10288" xr:uid="{00000000-0005-0000-0000-00005B4E0000}"/>
    <cellStyle name="Normal 5 4 2 2 2 4 6" xfId="27158" xr:uid="{D74C3965-9825-484B-B65B-C610FCC6DA02}"/>
    <cellStyle name="Normal 5 4 2 2 2 5" xfId="2177" xr:uid="{00000000-0005-0000-0000-00005C4E0000}"/>
    <cellStyle name="Normal 5 4 2 2 2 5 2" xfId="4406" xr:uid="{00000000-0005-0000-0000-00005D4E0000}"/>
    <cellStyle name="Normal 5 4 2 2 2 5 2 2" xfId="8629" xr:uid="{00000000-0005-0000-0000-00005E4E0000}"/>
    <cellStyle name="Normal 5 4 2 2 2 5 2 2 2" xfId="25499" xr:uid="{00000000-0005-0000-0000-00005F4E0000}"/>
    <cellStyle name="Normal 5 4 2 2 2 5 2 2 2 2" xfId="42367" xr:uid="{FEC35B05-4EE4-425B-B284-262B47F1C003}"/>
    <cellStyle name="Normal 5 4 2 2 2 5 2 2 3" xfId="17064" xr:uid="{00000000-0005-0000-0000-0000604E0000}"/>
    <cellStyle name="Normal 5 4 2 2 2 5 2 2 4" xfId="33933" xr:uid="{4F871B96-033C-4FC4-8AAE-2911BAF8010B}"/>
    <cellStyle name="Normal 5 4 2 2 2 5 2 3" xfId="21281" xr:uid="{00000000-0005-0000-0000-0000614E0000}"/>
    <cellStyle name="Normal 5 4 2 2 2 5 2 3 2" xfId="38150" xr:uid="{F585F7A7-F0E5-4AA8-8CB9-BD375C321C22}"/>
    <cellStyle name="Normal 5 4 2 2 2 5 2 4" xfId="12846" xr:uid="{00000000-0005-0000-0000-0000624E0000}"/>
    <cellStyle name="Normal 5 4 2 2 2 5 2 5" xfId="29716" xr:uid="{FCE2A5F3-77B4-4812-8640-2E3C0F5FB48F}"/>
    <cellStyle name="Normal 5 4 2 2 2 5 3" xfId="6484" xr:uid="{00000000-0005-0000-0000-0000634E0000}"/>
    <cellStyle name="Normal 5 4 2 2 2 5 3 2" xfId="23354" xr:uid="{00000000-0005-0000-0000-0000644E0000}"/>
    <cellStyle name="Normal 5 4 2 2 2 5 3 2 2" xfId="40222" xr:uid="{29C619B5-C2A8-4D5D-BAA2-2ED0A6D03C4C}"/>
    <cellStyle name="Normal 5 4 2 2 2 5 3 3" xfId="14919" xr:uid="{00000000-0005-0000-0000-0000654E0000}"/>
    <cellStyle name="Normal 5 4 2 2 2 5 3 4" xfId="31788" xr:uid="{D0C5CDFA-C598-4D60-955B-A754C867A9BD}"/>
    <cellStyle name="Normal 5 4 2 2 2 5 4" xfId="19136" xr:uid="{00000000-0005-0000-0000-0000664E0000}"/>
    <cellStyle name="Normal 5 4 2 2 2 5 4 2" xfId="36005" xr:uid="{4B8FE246-C2C9-4AA3-9BAC-A5A276869B27}"/>
    <cellStyle name="Normal 5 4 2 2 2 5 5" xfId="10701" xr:uid="{00000000-0005-0000-0000-0000674E0000}"/>
    <cellStyle name="Normal 5 4 2 2 2 5 6" xfId="27571" xr:uid="{D1302749-AC5B-4AB5-87B9-8D9B0C50C489}"/>
    <cellStyle name="Normal 5 4 2 2 2 6" xfId="2613" xr:uid="{00000000-0005-0000-0000-0000684E0000}"/>
    <cellStyle name="Normal 5 4 2 2 2 6 2" xfId="6897" xr:uid="{00000000-0005-0000-0000-0000694E0000}"/>
    <cellStyle name="Normal 5 4 2 2 2 6 2 2" xfId="23767" xr:uid="{00000000-0005-0000-0000-00006A4E0000}"/>
    <cellStyle name="Normal 5 4 2 2 2 6 2 2 2" xfId="40635" xr:uid="{01D32F2E-3C00-4841-93B3-D2278BF2EB23}"/>
    <cellStyle name="Normal 5 4 2 2 2 6 2 3" xfId="15332" xr:uid="{00000000-0005-0000-0000-00006B4E0000}"/>
    <cellStyle name="Normal 5 4 2 2 2 6 2 4" xfId="32201" xr:uid="{26EE6A01-5A6C-4075-A508-48446972FFAC}"/>
    <cellStyle name="Normal 5 4 2 2 2 6 3" xfId="19549" xr:uid="{00000000-0005-0000-0000-00006C4E0000}"/>
    <cellStyle name="Normal 5 4 2 2 2 6 3 2" xfId="36418" xr:uid="{A8535330-A8E5-4811-81C1-7B5249668D46}"/>
    <cellStyle name="Normal 5 4 2 2 2 6 4" xfId="11114" xr:uid="{00000000-0005-0000-0000-00006D4E0000}"/>
    <cellStyle name="Normal 5 4 2 2 2 6 5" xfId="27984" xr:uid="{351AFF99-464D-4676-BEE3-C98671E6AA42}"/>
    <cellStyle name="Normal 5 4 2 2 2 7" xfId="4832" xr:uid="{00000000-0005-0000-0000-00006E4E0000}"/>
    <cellStyle name="Normal 5 4 2 2 2 7 2" xfId="21702" xr:uid="{00000000-0005-0000-0000-00006F4E0000}"/>
    <cellStyle name="Normal 5 4 2 2 2 7 2 2" xfId="38570" xr:uid="{4A513CD4-5D3E-48EB-94E9-D8322FCAF9A1}"/>
    <cellStyle name="Normal 5 4 2 2 2 7 3" xfId="13267" xr:uid="{00000000-0005-0000-0000-0000704E0000}"/>
    <cellStyle name="Normal 5 4 2 2 2 7 4" xfId="30136" xr:uid="{8E255C78-C299-4E56-A153-F637CD20D1CB}"/>
    <cellStyle name="Normal 5 4 2 2 2 8" xfId="17484" xr:uid="{00000000-0005-0000-0000-0000714E0000}"/>
    <cellStyle name="Normal 5 4 2 2 2 8 2" xfId="34353" xr:uid="{0B8686D3-2085-4BA3-9025-38DF56FE2988}"/>
    <cellStyle name="Normal 5 4 2 2 2 9" xfId="9049" xr:uid="{00000000-0005-0000-0000-0000724E0000}"/>
    <cellStyle name="Normal 5 4 2 2 3" xfId="932" xr:uid="{00000000-0005-0000-0000-0000734E0000}"/>
    <cellStyle name="Normal 5 4 2 2 3 2" xfId="3166" xr:uid="{00000000-0005-0000-0000-0000744E0000}"/>
    <cellStyle name="Normal 5 4 2 2 3 2 2" xfId="7389" xr:uid="{00000000-0005-0000-0000-0000754E0000}"/>
    <cellStyle name="Normal 5 4 2 2 3 2 2 2" xfId="24259" xr:uid="{00000000-0005-0000-0000-0000764E0000}"/>
    <cellStyle name="Normal 5 4 2 2 3 2 2 2 2" xfId="41127" xr:uid="{3A626107-684E-4CCE-9D6E-979D486EAD53}"/>
    <cellStyle name="Normal 5 4 2 2 3 2 2 3" xfId="15824" xr:uid="{00000000-0005-0000-0000-0000774E0000}"/>
    <cellStyle name="Normal 5 4 2 2 3 2 2 4" xfId="32693" xr:uid="{BBBEB077-42F8-4B22-BC5D-3BD47647A7CD}"/>
    <cellStyle name="Normal 5 4 2 2 3 2 3" xfId="20041" xr:uid="{00000000-0005-0000-0000-0000784E0000}"/>
    <cellStyle name="Normal 5 4 2 2 3 2 3 2" xfId="36910" xr:uid="{B39B5926-0C00-4E43-ABA9-281730F56FB9}"/>
    <cellStyle name="Normal 5 4 2 2 3 2 4" xfId="11606" xr:uid="{00000000-0005-0000-0000-0000794E0000}"/>
    <cellStyle name="Normal 5 4 2 2 3 2 5" xfId="28476" xr:uid="{8007D1C9-6537-4F99-83F4-3CE93B6FFFB9}"/>
    <cellStyle name="Normal 5 4 2 2 3 3" xfId="5244" xr:uid="{00000000-0005-0000-0000-00007A4E0000}"/>
    <cellStyle name="Normal 5 4 2 2 3 3 2" xfId="22114" xr:uid="{00000000-0005-0000-0000-00007B4E0000}"/>
    <cellStyle name="Normal 5 4 2 2 3 3 2 2" xfId="38982" xr:uid="{DC385B7F-689E-4403-9873-9DDB6CAAA274}"/>
    <cellStyle name="Normal 5 4 2 2 3 3 3" xfId="13679" xr:uid="{00000000-0005-0000-0000-00007C4E0000}"/>
    <cellStyle name="Normal 5 4 2 2 3 3 4" xfId="30548" xr:uid="{39C4D48C-B48B-4F52-AE12-E38B5C063A90}"/>
    <cellStyle name="Normal 5 4 2 2 3 4" xfId="17896" xr:uid="{00000000-0005-0000-0000-00007D4E0000}"/>
    <cellStyle name="Normal 5 4 2 2 3 4 2" xfId="34765" xr:uid="{74034AFB-B62C-4CB8-AB50-80DD88382AAD}"/>
    <cellStyle name="Normal 5 4 2 2 3 5" xfId="9461" xr:uid="{00000000-0005-0000-0000-00007E4E0000}"/>
    <cellStyle name="Normal 5 4 2 2 3 6" xfId="26331" xr:uid="{733C77B2-27C7-4C20-8FB6-F6A485A7DDED}"/>
    <cellStyle name="Normal 5 4 2 2 4" xfId="1349" xr:uid="{00000000-0005-0000-0000-00007F4E0000}"/>
    <cellStyle name="Normal 5 4 2 2 4 2" xfId="3579" xr:uid="{00000000-0005-0000-0000-0000804E0000}"/>
    <cellStyle name="Normal 5 4 2 2 4 2 2" xfId="7802" xr:uid="{00000000-0005-0000-0000-0000814E0000}"/>
    <cellStyle name="Normal 5 4 2 2 4 2 2 2" xfId="24672" xr:uid="{00000000-0005-0000-0000-0000824E0000}"/>
    <cellStyle name="Normal 5 4 2 2 4 2 2 2 2" xfId="41540" xr:uid="{3B17BF25-D7E9-4169-B98A-0755A6669BD8}"/>
    <cellStyle name="Normal 5 4 2 2 4 2 2 3" xfId="16237" xr:uid="{00000000-0005-0000-0000-0000834E0000}"/>
    <cellStyle name="Normal 5 4 2 2 4 2 2 4" xfId="33106" xr:uid="{594F1A6C-3588-402A-886D-05F0CB129B8B}"/>
    <cellStyle name="Normal 5 4 2 2 4 2 3" xfId="20454" xr:uid="{00000000-0005-0000-0000-0000844E0000}"/>
    <cellStyle name="Normal 5 4 2 2 4 2 3 2" xfId="37323" xr:uid="{BDDF7CFC-CB35-4DBB-9244-DF519A0CEC9D}"/>
    <cellStyle name="Normal 5 4 2 2 4 2 4" xfId="12019" xr:uid="{00000000-0005-0000-0000-0000854E0000}"/>
    <cellStyle name="Normal 5 4 2 2 4 2 5" xfId="28889" xr:uid="{ADEEC3A7-6D99-4021-BA8A-30F015B9DE37}"/>
    <cellStyle name="Normal 5 4 2 2 4 3" xfId="5657" xr:uid="{00000000-0005-0000-0000-0000864E0000}"/>
    <cellStyle name="Normal 5 4 2 2 4 3 2" xfId="22527" xr:uid="{00000000-0005-0000-0000-0000874E0000}"/>
    <cellStyle name="Normal 5 4 2 2 4 3 2 2" xfId="39395" xr:uid="{4E2B0245-EDED-491F-9DC3-82369A4D7B35}"/>
    <cellStyle name="Normal 5 4 2 2 4 3 3" xfId="14092" xr:uid="{00000000-0005-0000-0000-0000884E0000}"/>
    <cellStyle name="Normal 5 4 2 2 4 3 4" xfId="30961" xr:uid="{45BBE157-6EA0-42D9-B57F-501F7B13A1DB}"/>
    <cellStyle name="Normal 5 4 2 2 4 4" xfId="18309" xr:uid="{00000000-0005-0000-0000-0000894E0000}"/>
    <cellStyle name="Normal 5 4 2 2 4 4 2" xfId="35178" xr:uid="{9A9978DB-561D-425A-9FED-D6897F3CE8B6}"/>
    <cellStyle name="Normal 5 4 2 2 4 5" xfId="9874" xr:uid="{00000000-0005-0000-0000-00008A4E0000}"/>
    <cellStyle name="Normal 5 4 2 2 4 6" xfId="26744" xr:uid="{5C357989-34B4-4F5C-8AF6-8B11682E5CBC}"/>
    <cellStyle name="Normal 5 4 2 2 5" xfId="1762" xr:uid="{00000000-0005-0000-0000-00008B4E0000}"/>
    <cellStyle name="Normal 5 4 2 2 5 2" xfId="3992" xr:uid="{00000000-0005-0000-0000-00008C4E0000}"/>
    <cellStyle name="Normal 5 4 2 2 5 2 2" xfId="8215" xr:uid="{00000000-0005-0000-0000-00008D4E0000}"/>
    <cellStyle name="Normal 5 4 2 2 5 2 2 2" xfId="25085" xr:uid="{00000000-0005-0000-0000-00008E4E0000}"/>
    <cellStyle name="Normal 5 4 2 2 5 2 2 2 2" xfId="41953" xr:uid="{E4D7954D-3A36-40F1-9A54-8B2EF06AC596}"/>
    <cellStyle name="Normal 5 4 2 2 5 2 2 3" xfId="16650" xr:uid="{00000000-0005-0000-0000-00008F4E0000}"/>
    <cellStyle name="Normal 5 4 2 2 5 2 2 4" xfId="33519" xr:uid="{081B8C0D-21CF-4339-81AE-1B0385147BAB}"/>
    <cellStyle name="Normal 5 4 2 2 5 2 3" xfId="20867" xr:uid="{00000000-0005-0000-0000-0000904E0000}"/>
    <cellStyle name="Normal 5 4 2 2 5 2 3 2" xfId="37736" xr:uid="{404D37C8-FA1A-4110-ADD1-BB5FD4FF8247}"/>
    <cellStyle name="Normal 5 4 2 2 5 2 4" xfId="12432" xr:uid="{00000000-0005-0000-0000-0000914E0000}"/>
    <cellStyle name="Normal 5 4 2 2 5 2 5" xfId="29302" xr:uid="{7E36CD0B-9F34-46E4-BECD-0545AD63BEAC}"/>
    <cellStyle name="Normal 5 4 2 2 5 3" xfId="6070" xr:uid="{00000000-0005-0000-0000-0000924E0000}"/>
    <cellStyle name="Normal 5 4 2 2 5 3 2" xfId="22940" xr:uid="{00000000-0005-0000-0000-0000934E0000}"/>
    <cellStyle name="Normal 5 4 2 2 5 3 2 2" xfId="39808" xr:uid="{A0044FF2-5081-4CD2-879D-29669B8FDE80}"/>
    <cellStyle name="Normal 5 4 2 2 5 3 3" xfId="14505" xr:uid="{00000000-0005-0000-0000-0000944E0000}"/>
    <cellStyle name="Normal 5 4 2 2 5 3 4" xfId="31374" xr:uid="{650A707C-DD51-44CA-B5B0-8E748CD2AB71}"/>
    <cellStyle name="Normal 5 4 2 2 5 4" xfId="18722" xr:uid="{00000000-0005-0000-0000-0000954E0000}"/>
    <cellStyle name="Normal 5 4 2 2 5 4 2" xfId="35591" xr:uid="{81B9EE8B-CC79-4435-B00D-7AA723288CD6}"/>
    <cellStyle name="Normal 5 4 2 2 5 5" xfId="10287" xr:uid="{00000000-0005-0000-0000-0000964E0000}"/>
    <cellStyle name="Normal 5 4 2 2 5 6" xfId="27157" xr:uid="{B2C5537C-7F17-400C-8C0A-F1B06155835E}"/>
    <cellStyle name="Normal 5 4 2 2 6" xfId="2176" xr:uid="{00000000-0005-0000-0000-0000974E0000}"/>
    <cellStyle name="Normal 5 4 2 2 6 2" xfId="4405" xr:uid="{00000000-0005-0000-0000-0000984E0000}"/>
    <cellStyle name="Normal 5 4 2 2 6 2 2" xfId="8628" xr:uid="{00000000-0005-0000-0000-0000994E0000}"/>
    <cellStyle name="Normal 5 4 2 2 6 2 2 2" xfId="25498" xr:uid="{00000000-0005-0000-0000-00009A4E0000}"/>
    <cellStyle name="Normal 5 4 2 2 6 2 2 2 2" xfId="42366" xr:uid="{3621ADD2-F8B4-4F0A-B19D-F1FC86D52112}"/>
    <cellStyle name="Normal 5 4 2 2 6 2 2 3" xfId="17063" xr:uid="{00000000-0005-0000-0000-00009B4E0000}"/>
    <cellStyle name="Normal 5 4 2 2 6 2 2 4" xfId="33932" xr:uid="{913D8D28-9622-4B12-B3A2-476DB7AB051A}"/>
    <cellStyle name="Normal 5 4 2 2 6 2 3" xfId="21280" xr:uid="{00000000-0005-0000-0000-00009C4E0000}"/>
    <cellStyle name="Normal 5 4 2 2 6 2 3 2" xfId="38149" xr:uid="{381DF9A3-E696-4A5F-B1E6-26D289828A60}"/>
    <cellStyle name="Normal 5 4 2 2 6 2 4" xfId="12845" xr:uid="{00000000-0005-0000-0000-00009D4E0000}"/>
    <cellStyle name="Normal 5 4 2 2 6 2 5" xfId="29715" xr:uid="{EA27CEA9-7158-4AE9-8A45-39DC821A906B}"/>
    <cellStyle name="Normal 5 4 2 2 6 3" xfId="6483" xr:uid="{00000000-0005-0000-0000-00009E4E0000}"/>
    <cellStyle name="Normal 5 4 2 2 6 3 2" xfId="23353" xr:uid="{00000000-0005-0000-0000-00009F4E0000}"/>
    <cellStyle name="Normal 5 4 2 2 6 3 2 2" xfId="40221" xr:uid="{85F32873-D851-41DB-9016-57A1D90E93D2}"/>
    <cellStyle name="Normal 5 4 2 2 6 3 3" xfId="14918" xr:uid="{00000000-0005-0000-0000-0000A04E0000}"/>
    <cellStyle name="Normal 5 4 2 2 6 3 4" xfId="31787" xr:uid="{07547491-7F5A-4E9C-8C54-5A046FFF85E5}"/>
    <cellStyle name="Normal 5 4 2 2 6 4" xfId="19135" xr:uid="{00000000-0005-0000-0000-0000A14E0000}"/>
    <cellStyle name="Normal 5 4 2 2 6 4 2" xfId="36004" xr:uid="{7A19D750-1E25-45DD-BF77-08DF8413D862}"/>
    <cellStyle name="Normal 5 4 2 2 6 5" xfId="10700" xr:uid="{00000000-0005-0000-0000-0000A24E0000}"/>
    <cellStyle name="Normal 5 4 2 2 6 6" xfId="27570" xr:uid="{38AFA9BD-7541-46D3-A604-11C072BE1BAA}"/>
    <cellStyle name="Normal 5 4 2 2 7" xfId="2612" xr:uid="{00000000-0005-0000-0000-0000A34E0000}"/>
    <cellStyle name="Normal 5 4 2 2 7 2" xfId="6896" xr:uid="{00000000-0005-0000-0000-0000A44E0000}"/>
    <cellStyle name="Normal 5 4 2 2 7 2 2" xfId="23766" xr:uid="{00000000-0005-0000-0000-0000A54E0000}"/>
    <cellStyle name="Normal 5 4 2 2 7 2 2 2" xfId="40634" xr:uid="{02566D4F-3102-4FC5-B446-C93BE1881A5F}"/>
    <cellStyle name="Normal 5 4 2 2 7 2 3" xfId="15331" xr:uid="{00000000-0005-0000-0000-0000A64E0000}"/>
    <cellStyle name="Normal 5 4 2 2 7 2 4" xfId="32200" xr:uid="{A6EB825C-8B33-46E8-A04D-B493E2F71073}"/>
    <cellStyle name="Normal 5 4 2 2 7 3" xfId="19548" xr:uid="{00000000-0005-0000-0000-0000A74E0000}"/>
    <cellStyle name="Normal 5 4 2 2 7 3 2" xfId="36417" xr:uid="{EC29B08F-9FFA-4AE5-A720-B3889B61379D}"/>
    <cellStyle name="Normal 5 4 2 2 7 4" xfId="11113" xr:uid="{00000000-0005-0000-0000-0000A84E0000}"/>
    <cellStyle name="Normal 5 4 2 2 7 5" xfId="27983" xr:uid="{A054E78A-A506-4E8A-B827-7F3DAB6B652B}"/>
    <cellStyle name="Normal 5 4 2 2 8" xfId="4831" xr:uid="{00000000-0005-0000-0000-0000A94E0000}"/>
    <cellStyle name="Normal 5 4 2 2 8 2" xfId="21701" xr:uid="{00000000-0005-0000-0000-0000AA4E0000}"/>
    <cellStyle name="Normal 5 4 2 2 8 2 2" xfId="38569" xr:uid="{2E17081B-4E98-4BD9-9E2C-3BBC605F47B0}"/>
    <cellStyle name="Normal 5 4 2 2 8 3" xfId="13266" xr:uid="{00000000-0005-0000-0000-0000AB4E0000}"/>
    <cellStyle name="Normal 5 4 2 2 8 4" xfId="30135" xr:uid="{DCC2A599-AC7E-4636-8FE0-B92436DA59E9}"/>
    <cellStyle name="Normal 5 4 2 2 9" xfId="17483" xr:uid="{00000000-0005-0000-0000-0000AC4E0000}"/>
    <cellStyle name="Normal 5 4 2 2 9 2" xfId="34352" xr:uid="{379393A8-4683-4721-8A59-3A6430C7137E}"/>
    <cellStyle name="Normal 5 4 2 3" xfId="460" xr:uid="{00000000-0005-0000-0000-0000AD4E0000}"/>
    <cellStyle name="Normal 5 4 2 3 10" xfId="25920" xr:uid="{4BBBFCC6-CAD6-43DD-8D6A-77F393883D31}"/>
    <cellStyle name="Normal 5 4 2 3 2" xfId="934" xr:uid="{00000000-0005-0000-0000-0000AE4E0000}"/>
    <cellStyle name="Normal 5 4 2 3 2 2" xfId="3168" xr:uid="{00000000-0005-0000-0000-0000AF4E0000}"/>
    <cellStyle name="Normal 5 4 2 3 2 2 2" xfId="7391" xr:uid="{00000000-0005-0000-0000-0000B04E0000}"/>
    <cellStyle name="Normal 5 4 2 3 2 2 2 2" xfId="24261" xr:uid="{00000000-0005-0000-0000-0000B14E0000}"/>
    <cellStyle name="Normal 5 4 2 3 2 2 2 2 2" xfId="41129" xr:uid="{DE8FAF83-1293-4E45-9FFA-C01C69DFCF1A}"/>
    <cellStyle name="Normal 5 4 2 3 2 2 2 3" xfId="15826" xr:uid="{00000000-0005-0000-0000-0000B24E0000}"/>
    <cellStyle name="Normal 5 4 2 3 2 2 2 4" xfId="32695" xr:uid="{59465871-2734-48AA-B24A-598A031B1827}"/>
    <cellStyle name="Normal 5 4 2 3 2 2 3" xfId="20043" xr:uid="{00000000-0005-0000-0000-0000B34E0000}"/>
    <cellStyle name="Normal 5 4 2 3 2 2 3 2" xfId="36912" xr:uid="{DEFEFBAA-5357-4AF1-BD97-A7E1755B7595}"/>
    <cellStyle name="Normal 5 4 2 3 2 2 4" xfId="11608" xr:uid="{00000000-0005-0000-0000-0000B44E0000}"/>
    <cellStyle name="Normal 5 4 2 3 2 2 5" xfId="28478" xr:uid="{234012C6-0372-4781-9F15-7FBFA7BF9BDC}"/>
    <cellStyle name="Normal 5 4 2 3 2 3" xfId="5246" xr:uid="{00000000-0005-0000-0000-0000B54E0000}"/>
    <cellStyle name="Normal 5 4 2 3 2 3 2" xfId="22116" xr:uid="{00000000-0005-0000-0000-0000B64E0000}"/>
    <cellStyle name="Normal 5 4 2 3 2 3 2 2" xfId="38984" xr:uid="{900418E4-7D61-4F88-A324-A6FA9F5A26D1}"/>
    <cellStyle name="Normal 5 4 2 3 2 3 3" xfId="13681" xr:uid="{00000000-0005-0000-0000-0000B74E0000}"/>
    <cellStyle name="Normal 5 4 2 3 2 3 4" xfId="30550" xr:uid="{5C68192B-65BD-470C-8354-05B7E75AC1AD}"/>
    <cellStyle name="Normal 5 4 2 3 2 4" xfId="17898" xr:uid="{00000000-0005-0000-0000-0000B84E0000}"/>
    <cellStyle name="Normal 5 4 2 3 2 4 2" xfId="34767" xr:uid="{CC174BDF-3BBD-471B-AD6E-CA5E9FC353FF}"/>
    <cellStyle name="Normal 5 4 2 3 2 5" xfId="9463" xr:uid="{00000000-0005-0000-0000-0000B94E0000}"/>
    <cellStyle name="Normal 5 4 2 3 2 6" xfId="26333" xr:uid="{4B4343AE-0E72-4EF5-8EA2-86CDABDBB16C}"/>
    <cellStyle name="Normal 5 4 2 3 3" xfId="1351" xr:uid="{00000000-0005-0000-0000-0000BA4E0000}"/>
    <cellStyle name="Normal 5 4 2 3 3 2" xfId="3581" xr:uid="{00000000-0005-0000-0000-0000BB4E0000}"/>
    <cellStyle name="Normal 5 4 2 3 3 2 2" xfId="7804" xr:uid="{00000000-0005-0000-0000-0000BC4E0000}"/>
    <cellStyle name="Normal 5 4 2 3 3 2 2 2" xfId="24674" xr:uid="{00000000-0005-0000-0000-0000BD4E0000}"/>
    <cellStyle name="Normal 5 4 2 3 3 2 2 2 2" xfId="41542" xr:uid="{1230CF8F-89CD-4B0D-8BBD-3EF1B74892A5}"/>
    <cellStyle name="Normal 5 4 2 3 3 2 2 3" xfId="16239" xr:uid="{00000000-0005-0000-0000-0000BE4E0000}"/>
    <cellStyle name="Normal 5 4 2 3 3 2 2 4" xfId="33108" xr:uid="{8CAFECC4-7DE2-453B-B3EA-F15B21AF7943}"/>
    <cellStyle name="Normal 5 4 2 3 3 2 3" xfId="20456" xr:uid="{00000000-0005-0000-0000-0000BF4E0000}"/>
    <cellStyle name="Normal 5 4 2 3 3 2 3 2" xfId="37325" xr:uid="{F643576E-D868-4B99-A7BB-DE34E5A55018}"/>
    <cellStyle name="Normal 5 4 2 3 3 2 4" xfId="12021" xr:uid="{00000000-0005-0000-0000-0000C04E0000}"/>
    <cellStyle name="Normal 5 4 2 3 3 2 5" xfId="28891" xr:uid="{AA89204D-2A42-48F4-BED2-1EE27879B130}"/>
    <cellStyle name="Normal 5 4 2 3 3 3" xfId="5659" xr:uid="{00000000-0005-0000-0000-0000C14E0000}"/>
    <cellStyle name="Normal 5 4 2 3 3 3 2" xfId="22529" xr:uid="{00000000-0005-0000-0000-0000C24E0000}"/>
    <cellStyle name="Normal 5 4 2 3 3 3 2 2" xfId="39397" xr:uid="{CDCDE7D3-82F0-4052-9E77-DFE8B9F81513}"/>
    <cellStyle name="Normal 5 4 2 3 3 3 3" xfId="14094" xr:uid="{00000000-0005-0000-0000-0000C34E0000}"/>
    <cellStyle name="Normal 5 4 2 3 3 3 4" xfId="30963" xr:uid="{CC155CF4-1A57-42B4-8E1C-ADE0A2E29B0E}"/>
    <cellStyle name="Normal 5 4 2 3 3 4" xfId="18311" xr:uid="{00000000-0005-0000-0000-0000C44E0000}"/>
    <cellStyle name="Normal 5 4 2 3 3 4 2" xfId="35180" xr:uid="{5EEC3D07-044F-485E-A3E0-3E90A0B8C00F}"/>
    <cellStyle name="Normal 5 4 2 3 3 5" xfId="9876" xr:uid="{00000000-0005-0000-0000-0000C54E0000}"/>
    <cellStyle name="Normal 5 4 2 3 3 6" xfId="26746" xr:uid="{3EA7B909-F8B4-4B1C-A528-B3C22FD2D322}"/>
    <cellStyle name="Normal 5 4 2 3 4" xfId="1764" xr:uid="{00000000-0005-0000-0000-0000C64E0000}"/>
    <cellStyle name="Normal 5 4 2 3 4 2" xfId="3994" xr:uid="{00000000-0005-0000-0000-0000C74E0000}"/>
    <cellStyle name="Normal 5 4 2 3 4 2 2" xfId="8217" xr:uid="{00000000-0005-0000-0000-0000C84E0000}"/>
    <cellStyle name="Normal 5 4 2 3 4 2 2 2" xfId="25087" xr:uid="{00000000-0005-0000-0000-0000C94E0000}"/>
    <cellStyle name="Normal 5 4 2 3 4 2 2 2 2" xfId="41955" xr:uid="{3A9D8D2B-D10B-4245-B298-7F91A9EBE03E}"/>
    <cellStyle name="Normal 5 4 2 3 4 2 2 3" xfId="16652" xr:uid="{00000000-0005-0000-0000-0000CA4E0000}"/>
    <cellStyle name="Normal 5 4 2 3 4 2 2 4" xfId="33521" xr:uid="{915BDC32-0AB3-4F6A-BFFD-42A3D65BE294}"/>
    <cellStyle name="Normal 5 4 2 3 4 2 3" xfId="20869" xr:uid="{00000000-0005-0000-0000-0000CB4E0000}"/>
    <cellStyle name="Normal 5 4 2 3 4 2 3 2" xfId="37738" xr:uid="{26EF0B60-4AFD-4E0F-A74F-DC4CF552D994}"/>
    <cellStyle name="Normal 5 4 2 3 4 2 4" xfId="12434" xr:uid="{00000000-0005-0000-0000-0000CC4E0000}"/>
    <cellStyle name="Normal 5 4 2 3 4 2 5" xfId="29304" xr:uid="{4216B16E-4C3F-43CF-96D9-1FD67C8E3FBE}"/>
    <cellStyle name="Normal 5 4 2 3 4 3" xfId="6072" xr:uid="{00000000-0005-0000-0000-0000CD4E0000}"/>
    <cellStyle name="Normal 5 4 2 3 4 3 2" xfId="22942" xr:uid="{00000000-0005-0000-0000-0000CE4E0000}"/>
    <cellStyle name="Normal 5 4 2 3 4 3 2 2" xfId="39810" xr:uid="{E34090E3-0547-4445-A23B-92E8A68875A6}"/>
    <cellStyle name="Normal 5 4 2 3 4 3 3" xfId="14507" xr:uid="{00000000-0005-0000-0000-0000CF4E0000}"/>
    <cellStyle name="Normal 5 4 2 3 4 3 4" xfId="31376" xr:uid="{574ACBE6-F42A-4765-865D-8F041E7D5B49}"/>
    <cellStyle name="Normal 5 4 2 3 4 4" xfId="18724" xr:uid="{00000000-0005-0000-0000-0000D04E0000}"/>
    <cellStyle name="Normal 5 4 2 3 4 4 2" xfId="35593" xr:uid="{C2F993A5-3F32-4E77-B0E2-20871C534D9A}"/>
    <cellStyle name="Normal 5 4 2 3 4 5" xfId="10289" xr:uid="{00000000-0005-0000-0000-0000D14E0000}"/>
    <cellStyle name="Normal 5 4 2 3 4 6" xfId="27159" xr:uid="{E0991C1C-DD37-423C-9DE9-D94AB241A13B}"/>
    <cellStyle name="Normal 5 4 2 3 5" xfId="2178" xr:uid="{00000000-0005-0000-0000-0000D24E0000}"/>
    <cellStyle name="Normal 5 4 2 3 5 2" xfId="4407" xr:uid="{00000000-0005-0000-0000-0000D34E0000}"/>
    <cellStyle name="Normal 5 4 2 3 5 2 2" xfId="8630" xr:uid="{00000000-0005-0000-0000-0000D44E0000}"/>
    <cellStyle name="Normal 5 4 2 3 5 2 2 2" xfId="25500" xr:uid="{00000000-0005-0000-0000-0000D54E0000}"/>
    <cellStyle name="Normal 5 4 2 3 5 2 2 2 2" xfId="42368" xr:uid="{97788F73-4D7D-4FE5-8651-978A3B293273}"/>
    <cellStyle name="Normal 5 4 2 3 5 2 2 3" xfId="17065" xr:uid="{00000000-0005-0000-0000-0000D64E0000}"/>
    <cellStyle name="Normal 5 4 2 3 5 2 2 4" xfId="33934" xr:uid="{9CCD341F-87F9-4C4F-ABA8-7C0227BA1145}"/>
    <cellStyle name="Normal 5 4 2 3 5 2 3" xfId="21282" xr:uid="{00000000-0005-0000-0000-0000D74E0000}"/>
    <cellStyle name="Normal 5 4 2 3 5 2 3 2" xfId="38151" xr:uid="{F8037674-7499-4A1A-AF20-06F7D314984A}"/>
    <cellStyle name="Normal 5 4 2 3 5 2 4" xfId="12847" xr:uid="{00000000-0005-0000-0000-0000D84E0000}"/>
    <cellStyle name="Normal 5 4 2 3 5 2 5" xfId="29717" xr:uid="{65209459-B3C8-4EC4-BFAB-66C1B79A4315}"/>
    <cellStyle name="Normal 5 4 2 3 5 3" xfId="6485" xr:uid="{00000000-0005-0000-0000-0000D94E0000}"/>
    <cellStyle name="Normal 5 4 2 3 5 3 2" xfId="23355" xr:uid="{00000000-0005-0000-0000-0000DA4E0000}"/>
    <cellStyle name="Normal 5 4 2 3 5 3 2 2" xfId="40223" xr:uid="{1646EDA6-71FC-4387-B94B-22E07419DC76}"/>
    <cellStyle name="Normal 5 4 2 3 5 3 3" xfId="14920" xr:uid="{00000000-0005-0000-0000-0000DB4E0000}"/>
    <cellStyle name="Normal 5 4 2 3 5 3 4" xfId="31789" xr:uid="{A84B8C19-E90A-462C-81C6-6F0B76BCD633}"/>
    <cellStyle name="Normal 5 4 2 3 5 4" xfId="19137" xr:uid="{00000000-0005-0000-0000-0000DC4E0000}"/>
    <cellStyle name="Normal 5 4 2 3 5 4 2" xfId="36006" xr:uid="{4B84E29A-3F10-4C15-A435-5EAC11D96F79}"/>
    <cellStyle name="Normal 5 4 2 3 5 5" xfId="10702" xr:uid="{00000000-0005-0000-0000-0000DD4E0000}"/>
    <cellStyle name="Normal 5 4 2 3 5 6" xfId="27572" xr:uid="{5A2D8EE1-1D1F-4B4B-AC8E-B0C7C38FBC84}"/>
    <cellStyle name="Normal 5 4 2 3 6" xfId="2614" xr:uid="{00000000-0005-0000-0000-0000DE4E0000}"/>
    <cellStyle name="Normal 5 4 2 3 6 2" xfId="6898" xr:uid="{00000000-0005-0000-0000-0000DF4E0000}"/>
    <cellStyle name="Normal 5 4 2 3 6 2 2" xfId="23768" xr:uid="{00000000-0005-0000-0000-0000E04E0000}"/>
    <cellStyle name="Normal 5 4 2 3 6 2 2 2" xfId="40636" xr:uid="{DA48EA72-9F72-45C0-B23F-9A6AE6035F62}"/>
    <cellStyle name="Normal 5 4 2 3 6 2 3" xfId="15333" xr:uid="{00000000-0005-0000-0000-0000E14E0000}"/>
    <cellStyle name="Normal 5 4 2 3 6 2 4" xfId="32202" xr:uid="{16E3A497-5007-4439-BD33-AC7FE6F4C4D8}"/>
    <cellStyle name="Normal 5 4 2 3 6 3" xfId="19550" xr:uid="{00000000-0005-0000-0000-0000E24E0000}"/>
    <cellStyle name="Normal 5 4 2 3 6 3 2" xfId="36419" xr:uid="{4D734B4C-6C84-4341-A7ED-7FBD767BFD1D}"/>
    <cellStyle name="Normal 5 4 2 3 6 4" xfId="11115" xr:uid="{00000000-0005-0000-0000-0000E34E0000}"/>
    <cellStyle name="Normal 5 4 2 3 6 5" xfId="27985" xr:uid="{DC5C24A0-8372-4845-8503-5EA5EEA59252}"/>
    <cellStyle name="Normal 5 4 2 3 7" xfId="4833" xr:uid="{00000000-0005-0000-0000-0000E44E0000}"/>
    <cellStyle name="Normal 5 4 2 3 7 2" xfId="21703" xr:uid="{00000000-0005-0000-0000-0000E54E0000}"/>
    <cellStyle name="Normal 5 4 2 3 7 2 2" xfId="38571" xr:uid="{86EDBCA7-8709-4ADC-8558-68EF47991FA2}"/>
    <cellStyle name="Normal 5 4 2 3 7 3" xfId="13268" xr:uid="{00000000-0005-0000-0000-0000E64E0000}"/>
    <cellStyle name="Normal 5 4 2 3 7 4" xfId="30137" xr:uid="{1850ECA2-FD0A-4EC7-A8FA-A792AB3AA9FC}"/>
    <cellStyle name="Normal 5 4 2 3 8" xfId="17485" xr:uid="{00000000-0005-0000-0000-0000E74E0000}"/>
    <cellStyle name="Normal 5 4 2 3 8 2" xfId="34354" xr:uid="{3CB24505-0CED-496C-9A58-6F8F5C02AEE9}"/>
    <cellStyle name="Normal 5 4 2 3 9" xfId="9050" xr:uid="{00000000-0005-0000-0000-0000E84E0000}"/>
    <cellStyle name="Normal 5 4 2 4" xfId="931" xr:uid="{00000000-0005-0000-0000-0000E94E0000}"/>
    <cellStyle name="Normal 5 4 2 4 2" xfId="3165" xr:uid="{00000000-0005-0000-0000-0000EA4E0000}"/>
    <cellStyle name="Normal 5 4 2 4 2 2" xfId="7388" xr:uid="{00000000-0005-0000-0000-0000EB4E0000}"/>
    <cellStyle name="Normal 5 4 2 4 2 2 2" xfId="24258" xr:uid="{00000000-0005-0000-0000-0000EC4E0000}"/>
    <cellStyle name="Normal 5 4 2 4 2 2 2 2" xfId="41126" xr:uid="{170E4816-5ECA-454B-9B3B-C289ACEBC097}"/>
    <cellStyle name="Normal 5 4 2 4 2 2 3" xfId="15823" xr:uid="{00000000-0005-0000-0000-0000ED4E0000}"/>
    <cellStyle name="Normal 5 4 2 4 2 2 4" xfId="32692" xr:uid="{4D533D13-C015-4FCD-8CB5-B977B27EA475}"/>
    <cellStyle name="Normal 5 4 2 4 2 3" xfId="20040" xr:uid="{00000000-0005-0000-0000-0000EE4E0000}"/>
    <cellStyle name="Normal 5 4 2 4 2 3 2" xfId="36909" xr:uid="{12D19CE9-45B7-4A22-A1DA-2C1036448AD7}"/>
    <cellStyle name="Normal 5 4 2 4 2 4" xfId="11605" xr:uid="{00000000-0005-0000-0000-0000EF4E0000}"/>
    <cellStyle name="Normal 5 4 2 4 2 5" xfId="28475" xr:uid="{C06FB672-471B-4F79-A2B6-734B171D0CAC}"/>
    <cellStyle name="Normal 5 4 2 4 3" xfId="5243" xr:uid="{00000000-0005-0000-0000-0000F04E0000}"/>
    <cellStyle name="Normal 5 4 2 4 3 2" xfId="22113" xr:uid="{00000000-0005-0000-0000-0000F14E0000}"/>
    <cellStyle name="Normal 5 4 2 4 3 2 2" xfId="38981" xr:uid="{557DB314-6AE5-4F13-907C-EEFC8103B2E5}"/>
    <cellStyle name="Normal 5 4 2 4 3 3" xfId="13678" xr:uid="{00000000-0005-0000-0000-0000F24E0000}"/>
    <cellStyle name="Normal 5 4 2 4 3 4" xfId="30547" xr:uid="{7352985A-A612-4F61-A820-EFE19F00E9D8}"/>
    <cellStyle name="Normal 5 4 2 4 4" xfId="17895" xr:uid="{00000000-0005-0000-0000-0000F34E0000}"/>
    <cellStyle name="Normal 5 4 2 4 4 2" xfId="34764" xr:uid="{9780F654-0FFD-4E7A-9C77-F509D976316D}"/>
    <cellStyle name="Normal 5 4 2 4 5" xfId="9460" xr:uid="{00000000-0005-0000-0000-0000F44E0000}"/>
    <cellStyle name="Normal 5 4 2 4 6" xfId="26330" xr:uid="{9C8AC22D-9BA7-458F-AA8F-7CA86E6505C1}"/>
    <cellStyle name="Normal 5 4 2 5" xfId="1348" xr:uid="{00000000-0005-0000-0000-0000F54E0000}"/>
    <cellStyle name="Normal 5 4 2 5 2" xfId="3578" xr:uid="{00000000-0005-0000-0000-0000F64E0000}"/>
    <cellStyle name="Normal 5 4 2 5 2 2" xfId="7801" xr:uid="{00000000-0005-0000-0000-0000F74E0000}"/>
    <cellStyle name="Normal 5 4 2 5 2 2 2" xfId="24671" xr:uid="{00000000-0005-0000-0000-0000F84E0000}"/>
    <cellStyle name="Normal 5 4 2 5 2 2 2 2" xfId="41539" xr:uid="{4B6B5243-3A0C-4330-A99A-386AF5E04B65}"/>
    <cellStyle name="Normal 5 4 2 5 2 2 3" xfId="16236" xr:uid="{00000000-0005-0000-0000-0000F94E0000}"/>
    <cellStyle name="Normal 5 4 2 5 2 2 4" xfId="33105" xr:uid="{EF154D61-36BF-4191-9A36-91918F4CC4A4}"/>
    <cellStyle name="Normal 5 4 2 5 2 3" xfId="20453" xr:uid="{00000000-0005-0000-0000-0000FA4E0000}"/>
    <cellStyle name="Normal 5 4 2 5 2 3 2" xfId="37322" xr:uid="{720B65EA-635E-40C2-A763-9A409D7F4FA3}"/>
    <cellStyle name="Normal 5 4 2 5 2 4" xfId="12018" xr:uid="{00000000-0005-0000-0000-0000FB4E0000}"/>
    <cellStyle name="Normal 5 4 2 5 2 5" xfId="28888" xr:uid="{098F10D6-EDDE-43CB-ABE3-8114362804E7}"/>
    <cellStyle name="Normal 5 4 2 5 3" xfId="5656" xr:uid="{00000000-0005-0000-0000-0000FC4E0000}"/>
    <cellStyle name="Normal 5 4 2 5 3 2" xfId="22526" xr:uid="{00000000-0005-0000-0000-0000FD4E0000}"/>
    <cellStyle name="Normal 5 4 2 5 3 2 2" xfId="39394" xr:uid="{46B97660-CFD0-41F8-9FF5-2B2991E62A0B}"/>
    <cellStyle name="Normal 5 4 2 5 3 3" xfId="14091" xr:uid="{00000000-0005-0000-0000-0000FE4E0000}"/>
    <cellStyle name="Normal 5 4 2 5 3 4" xfId="30960" xr:uid="{B525A2FC-73EE-4810-81DD-8F78DA1B7A7F}"/>
    <cellStyle name="Normal 5 4 2 5 4" xfId="18308" xr:uid="{00000000-0005-0000-0000-0000FF4E0000}"/>
    <cellStyle name="Normal 5 4 2 5 4 2" xfId="35177" xr:uid="{3D9F7888-7CD4-41F0-9F10-511CCFFB3807}"/>
    <cellStyle name="Normal 5 4 2 5 5" xfId="9873" xr:uid="{00000000-0005-0000-0000-0000004F0000}"/>
    <cellStyle name="Normal 5 4 2 5 6" xfId="26743" xr:uid="{CEAAECBC-D59B-44B5-B749-60019D8ACC8F}"/>
    <cellStyle name="Normal 5 4 2 6" xfId="1761" xr:uid="{00000000-0005-0000-0000-0000014F0000}"/>
    <cellStyle name="Normal 5 4 2 6 2" xfId="3991" xr:uid="{00000000-0005-0000-0000-0000024F0000}"/>
    <cellStyle name="Normal 5 4 2 6 2 2" xfId="8214" xr:uid="{00000000-0005-0000-0000-0000034F0000}"/>
    <cellStyle name="Normal 5 4 2 6 2 2 2" xfId="25084" xr:uid="{00000000-0005-0000-0000-0000044F0000}"/>
    <cellStyle name="Normal 5 4 2 6 2 2 2 2" xfId="41952" xr:uid="{C70428D3-E850-49D4-ADDF-3C9B6AAA81CC}"/>
    <cellStyle name="Normal 5 4 2 6 2 2 3" xfId="16649" xr:uid="{00000000-0005-0000-0000-0000054F0000}"/>
    <cellStyle name="Normal 5 4 2 6 2 2 4" xfId="33518" xr:uid="{18A9A4E1-24C3-45E0-B6F8-BAA8DA11129A}"/>
    <cellStyle name="Normal 5 4 2 6 2 3" xfId="20866" xr:uid="{00000000-0005-0000-0000-0000064F0000}"/>
    <cellStyle name="Normal 5 4 2 6 2 3 2" xfId="37735" xr:uid="{E1B8F67E-280E-4855-B44D-9463572ADA9A}"/>
    <cellStyle name="Normal 5 4 2 6 2 4" xfId="12431" xr:uid="{00000000-0005-0000-0000-0000074F0000}"/>
    <cellStyle name="Normal 5 4 2 6 2 5" xfId="29301" xr:uid="{09EE7316-40CA-4717-9063-8A080F5B3A63}"/>
    <cellStyle name="Normal 5 4 2 6 3" xfId="6069" xr:uid="{00000000-0005-0000-0000-0000084F0000}"/>
    <cellStyle name="Normal 5 4 2 6 3 2" xfId="22939" xr:uid="{00000000-0005-0000-0000-0000094F0000}"/>
    <cellStyle name="Normal 5 4 2 6 3 2 2" xfId="39807" xr:uid="{5618D539-B6A3-4CBC-BE4F-2DF971DBC13F}"/>
    <cellStyle name="Normal 5 4 2 6 3 3" xfId="14504" xr:uid="{00000000-0005-0000-0000-00000A4F0000}"/>
    <cellStyle name="Normal 5 4 2 6 3 4" xfId="31373" xr:uid="{328E2729-1075-4237-80B3-F84AFA1390E9}"/>
    <cellStyle name="Normal 5 4 2 6 4" xfId="18721" xr:uid="{00000000-0005-0000-0000-00000B4F0000}"/>
    <cellStyle name="Normal 5 4 2 6 4 2" xfId="35590" xr:uid="{B2089F61-96E1-4BA2-AEFD-3C43886D6AD7}"/>
    <cellStyle name="Normal 5 4 2 6 5" xfId="10286" xr:uid="{00000000-0005-0000-0000-00000C4F0000}"/>
    <cellStyle name="Normal 5 4 2 6 6" xfId="27156" xr:uid="{45E2BBE8-457C-44A3-AD0E-10276EA1F3C9}"/>
    <cellStyle name="Normal 5 4 2 7" xfId="2175" xr:uid="{00000000-0005-0000-0000-00000D4F0000}"/>
    <cellStyle name="Normal 5 4 2 7 2" xfId="4404" xr:uid="{00000000-0005-0000-0000-00000E4F0000}"/>
    <cellStyle name="Normal 5 4 2 7 2 2" xfId="8627" xr:uid="{00000000-0005-0000-0000-00000F4F0000}"/>
    <cellStyle name="Normal 5 4 2 7 2 2 2" xfId="25497" xr:uid="{00000000-0005-0000-0000-0000104F0000}"/>
    <cellStyle name="Normal 5 4 2 7 2 2 2 2" xfId="42365" xr:uid="{1AF9F786-8263-40CE-9C2F-35D8AB847114}"/>
    <cellStyle name="Normal 5 4 2 7 2 2 3" xfId="17062" xr:uid="{00000000-0005-0000-0000-0000114F0000}"/>
    <cellStyle name="Normal 5 4 2 7 2 2 4" xfId="33931" xr:uid="{214C5081-9A65-4319-832F-9BB80E8E00F2}"/>
    <cellStyle name="Normal 5 4 2 7 2 3" xfId="21279" xr:uid="{00000000-0005-0000-0000-0000124F0000}"/>
    <cellStyle name="Normal 5 4 2 7 2 3 2" xfId="38148" xr:uid="{00BBE183-8556-42FA-BA79-8F90EB680CFF}"/>
    <cellStyle name="Normal 5 4 2 7 2 4" xfId="12844" xr:uid="{00000000-0005-0000-0000-0000134F0000}"/>
    <cellStyle name="Normal 5 4 2 7 2 5" xfId="29714" xr:uid="{99715332-E314-4013-A294-B4AFD09C95C2}"/>
    <cellStyle name="Normal 5 4 2 7 3" xfId="6482" xr:uid="{00000000-0005-0000-0000-0000144F0000}"/>
    <cellStyle name="Normal 5 4 2 7 3 2" xfId="23352" xr:uid="{00000000-0005-0000-0000-0000154F0000}"/>
    <cellStyle name="Normal 5 4 2 7 3 2 2" xfId="40220" xr:uid="{19B29206-30D4-4C21-B517-6E8A4F598F27}"/>
    <cellStyle name="Normal 5 4 2 7 3 3" xfId="14917" xr:uid="{00000000-0005-0000-0000-0000164F0000}"/>
    <cellStyle name="Normal 5 4 2 7 3 4" xfId="31786" xr:uid="{AE3854E0-02F7-4BB9-9E02-8E0A86BF8C7E}"/>
    <cellStyle name="Normal 5 4 2 7 4" xfId="19134" xr:uid="{00000000-0005-0000-0000-0000174F0000}"/>
    <cellStyle name="Normal 5 4 2 7 4 2" xfId="36003" xr:uid="{975E8A26-AE12-4365-906F-0EC03388BD9E}"/>
    <cellStyle name="Normal 5 4 2 7 5" xfId="10699" xr:uid="{00000000-0005-0000-0000-0000184F0000}"/>
    <cellStyle name="Normal 5 4 2 7 6" xfId="27569" xr:uid="{74361412-6649-4F7C-B10F-6D701BF70240}"/>
    <cellStyle name="Normal 5 4 2 8" xfId="2611" xr:uid="{00000000-0005-0000-0000-0000194F0000}"/>
    <cellStyle name="Normal 5 4 2 8 2" xfId="6895" xr:uid="{00000000-0005-0000-0000-00001A4F0000}"/>
    <cellStyle name="Normal 5 4 2 8 2 2" xfId="23765" xr:uid="{00000000-0005-0000-0000-00001B4F0000}"/>
    <cellStyle name="Normal 5 4 2 8 2 2 2" xfId="40633" xr:uid="{0632DC59-C3BB-413E-A723-DC02EF752321}"/>
    <cellStyle name="Normal 5 4 2 8 2 3" xfId="15330" xr:uid="{00000000-0005-0000-0000-00001C4F0000}"/>
    <cellStyle name="Normal 5 4 2 8 2 4" xfId="32199" xr:uid="{917BBB1F-C746-44A3-A526-780E88DA3FA9}"/>
    <cellStyle name="Normal 5 4 2 8 3" xfId="19547" xr:uid="{00000000-0005-0000-0000-00001D4F0000}"/>
    <cellStyle name="Normal 5 4 2 8 3 2" xfId="36416" xr:uid="{0AA368E9-5497-4FAE-80EA-30E020598445}"/>
    <cellStyle name="Normal 5 4 2 8 4" xfId="11112" xr:uid="{00000000-0005-0000-0000-00001E4F0000}"/>
    <cellStyle name="Normal 5 4 2 8 5" xfId="27982" xr:uid="{8D90F04F-B79A-46AD-8265-E71B6F954A49}"/>
    <cellStyle name="Normal 5 4 2 9" xfId="4830" xr:uid="{00000000-0005-0000-0000-00001F4F0000}"/>
    <cellStyle name="Normal 5 4 2 9 2" xfId="21700" xr:uid="{00000000-0005-0000-0000-0000204F0000}"/>
    <cellStyle name="Normal 5 4 2 9 2 2" xfId="38568" xr:uid="{87A5B6A9-D80F-494A-8DF7-E391051318CA}"/>
    <cellStyle name="Normal 5 4 2 9 3" xfId="13265" xr:uid="{00000000-0005-0000-0000-0000214F0000}"/>
    <cellStyle name="Normal 5 4 2 9 4" xfId="30134" xr:uid="{A4F00ABF-1BFC-4BBA-8760-15A1A1FC9CB4}"/>
    <cellStyle name="Normal 5 4 3" xfId="461" xr:uid="{00000000-0005-0000-0000-0000224F0000}"/>
    <cellStyle name="Normal 5 4 3 10" xfId="9051" xr:uid="{00000000-0005-0000-0000-0000234F0000}"/>
    <cellStyle name="Normal 5 4 3 11" xfId="25921" xr:uid="{1F92ADF3-CE0E-4B0E-B2D2-0C7E97D24446}"/>
    <cellStyle name="Normal 5 4 3 2" xfId="462" xr:uid="{00000000-0005-0000-0000-0000244F0000}"/>
    <cellStyle name="Normal 5 4 3 2 10" xfId="25922" xr:uid="{8CAB6B9F-ACBF-405F-956E-4F7C934FC300}"/>
    <cellStyle name="Normal 5 4 3 2 2" xfId="936" xr:uid="{00000000-0005-0000-0000-0000254F0000}"/>
    <cellStyle name="Normal 5 4 3 2 2 2" xfId="3170" xr:uid="{00000000-0005-0000-0000-0000264F0000}"/>
    <cellStyle name="Normal 5 4 3 2 2 2 2" xfId="7393" xr:uid="{00000000-0005-0000-0000-0000274F0000}"/>
    <cellStyle name="Normal 5 4 3 2 2 2 2 2" xfId="24263" xr:uid="{00000000-0005-0000-0000-0000284F0000}"/>
    <cellStyle name="Normal 5 4 3 2 2 2 2 2 2" xfId="41131" xr:uid="{D78A703C-3636-4A71-8BA0-1BCE7081E561}"/>
    <cellStyle name="Normal 5 4 3 2 2 2 2 3" xfId="15828" xr:uid="{00000000-0005-0000-0000-0000294F0000}"/>
    <cellStyle name="Normal 5 4 3 2 2 2 2 4" xfId="32697" xr:uid="{2351B87A-F06A-41DF-959D-BA5F3B56ADD4}"/>
    <cellStyle name="Normal 5 4 3 2 2 2 3" xfId="20045" xr:uid="{00000000-0005-0000-0000-00002A4F0000}"/>
    <cellStyle name="Normal 5 4 3 2 2 2 3 2" xfId="36914" xr:uid="{1F2E1C11-468B-4CDD-8067-7596CD92D7A3}"/>
    <cellStyle name="Normal 5 4 3 2 2 2 4" xfId="11610" xr:uid="{00000000-0005-0000-0000-00002B4F0000}"/>
    <cellStyle name="Normal 5 4 3 2 2 2 5" xfId="28480" xr:uid="{A95B1292-12B9-4621-9244-30542956B9F9}"/>
    <cellStyle name="Normal 5 4 3 2 2 3" xfId="5248" xr:uid="{00000000-0005-0000-0000-00002C4F0000}"/>
    <cellStyle name="Normal 5 4 3 2 2 3 2" xfId="22118" xr:uid="{00000000-0005-0000-0000-00002D4F0000}"/>
    <cellStyle name="Normal 5 4 3 2 2 3 2 2" xfId="38986" xr:uid="{819EDBAF-DF01-49C6-A987-AF6705B9FFA8}"/>
    <cellStyle name="Normal 5 4 3 2 2 3 3" xfId="13683" xr:uid="{00000000-0005-0000-0000-00002E4F0000}"/>
    <cellStyle name="Normal 5 4 3 2 2 3 4" xfId="30552" xr:uid="{B478E808-3687-4992-B115-949A4F66092D}"/>
    <cellStyle name="Normal 5 4 3 2 2 4" xfId="17900" xr:uid="{00000000-0005-0000-0000-00002F4F0000}"/>
    <cellStyle name="Normal 5 4 3 2 2 4 2" xfId="34769" xr:uid="{C501DD2A-61A9-4883-A5A8-55C9043DA5B5}"/>
    <cellStyle name="Normal 5 4 3 2 2 5" xfId="9465" xr:uid="{00000000-0005-0000-0000-0000304F0000}"/>
    <cellStyle name="Normal 5 4 3 2 2 6" xfId="26335" xr:uid="{EF3DCA5B-2171-46ED-A738-B48F32B96226}"/>
    <cellStyle name="Normal 5 4 3 2 3" xfId="1353" xr:uid="{00000000-0005-0000-0000-0000314F0000}"/>
    <cellStyle name="Normal 5 4 3 2 3 2" xfId="3583" xr:uid="{00000000-0005-0000-0000-0000324F0000}"/>
    <cellStyle name="Normal 5 4 3 2 3 2 2" xfId="7806" xr:uid="{00000000-0005-0000-0000-0000334F0000}"/>
    <cellStyle name="Normal 5 4 3 2 3 2 2 2" xfId="24676" xr:uid="{00000000-0005-0000-0000-0000344F0000}"/>
    <cellStyle name="Normal 5 4 3 2 3 2 2 2 2" xfId="41544" xr:uid="{042F555F-9B1A-408E-89E9-3B9F2D1A1CF9}"/>
    <cellStyle name="Normal 5 4 3 2 3 2 2 3" xfId="16241" xr:uid="{00000000-0005-0000-0000-0000354F0000}"/>
    <cellStyle name="Normal 5 4 3 2 3 2 2 4" xfId="33110" xr:uid="{4B33AF7D-70E8-4B9E-8446-BEA50CD96E54}"/>
    <cellStyle name="Normal 5 4 3 2 3 2 3" xfId="20458" xr:uid="{00000000-0005-0000-0000-0000364F0000}"/>
    <cellStyle name="Normal 5 4 3 2 3 2 3 2" xfId="37327" xr:uid="{6ACF6E4D-8D86-45F4-8241-9B9F0B725305}"/>
    <cellStyle name="Normal 5 4 3 2 3 2 4" xfId="12023" xr:uid="{00000000-0005-0000-0000-0000374F0000}"/>
    <cellStyle name="Normal 5 4 3 2 3 2 5" xfId="28893" xr:uid="{6403F6F9-9192-4D30-B2CF-D0EC432ACE58}"/>
    <cellStyle name="Normal 5 4 3 2 3 3" xfId="5661" xr:uid="{00000000-0005-0000-0000-0000384F0000}"/>
    <cellStyle name="Normal 5 4 3 2 3 3 2" xfId="22531" xr:uid="{00000000-0005-0000-0000-0000394F0000}"/>
    <cellStyle name="Normal 5 4 3 2 3 3 2 2" xfId="39399" xr:uid="{883A99F7-EAAA-4854-BA50-E0E6A36FD476}"/>
    <cellStyle name="Normal 5 4 3 2 3 3 3" xfId="14096" xr:uid="{00000000-0005-0000-0000-00003A4F0000}"/>
    <cellStyle name="Normal 5 4 3 2 3 3 4" xfId="30965" xr:uid="{7463D796-0927-4C59-A74B-9B84BFB6D6BF}"/>
    <cellStyle name="Normal 5 4 3 2 3 4" xfId="18313" xr:uid="{00000000-0005-0000-0000-00003B4F0000}"/>
    <cellStyle name="Normal 5 4 3 2 3 4 2" xfId="35182" xr:uid="{5797F07E-1033-4728-903E-11B6FD2B2A5D}"/>
    <cellStyle name="Normal 5 4 3 2 3 5" xfId="9878" xr:uid="{00000000-0005-0000-0000-00003C4F0000}"/>
    <cellStyle name="Normal 5 4 3 2 3 6" xfId="26748" xr:uid="{234A7891-7470-4CFC-B7AA-B25BABD297DD}"/>
    <cellStyle name="Normal 5 4 3 2 4" xfId="1766" xr:uid="{00000000-0005-0000-0000-00003D4F0000}"/>
    <cellStyle name="Normal 5 4 3 2 4 2" xfId="3996" xr:uid="{00000000-0005-0000-0000-00003E4F0000}"/>
    <cellStyle name="Normal 5 4 3 2 4 2 2" xfId="8219" xr:uid="{00000000-0005-0000-0000-00003F4F0000}"/>
    <cellStyle name="Normal 5 4 3 2 4 2 2 2" xfId="25089" xr:uid="{00000000-0005-0000-0000-0000404F0000}"/>
    <cellStyle name="Normal 5 4 3 2 4 2 2 2 2" xfId="41957" xr:uid="{C4BDD9BA-CFE8-44A8-98E3-4B5E6286A9C6}"/>
    <cellStyle name="Normal 5 4 3 2 4 2 2 3" xfId="16654" xr:uid="{00000000-0005-0000-0000-0000414F0000}"/>
    <cellStyle name="Normal 5 4 3 2 4 2 2 4" xfId="33523" xr:uid="{1C4338C9-8B62-4B6E-B135-8385D7760381}"/>
    <cellStyle name="Normal 5 4 3 2 4 2 3" xfId="20871" xr:uid="{00000000-0005-0000-0000-0000424F0000}"/>
    <cellStyle name="Normal 5 4 3 2 4 2 3 2" xfId="37740" xr:uid="{C3A29374-4E75-4CC3-9927-6A1C5743C88D}"/>
    <cellStyle name="Normal 5 4 3 2 4 2 4" xfId="12436" xr:uid="{00000000-0005-0000-0000-0000434F0000}"/>
    <cellStyle name="Normal 5 4 3 2 4 2 5" xfId="29306" xr:uid="{AAE5E719-1EB4-49D8-B32D-1EE7AFF83147}"/>
    <cellStyle name="Normal 5 4 3 2 4 3" xfId="6074" xr:uid="{00000000-0005-0000-0000-0000444F0000}"/>
    <cellStyle name="Normal 5 4 3 2 4 3 2" xfId="22944" xr:uid="{00000000-0005-0000-0000-0000454F0000}"/>
    <cellStyle name="Normal 5 4 3 2 4 3 2 2" xfId="39812" xr:uid="{6DDE7DAF-DDE9-4548-A010-C5FC91003099}"/>
    <cellStyle name="Normal 5 4 3 2 4 3 3" xfId="14509" xr:uid="{00000000-0005-0000-0000-0000464F0000}"/>
    <cellStyle name="Normal 5 4 3 2 4 3 4" xfId="31378" xr:uid="{F13D5694-1A8B-48E4-9D6D-445F990AD900}"/>
    <cellStyle name="Normal 5 4 3 2 4 4" xfId="18726" xr:uid="{00000000-0005-0000-0000-0000474F0000}"/>
    <cellStyle name="Normal 5 4 3 2 4 4 2" xfId="35595" xr:uid="{AE637FB1-3E0C-431E-81FA-2D79FC34E2AA}"/>
    <cellStyle name="Normal 5 4 3 2 4 5" xfId="10291" xr:uid="{00000000-0005-0000-0000-0000484F0000}"/>
    <cellStyle name="Normal 5 4 3 2 4 6" xfId="27161" xr:uid="{10EE70EE-1261-4475-A5B0-82287DE54595}"/>
    <cellStyle name="Normal 5 4 3 2 5" xfId="2180" xr:uid="{00000000-0005-0000-0000-0000494F0000}"/>
    <cellStyle name="Normal 5 4 3 2 5 2" xfId="4409" xr:uid="{00000000-0005-0000-0000-00004A4F0000}"/>
    <cellStyle name="Normal 5 4 3 2 5 2 2" xfId="8632" xr:uid="{00000000-0005-0000-0000-00004B4F0000}"/>
    <cellStyle name="Normal 5 4 3 2 5 2 2 2" xfId="25502" xr:uid="{00000000-0005-0000-0000-00004C4F0000}"/>
    <cellStyle name="Normal 5 4 3 2 5 2 2 2 2" xfId="42370" xr:uid="{6B5DD6B2-0940-479D-91A7-E7EE2163AE86}"/>
    <cellStyle name="Normal 5 4 3 2 5 2 2 3" xfId="17067" xr:uid="{00000000-0005-0000-0000-00004D4F0000}"/>
    <cellStyle name="Normal 5 4 3 2 5 2 2 4" xfId="33936" xr:uid="{348D978C-0609-4AA8-A98C-67595428CF86}"/>
    <cellStyle name="Normal 5 4 3 2 5 2 3" xfId="21284" xr:uid="{00000000-0005-0000-0000-00004E4F0000}"/>
    <cellStyle name="Normal 5 4 3 2 5 2 3 2" xfId="38153" xr:uid="{EE674C7E-9BBA-4919-9EFF-2834338D2013}"/>
    <cellStyle name="Normal 5 4 3 2 5 2 4" xfId="12849" xr:uid="{00000000-0005-0000-0000-00004F4F0000}"/>
    <cellStyle name="Normal 5 4 3 2 5 2 5" xfId="29719" xr:uid="{C08931A9-A62A-4883-BF1A-D3A23C0F4992}"/>
    <cellStyle name="Normal 5 4 3 2 5 3" xfId="6487" xr:uid="{00000000-0005-0000-0000-0000504F0000}"/>
    <cellStyle name="Normal 5 4 3 2 5 3 2" xfId="23357" xr:uid="{00000000-0005-0000-0000-0000514F0000}"/>
    <cellStyle name="Normal 5 4 3 2 5 3 2 2" xfId="40225" xr:uid="{7FFFB7F3-9B42-4DA3-AC00-217EFD50D3D7}"/>
    <cellStyle name="Normal 5 4 3 2 5 3 3" xfId="14922" xr:uid="{00000000-0005-0000-0000-0000524F0000}"/>
    <cellStyle name="Normal 5 4 3 2 5 3 4" xfId="31791" xr:uid="{8576E5EC-2B58-4DC5-B562-2F08190ED426}"/>
    <cellStyle name="Normal 5 4 3 2 5 4" xfId="19139" xr:uid="{00000000-0005-0000-0000-0000534F0000}"/>
    <cellStyle name="Normal 5 4 3 2 5 4 2" xfId="36008" xr:uid="{C39C91D0-52D3-44D7-9F22-7D15B04E5F03}"/>
    <cellStyle name="Normal 5 4 3 2 5 5" xfId="10704" xr:uid="{00000000-0005-0000-0000-0000544F0000}"/>
    <cellStyle name="Normal 5 4 3 2 5 6" xfId="27574" xr:uid="{3D8CF8CC-D155-4248-8274-E80E14BABACE}"/>
    <cellStyle name="Normal 5 4 3 2 6" xfId="2616" xr:uid="{00000000-0005-0000-0000-0000554F0000}"/>
    <cellStyle name="Normal 5 4 3 2 6 2" xfId="6900" xr:uid="{00000000-0005-0000-0000-0000564F0000}"/>
    <cellStyle name="Normal 5 4 3 2 6 2 2" xfId="23770" xr:uid="{00000000-0005-0000-0000-0000574F0000}"/>
    <cellStyle name="Normal 5 4 3 2 6 2 2 2" xfId="40638" xr:uid="{1CF14863-2C5E-42FB-A855-1D98C2CFD5DF}"/>
    <cellStyle name="Normal 5 4 3 2 6 2 3" xfId="15335" xr:uid="{00000000-0005-0000-0000-0000584F0000}"/>
    <cellStyle name="Normal 5 4 3 2 6 2 4" xfId="32204" xr:uid="{49661028-6AF4-4DEA-BE45-EE7426719AE0}"/>
    <cellStyle name="Normal 5 4 3 2 6 3" xfId="19552" xr:uid="{00000000-0005-0000-0000-0000594F0000}"/>
    <cellStyle name="Normal 5 4 3 2 6 3 2" xfId="36421" xr:uid="{A725F397-6619-4A9D-8DD0-2A82D34E39B8}"/>
    <cellStyle name="Normal 5 4 3 2 6 4" xfId="11117" xr:uid="{00000000-0005-0000-0000-00005A4F0000}"/>
    <cellStyle name="Normal 5 4 3 2 6 5" xfId="27987" xr:uid="{995225D1-77E6-4689-A9F6-320BACBDD694}"/>
    <cellStyle name="Normal 5 4 3 2 7" xfId="4835" xr:uid="{00000000-0005-0000-0000-00005B4F0000}"/>
    <cellStyle name="Normal 5 4 3 2 7 2" xfId="21705" xr:uid="{00000000-0005-0000-0000-00005C4F0000}"/>
    <cellStyle name="Normal 5 4 3 2 7 2 2" xfId="38573" xr:uid="{A955409E-872B-4658-A38B-3C3713BCE28C}"/>
    <cellStyle name="Normal 5 4 3 2 7 3" xfId="13270" xr:uid="{00000000-0005-0000-0000-00005D4F0000}"/>
    <cellStyle name="Normal 5 4 3 2 7 4" xfId="30139" xr:uid="{B5BE0241-A595-4E78-9311-508975D72773}"/>
    <cellStyle name="Normal 5 4 3 2 8" xfId="17487" xr:uid="{00000000-0005-0000-0000-00005E4F0000}"/>
    <cellStyle name="Normal 5 4 3 2 8 2" xfId="34356" xr:uid="{7C61074E-D618-488F-967A-AD369BE3DF45}"/>
    <cellStyle name="Normal 5 4 3 2 9" xfId="9052" xr:uid="{00000000-0005-0000-0000-00005F4F0000}"/>
    <cellStyle name="Normal 5 4 3 3" xfId="935" xr:uid="{00000000-0005-0000-0000-0000604F0000}"/>
    <cellStyle name="Normal 5 4 3 3 2" xfId="3169" xr:uid="{00000000-0005-0000-0000-0000614F0000}"/>
    <cellStyle name="Normal 5 4 3 3 2 2" xfId="7392" xr:uid="{00000000-0005-0000-0000-0000624F0000}"/>
    <cellStyle name="Normal 5 4 3 3 2 2 2" xfId="24262" xr:uid="{00000000-0005-0000-0000-0000634F0000}"/>
    <cellStyle name="Normal 5 4 3 3 2 2 2 2" xfId="41130" xr:uid="{29F4E078-4CCC-4F90-9D85-90C85ABA6158}"/>
    <cellStyle name="Normal 5 4 3 3 2 2 3" xfId="15827" xr:uid="{00000000-0005-0000-0000-0000644F0000}"/>
    <cellStyle name="Normal 5 4 3 3 2 2 4" xfId="32696" xr:uid="{46DA19C3-484E-41E4-8938-858FAFA71191}"/>
    <cellStyle name="Normal 5 4 3 3 2 3" xfId="20044" xr:uid="{00000000-0005-0000-0000-0000654F0000}"/>
    <cellStyle name="Normal 5 4 3 3 2 3 2" xfId="36913" xr:uid="{6E0A006B-BC5F-4296-9193-ED6C4FC21BD3}"/>
    <cellStyle name="Normal 5 4 3 3 2 4" xfId="11609" xr:uid="{00000000-0005-0000-0000-0000664F0000}"/>
    <cellStyle name="Normal 5 4 3 3 2 5" xfId="28479" xr:uid="{C0764085-83BD-41D3-A7F2-A74A9C1ED8C5}"/>
    <cellStyle name="Normal 5 4 3 3 3" xfId="5247" xr:uid="{00000000-0005-0000-0000-0000674F0000}"/>
    <cellStyle name="Normal 5 4 3 3 3 2" xfId="22117" xr:uid="{00000000-0005-0000-0000-0000684F0000}"/>
    <cellStyle name="Normal 5 4 3 3 3 2 2" xfId="38985" xr:uid="{2E709E30-8AAC-422D-874F-8D9A6E551C88}"/>
    <cellStyle name="Normal 5 4 3 3 3 3" xfId="13682" xr:uid="{00000000-0005-0000-0000-0000694F0000}"/>
    <cellStyle name="Normal 5 4 3 3 3 4" xfId="30551" xr:uid="{F63D0285-E54F-4D62-8F9B-D8C9AA1F0744}"/>
    <cellStyle name="Normal 5 4 3 3 4" xfId="17899" xr:uid="{00000000-0005-0000-0000-00006A4F0000}"/>
    <cellStyle name="Normal 5 4 3 3 4 2" xfId="34768" xr:uid="{082DF0FF-808B-42AD-ABDB-0BC623EBCB95}"/>
    <cellStyle name="Normal 5 4 3 3 5" xfId="9464" xr:uid="{00000000-0005-0000-0000-00006B4F0000}"/>
    <cellStyle name="Normal 5 4 3 3 6" xfId="26334" xr:uid="{B04DE98A-9063-422B-BD06-6BD8348FC75A}"/>
    <cellStyle name="Normal 5 4 3 4" xfId="1352" xr:uid="{00000000-0005-0000-0000-00006C4F0000}"/>
    <cellStyle name="Normal 5 4 3 4 2" xfId="3582" xr:uid="{00000000-0005-0000-0000-00006D4F0000}"/>
    <cellStyle name="Normal 5 4 3 4 2 2" xfId="7805" xr:uid="{00000000-0005-0000-0000-00006E4F0000}"/>
    <cellStyle name="Normal 5 4 3 4 2 2 2" xfId="24675" xr:uid="{00000000-0005-0000-0000-00006F4F0000}"/>
    <cellStyle name="Normal 5 4 3 4 2 2 2 2" xfId="41543" xr:uid="{E600B57A-C3D5-4F33-8FD0-63B870534114}"/>
    <cellStyle name="Normal 5 4 3 4 2 2 3" xfId="16240" xr:uid="{00000000-0005-0000-0000-0000704F0000}"/>
    <cellStyle name="Normal 5 4 3 4 2 2 4" xfId="33109" xr:uid="{C3C6C7BE-334B-4B17-9675-5627567C59A1}"/>
    <cellStyle name="Normal 5 4 3 4 2 3" xfId="20457" xr:uid="{00000000-0005-0000-0000-0000714F0000}"/>
    <cellStyle name="Normal 5 4 3 4 2 3 2" xfId="37326" xr:uid="{DB283F2A-5B32-43F6-8147-EE146C340ADE}"/>
    <cellStyle name="Normal 5 4 3 4 2 4" xfId="12022" xr:uid="{00000000-0005-0000-0000-0000724F0000}"/>
    <cellStyle name="Normal 5 4 3 4 2 5" xfId="28892" xr:uid="{D95ECB74-D96B-44CA-9956-3437BD6D228C}"/>
    <cellStyle name="Normal 5 4 3 4 3" xfId="5660" xr:uid="{00000000-0005-0000-0000-0000734F0000}"/>
    <cellStyle name="Normal 5 4 3 4 3 2" xfId="22530" xr:uid="{00000000-0005-0000-0000-0000744F0000}"/>
    <cellStyle name="Normal 5 4 3 4 3 2 2" xfId="39398" xr:uid="{535CF465-2568-49C5-85B0-96CC9D2917C8}"/>
    <cellStyle name="Normal 5 4 3 4 3 3" xfId="14095" xr:uid="{00000000-0005-0000-0000-0000754F0000}"/>
    <cellStyle name="Normal 5 4 3 4 3 4" xfId="30964" xr:uid="{370A90E0-8263-4391-B950-44E6C3D12CE7}"/>
    <cellStyle name="Normal 5 4 3 4 4" xfId="18312" xr:uid="{00000000-0005-0000-0000-0000764F0000}"/>
    <cellStyle name="Normal 5 4 3 4 4 2" xfId="35181" xr:uid="{B7CADEFF-E07A-4B2A-AC23-F183DDB8172E}"/>
    <cellStyle name="Normal 5 4 3 4 5" xfId="9877" xr:uid="{00000000-0005-0000-0000-0000774F0000}"/>
    <cellStyle name="Normal 5 4 3 4 6" xfId="26747" xr:uid="{F28FB7D5-069B-466D-A9BA-C7584DFB1D52}"/>
    <cellStyle name="Normal 5 4 3 5" xfId="1765" xr:uid="{00000000-0005-0000-0000-0000784F0000}"/>
    <cellStyle name="Normal 5 4 3 5 2" xfId="3995" xr:uid="{00000000-0005-0000-0000-0000794F0000}"/>
    <cellStyle name="Normal 5 4 3 5 2 2" xfId="8218" xr:uid="{00000000-0005-0000-0000-00007A4F0000}"/>
    <cellStyle name="Normal 5 4 3 5 2 2 2" xfId="25088" xr:uid="{00000000-0005-0000-0000-00007B4F0000}"/>
    <cellStyle name="Normal 5 4 3 5 2 2 2 2" xfId="41956" xr:uid="{5DBED693-078B-42E1-B2DD-C07F15EF2F8C}"/>
    <cellStyle name="Normal 5 4 3 5 2 2 3" xfId="16653" xr:uid="{00000000-0005-0000-0000-00007C4F0000}"/>
    <cellStyle name="Normal 5 4 3 5 2 2 4" xfId="33522" xr:uid="{D7E8A797-D59A-4C8A-BDFA-46306E127B32}"/>
    <cellStyle name="Normal 5 4 3 5 2 3" xfId="20870" xr:uid="{00000000-0005-0000-0000-00007D4F0000}"/>
    <cellStyle name="Normal 5 4 3 5 2 3 2" xfId="37739" xr:uid="{B5FB9E06-A426-4141-A862-B597BB5116AA}"/>
    <cellStyle name="Normal 5 4 3 5 2 4" xfId="12435" xr:uid="{00000000-0005-0000-0000-00007E4F0000}"/>
    <cellStyle name="Normal 5 4 3 5 2 5" xfId="29305" xr:uid="{520652D5-B024-4715-A81A-FE16D89C09B7}"/>
    <cellStyle name="Normal 5 4 3 5 3" xfId="6073" xr:uid="{00000000-0005-0000-0000-00007F4F0000}"/>
    <cellStyle name="Normal 5 4 3 5 3 2" xfId="22943" xr:uid="{00000000-0005-0000-0000-0000804F0000}"/>
    <cellStyle name="Normal 5 4 3 5 3 2 2" xfId="39811" xr:uid="{2BC16AE9-2988-49BE-9F8A-B22E1486FC0C}"/>
    <cellStyle name="Normal 5 4 3 5 3 3" xfId="14508" xr:uid="{00000000-0005-0000-0000-0000814F0000}"/>
    <cellStyle name="Normal 5 4 3 5 3 4" xfId="31377" xr:uid="{38CC6BBC-1F94-4E5B-B3A0-F8634B00B448}"/>
    <cellStyle name="Normal 5 4 3 5 4" xfId="18725" xr:uid="{00000000-0005-0000-0000-0000824F0000}"/>
    <cellStyle name="Normal 5 4 3 5 4 2" xfId="35594" xr:uid="{B6F7BC88-9652-40BE-A3CF-04FB18BA66C5}"/>
    <cellStyle name="Normal 5 4 3 5 5" xfId="10290" xr:uid="{00000000-0005-0000-0000-0000834F0000}"/>
    <cellStyle name="Normal 5 4 3 5 6" xfId="27160" xr:uid="{DFC33FCD-D2DC-4AA3-8276-E590C8583039}"/>
    <cellStyle name="Normal 5 4 3 6" xfId="2179" xr:uid="{00000000-0005-0000-0000-0000844F0000}"/>
    <cellStyle name="Normal 5 4 3 6 2" xfId="4408" xr:uid="{00000000-0005-0000-0000-0000854F0000}"/>
    <cellStyle name="Normal 5 4 3 6 2 2" xfId="8631" xr:uid="{00000000-0005-0000-0000-0000864F0000}"/>
    <cellStyle name="Normal 5 4 3 6 2 2 2" xfId="25501" xr:uid="{00000000-0005-0000-0000-0000874F0000}"/>
    <cellStyle name="Normal 5 4 3 6 2 2 2 2" xfId="42369" xr:uid="{7BF5304A-3EA3-4EEB-916E-C3B24DB99BD9}"/>
    <cellStyle name="Normal 5 4 3 6 2 2 3" xfId="17066" xr:uid="{00000000-0005-0000-0000-0000884F0000}"/>
    <cellStyle name="Normal 5 4 3 6 2 2 4" xfId="33935" xr:uid="{FCD349AC-A5E7-4FDA-AA37-8F6D48C15732}"/>
    <cellStyle name="Normal 5 4 3 6 2 3" xfId="21283" xr:uid="{00000000-0005-0000-0000-0000894F0000}"/>
    <cellStyle name="Normal 5 4 3 6 2 3 2" xfId="38152" xr:uid="{7F184452-7871-4E2C-8F07-03965E89A56A}"/>
    <cellStyle name="Normal 5 4 3 6 2 4" xfId="12848" xr:uid="{00000000-0005-0000-0000-00008A4F0000}"/>
    <cellStyle name="Normal 5 4 3 6 2 5" xfId="29718" xr:uid="{6F653775-CA05-4DAB-A572-9423F5E5B626}"/>
    <cellStyle name="Normal 5 4 3 6 3" xfId="6486" xr:uid="{00000000-0005-0000-0000-00008B4F0000}"/>
    <cellStyle name="Normal 5 4 3 6 3 2" xfId="23356" xr:uid="{00000000-0005-0000-0000-00008C4F0000}"/>
    <cellStyle name="Normal 5 4 3 6 3 2 2" xfId="40224" xr:uid="{16113C62-5C72-446F-87A0-97C2D18FEC51}"/>
    <cellStyle name="Normal 5 4 3 6 3 3" xfId="14921" xr:uid="{00000000-0005-0000-0000-00008D4F0000}"/>
    <cellStyle name="Normal 5 4 3 6 3 4" xfId="31790" xr:uid="{107365B8-F087-40D1-AB30-A7397376E741}"/>
    <cellStyle name="Normal 5 4 3 6 4" xfId="19138" xr:uid="{00000000-0005-0000-0000-00008E4F0000}"/>
    <cellStyle name="Normal 5 4 3 6 4 2" xfId="36007" xr:uid="{7BB12E34-1361-468A-A45F-9293B9D3E411}"/>
    <cellStyle name="Normal 5 4 3 6 5" xfId="10703" xr:uid="{00000000-0005-0000-0000-00008F4F0000}"/>
    <cellStyle name="Normal 5 4 3 6 6" xfId="27573" xr:uid="{7AA5E961-64B0-49A1-88C7-877CBD2FC4B1}"/>
    <cellStyle name="Normal 5 4 3 7" xfId="2615" xr:uid="{00000000-0005-0000-0000-0000904F0000}"/>
    <cellStyle name="Normal 5 4 3 7 2" xfId="6899" xr:uid="{00000000-0005-0000-0000-0000914F0000}"/>
    <cellStyle name="Normal 5 4 3 7 2 2" xfId="23769" xr:uid="{00000000-0005-0000-0000-0000924F0000}"/>
    <cellStyle name="Normal 5 4 3 7 2 2 2" xfId="40637" xr:uid="{5F0DB13E-594E-4A56-967A-A8C7E93A049A}"/>
    <cellStyle name="Normal 5 4 3 7 2 3" xfId="15334" xr:uid="{00000000-0005-0000-0000-0000934F0000}"/>
    <cellStyle name="Normal 5 4 3 7 2 4" xfId="32203" xr:uid="{70EB3520-20E8-4E9D-A883-82EE1BA25D3F}"/>
    <cellStyle name="Normal 5 4 3 7 3" xfId="19551" xr:uid="{00000000-0005-0000-0000-0000944F0000}"/>
    <cellStyle name="Normal 5 4 3 7 3 2" xfId="36420" xr:uid="{1275FDA4-7997-40D8-93A7-E18B4173E19A}"/>
    <cellStyle name="Normal 5 4 3 7 4" xfId="11116" xr:uid="{00000000-0005-0000-0000-0000954F0000}"/>
    <cellStyle name="Normal 5 4 3 7 5" xfId="27986" xr:uid="{833DC5C1-F701-4C10-9881-79D6D41EB65B}"/>
    <cellStyle name="Normal 5 4 3 8" xfId="4834" xr:uid="{00000000-0005-0000-0000-0000964F0000}"/>
    <cellStyle name="Normal 5 4 3 8 2" xfId="21704" xr:uid="{00000000-0005-0000-0000-0000974F0000}"/>
    <cellStyle name="Normal 5 4 3 8 2 2" xfId="38572" xr:uid="{6CBEB997-F2F2-4C01-B3E6-8F26C9620364}"/>
    <cellStyle name="Normal 5 4 3 8 3" xfId="13269" xr:uid="{00000000-0005-0000-0000-0000984F0000}"/>
    <cellStyle name="Normal 5 4 3 8 4" xfId="30138" xr:uid="{5FF48353-E349-465A-983D-F89B67F98B29}"/>
    <cellStyle name="Normal 5 4 3 9" xfId="17486" xr:uid="{00000000-0005-0000-0000-0000994F0000}"/>
    <cellStyle name="Normal 5 4 3 9 2" xfId="34355" xr:uid="{6FE88BD0-EF0B-46B6-978E-5FE71E3F576F}"/>
    <cellStyle name="Normal 5 4 4" xfId="463" xr:uid="{00000000-0005-0000-0000-00009A4F0000}"/>
    <cellStyle name="Normal 5 4 4 10" xfId="25923" xr:uid="{D78E3E91-7442-48DF-9FFE-56335BF6F09D}"/>
    <cellStyle name="Normal 5 4 4 2" xfId="937" xr:uid="{00000000-0005-0000-0000-00009B4F0000}"/>
    <cellStyle name="Normal 5 4 4 2 2" xfId="3171" xr:uid="{00000000-0005-0000-0000-00009C4F0000}"/>
    <cellStyle name="Normal 5 4 4 2 2 2" xfId="7394" xr:uid="{00000000-0005-0000-0000-00009D4F0000}"/>
    <cellStyle name="Normal 5 4 4 2 2 2 2" xfId="24264" xr:uid="{00000000-0005-0000-0000-00009E4F0000}"/>
    <cellStyle name="Normal 5 4 4 2 2 2 2 2" xfId="41132" xr:uid="{1C1D0039-47E4-4772-8D48-C49DF55025C3}"/>
    <cellStyle name="Normal 5 4 4 2 2 2 3" xfId="15829" xr:uid="{00000000-0005-0000-0000-00009F4F0000}"/>
    <cellStyle name="Normal 5 4 4 2 2 2 4" xfId="32698" xr:uid="{F78D1DA8-FAB2-4493-A22A-74CEA7756328}"/>
    <cellStyle name="Normal 5 4 4 2 2 3" xfId="20046" xr:uid="{00000000-0005-0000-0000-0000A04F0000}"/>
    <cellStyle name="Normal 5 4 4 2 2 3 2" xfId="36915" xr:uid="{C7D82671-69C6-4E84-B9B2-3DF436CB76F3}"/>
    <cellStyle name="Normal 5 4 4 2 2 4" xfId="11611" xr:uid="{00000000-0005-0000-0000-0000A14F0000}"/>
    <cellStyle name="Normal 5 4 4 2 2 5" xfId="28481" xr:uid="{9ADD60BA-DE5A-467A-ADFF-E6125EA8EF48}"/>
    <cellStyle name="Normal 5 4 4 2 3" xfId="5249" xr:uid="{00000000-0005-0000-0000-0000A24F0000}"/>
    <cellStyle name="Normal 5 4 4 2 3 2" xfId="22119" xr:uid="{00000000-0005-0000-0000-0000A34F0000}"/>
    <cellStyle name="Normal 5 4 4 2 3 2 2" xfId="38987" xr:uid="{4D7B881E-15FF-450E-AD20-0DC13C86E0E5}"/>
    <cellStyle name="Normal 5 4 4 2 3 3" xfId="13684" xr:uid="{00000000-0005-0000-0000-0000A44F0000}"/>
    <cellStyle name="Normal 5 4 4 2 3 4" xfId="30553" xr:uid="{97EF8B45-3496-4316-90D2-FB5F0C9CADFB}"/>
    <cellStyle name="Normal 5 4 4 2 4" xfId="17901" xr:uid="{00000000-0005-0000-0000-0000A54F0000}"/>
    <cellStyle name="Normal 5 4 4 2 4 2" xfId="34770" xr:uid="{57F30B69-035A-4610-A523-1D56133B0CB7}"/>
    <cellStyle name="Normal 5 4 4 2 5" xfId="9466" xr:uid="{00000000-0005-0000-0000-0000A64F0000}"/>
    <cellStyle name="Normal 5 4 4 2 6" xfId="26336" xr:uid="{C18B8A1E-9ED8-48CF-AE6D-556B27E62DE8}"/>
    <cellStyle name="Normal 5 4 4 3" xfId="1354" xr:uid="{00000000-0005-0000-0000-0000A74F0000}"/>
    <cellStyle name="Normal 5 4 4 3 2" xfId="3584" xr:uid="{00000000-0005-0000-0000-0000A84F0000}"/>
    <cellStyle name="Normal 5 4 4 3 2 2" xfId="7807" xr:uid="{00000000-0005-0000-0000-0000A94F0000}"/>
    <cellStyle name="Normal 5 4 4 3 2 2 2" xfId="24677" xr:uid="{00000000-0005-0000-0000-0000AA4F0000}"/>
    <cellStyle name="Normal 5 4 4 3 2 2 2 2" xfId="41545" xr:uid="{D3379861-7DDD-4AD3-A835-01A670F6F020}"/>
    <cellStyle name="Normal 5 4 4 3 2 2 3" xfId="16242" xr:uid="{00000000-0005-0000-0000-0000AB4F0000}"/>
    <cellStyle name="Normal 5 4 4 3 2 2 4" xfId="33111" xr:uid="{3421CEC9-3556-443E-8722-9FAAB574BA9D}"/>
    <cellStyle name="Normal 5 4 4 3 2 3" xfId="20459" xr:uid="{00000000-0005-0000-0000-0000AC4F0000}"/>
    <cellStyle name="Normal 5 4 4 3 2 3 2" xfId="37328" xr:uid="{11B0EAF1-78BF-421C-BAF9-18903AF726F6}"/>
    <cellStyle name="Normal 5 4 4 3 2 4" xfId="12024" xr:uid="{00000000-0005-0000-0000-0000AD4F0000}"/>
    <cellStyle name="Normal 5 4 4 3 2 5" xfId="28894" xr:uid="{D8F702C8-EA63-4073-B1B4-CFE6B41AFDE0}"/>
    <cellStyle name="Normal 5 4 4 3 3" xfId="5662" xr:uid="{00000000-0005-0000-0000-0000AE4F0000}"/>
    <cellStyle name="Normal 5 4 4 3 3 2" xfId="22532" xr:uid="{00000000-0005-0000-0000-0000AF4F0000}"/>
    <cellStyle name="Normal 5 4 4 3 3 2 2" xfId="39400" xr:uid="{78E775D0-F142-4E60-BE8A-ECAADBD02785}"/>
    <cellStyle name="Normal 5 4 4 3 3 3" xfId="14097" xr:uid="{00000000-0005-0000-0000-0000B04F0000}"/>
    <cellStyle name="Normal 5 4 4 3 3 4" xfId="30966" xr:uid="{93AFB8A8-E272-4504-A704-A4350F12A5B0}"/>
    <cellStyle name="Normal 5 4 4 3 4" xfId="18314" xr:uid="{00000000-0005-0000-0000-0000B14F0000}"/>
    <cellStyle name="Normal 5 4 4 3 4 2" xfId="35183" xr:uid="{1964E80F-C2C0-431F-BFD8-ECEDA44B322D}"/>
    <cellStyle name="Normal 5 4 4 3 5" xfId="9879" xr:uid="{00000000-0005-0000-0000-0000B24F0000}"/>
    <cellStyle name="Normal 5 4 4 3 6" xfId="26749" xr:uid="{B8CACC9C-DC2E-470E-B573-635D39E1DAD7}"/>
    <cellStyle name="Normal 5 4 4 4" xfId="1767" xr:uid="{00000000-0005-0000-0000-0000B34F0000}"/>
    <cellStyle name="Normal 5 4 4 4 2" xfId="3997" xr:uid="{00000000-0005-0000-0000-0000B44F0000}"/>
    <cellStyle name="Normal 5 4 4 4 2 2" xfId="8220" xr:uid="{00000000-0005-0000-0000-0000B54F0000}"/>
    <cellStyle name="Normal 5 4 4 4 2 2 2" xfId="25090" xr:uid="{00000000-0005-0000-0000-0000B64F0000}"/>
    <cellStyle name="Normal 5 4 4 4 2 2 2 2" xfId="41958" xr:uid="{33333AAD-12F5-4EF0-99D3-F101A78824A6}"/>
    <cellStyle name="Normal 5 4 4 4 2 2 3" xfId="16655" xr:uid="{00000000-0005-0000-0000-0000B74F0000}"/>
    <cellStyle name="Normal 5 4 4 4 2 2 4" xfId="33524" xr:uid="{D0D2A95F-24B5-4768-ADB0-029E69E0D33E}"/>
    <cellStyle name="Normal 5 4 4 4 2 3" xfId="20872" xr:uid="{00000000-0005-0000-0000-0000B84F0000}"/>
    <cellStyle name="Normal 5 4 4 4 2 3 2" xfId="37741" xr:uid="{1DA31FCA-D54F-49C9-A514-DFAFB46CD12C}"/>
    <cellStyle name="Normal 5 4 4 4 2 4" xfId="12437" xr:uid="{00000000-0005-0000-0000-0000B94F0000}"/>
    <cellStyle name="Normal 5 4 4 4 2 5" xfId="29307" xr:uid="{B309FDDC-6A49-47BD-B2F4-D2A35627198A}"/>
    <cellStyle name="Normal 5 4 4 4 3" xfId="6075" xr:uid="{00000000-0005-0000-0000-0000BA4F0000}"/>
    <cellStyle name="Normal 5 4 4 4 3 2" xfId="22945" xr:uid="{00000000-0005-0000-0000-0000BB4F0000}"/>
    <cellStyle name="Normal 5 4 4 4 3 2 2" xfId="39813" xr:uid="{B0EF4291-9060-4484-BAE1-7EC20C726F44}"/>
    <cellStyle name="Normal 5 4 4 4 3 3" xfId="14510" xr:uid="{00000000-0005-0000-0000-0000BC4F0000}"/>
    <cellStyle name="Normal 5 4 4 4 3 4" xfId="31379" xr:uid="{2810C571-AE3D-49B2-864B-DA8685EC662B}"/>
    <cellStyle name="Normal 5 4 4 4 4" xfId="18727" xr:uid="{00000000-0005-0000-0000-0000BD4F0000}"/>
    <cellStyle name="Normal 5 4 4 4 4 2" xfId="35596" xr:uid="{A49B4D08-5A82-4881-9F52-A2AC56756C37}"/>
    <cellStyle name="Normal 5 4 4 4 5" xfId="10292" xr:uid="{00000000-0005-0000-0000-0000BE4F0000}"/>
    <cellStyle name="Normal 5 4 4 4 6" xfId="27162" xr:uid="{8997EAED-2ABA-4860-BBFF-AACB45A5C7C3}"/>
    <cellStyle name="Normal 5 4 4 5" xfId="2181" xr:uid="{00000000-0005-0000-0000-0000BF4F0000}"/>
    <cellStyle name="Normal 5 4 4 5 2" xfId="4410" xr:uid="{00000000-0005-0000-0000-0000C04F0000}"/>
    <cellStyle name="Normal 5 4 4 5 2 2" xfId="8633" xr:uid="{00000000-0005-0000-0000-0000C14F0000}"/>
    <cellStyle name="Normal 5 4 4 5 2 2 2" xfId="25503" xr:uid="{00000000-0005-0000-0000-0000C24F0000}"/>
    <cellStyle name="Normal 5 4 4 5 2 2 2 2" xfId="42371" xr:uid="{69FFF412-615E-458A-ADB7-D2657CE2B4A4}"/>
    <cellStyle name="Normal 5 4 4 5 2 2 3" xfId="17068" xr:uid="{00000000-0005-0000-0000-0000C34F0000}"/>
    <cellStyle name="Normal 5 4 4 5 2 2 4" xfId="33937" xr:uid="{2F602DFD-29F3-417B-827B-91120DC8BB67}"/>
    <cellStyle name="Normal 5 4 4 5 2 3" xfId="21285" xr:uid="{00000000-0005-0000-0000-0000C44F0000}"/>
    <cellStyle name="Normal 5 4 4 5 2 3 2" xfId="38154" xr:uid="{1F4F0D15-79B7-433F-88A2-D3C2771D3FD7}"/>
    <cellStyle name="Normal 5 4 4 5 2 4" xfId="12850" xr:uid="{00000000-0005-0000-0000-0000C54F0000}"/>
    <cellStyle name="Normal 5 4 4 5 2 5" xfId="29720" xr:uid="{2DF562AB-889C-4797-B30E-293171D58011}"/>
    <cellStyle name="Normal 5 4 4 5 3" xfId="6488" xr:uid="{00000000-0005-0000-0000-0000C64F0000}"/>
    <cellStyle name="Normal 5 4 4 5 3 2" xfId="23358" xr:uid="{00000000-0005-0000-0000-0000C74F0000}"/>
    <cellStyle name="Normal 5 4 4 5 3 2 2" xfId="40226" xr:uid="{2ADC3DFB-9B04-4346-9F84-8E4A9EEDB462}"/>
    <cellStyle name="Normal 5 4 4 5 3 3" xfId="14923" xr:uid="{00000000-0005-0000-0000-0000C84F0000}"/>
    <cellStyle name="Normal 5 4 4 5 3 4" xfId="31792" xr:uid="{DFDCA6B5-B963-49E2-A0A9-BB9FC96511E6}"/>
    <cellStyle name="Normal 5 4 4 5 4" xfId="19140" xr:uid="{00000000-0005-0000-0000-0000C94F0000}"/>
    <cellStyle name="Normal 5 4 4 5 4 2" xfId="36009" xr:uid="{F437C249-F9CD-4DA4-9BF4-CFC304415D4B}"/>
    <cellStyle name="Normal 5 4 4 5 5" xfId="10705" xr:uid="{00000000-0005-0000-0000-0000CA4F0000}"/>
    <cellStyle name="Normal 5 4 4 5 6" xfId="27575" xr:uid="{F24651C7-B570-42B2-B0C4-F911378BB55A}"/>
    <cellStyle name="Normal 5 4 4 6" xfId="2617" xr:uid="{00000000-0005-0000-0000-0000CB4F0000}"/>
    <cellStyle name="Normal 5 4 4 6 2" xfId="6901" xr:uid="{00000000-0005-0000-0000-0000CC4F0000}"/>
    <cellStyle name="Normal 5 4 4 6 2 2" xfId="23771" xr:uid="{00000000-0005-0000-0000-0000CD4F0000}"/>
    <cellStyle name="Normal 5 4 4 6 2 2 2" xfId="40639" xr:uid="{1351F5A0-F130-4FDB-AED3-5C246AE0E5D2}"/>
    <cellStyle name="Normal 5 4 4 6 2 3" xfId="15336" xr:uid="{00000000-0005-0000-0000-0000CE4F0000}"/>
    <cellStyle name="Normal 5 4 4 6 2 4" xfId="32205" xr:uid="{2F82B207-7B61-46BD-A624-28E999D09953}"/>
    <cellStyle name="Normal 5 4 4 6 3" xfId="19553" xr:uid="{00000000-0005-0000-0000-0000CF4F0000}"/>
    <cellStyle name="Normal 5 4 4 6 3 2" xfId="36422" xr:uid="{75A10978-7A5E-4C56-B205-B4ED44877FD9}"/>
    <cellStyle name="Normal 5 4 4 6 4" xfId="11118" xr:uid="{00000000-0005-0000-0000-0000D04F0000}"/>
    <cellStyle name="Normal 5 4 4 6 5" xfId="27988" xr:uid="{7ADB38B4-8484-47FF-B645-95380C31B916}"/>
    <cellStyle name="Normal 5 4 4 7" xfId="4836" xr:uid="{00000000-0005-0000-0000-0000D14F0000}"/>
    <cellStyle name="Normal 5 4 4 7 2" xfId="21706" xr:uid="{00000000-0005-0000-0000-0000D24F0000}"/>
    <cellStyle name="Normal 5 4 4 7 2 2" xfId="38574" xr:uid="{6195955B-F21F-48CC-9965-689C4568A892}"/>
    <cellStyle name="Normal 5 4 4 7 3" xfId="13271" xr:uid="{00000000-0005-0000-0000-0000D34F0000}"/>
    <cellStyle name="Normal 5 4 4 7 4" xfId="30140" xr:uid="{005FEA3F-D7CD-43C4-873D-19286302D7D1}"/>
    <cellStyle name="Normal 5 4 4 8" xfId="17488" xr:uid="{00000000-0005-0000-0000-0000D44F0000}"/>
    <cellStyle name="Normal 5 4 4 8 2" xfId="34357" xr:uid="{B150DC20-687C-47CA-A315-31FF19C721AA}"/>
    <cellStyle name="Normal 5 4 4 9" xfId="9053" xr:uid="{00000000-0005-0000-0000-0000D54F0000}"/>
    <cellStyle name="Normal 5 4 5" xfId="930" xr:uid="{00000000-0005-0000-0000-0000D64F0000}"/>
    <cellStyle name="Normal 5 4 5 2" xfId="3164" xr:uid="{00000000-0005-0000-0000-0000D74F0000}"/>
    <cellStyle name="Normal 5 4 5 2 2" xfId="7387" xr:uid="{00000000-0005-0000-0000-0000D84F0000}"/>
    <cellStyle name="Normal 5 4 5 2 2 2" xfId="24257" xr:uid="{00000000-0005-0000-0000-0000D94F0000}"/>
    <cellStyle name="Normal 5 4 5 2 2 2 2" xfId="41125" xr:uid="{4E33EE8A-51BC-4EEA-A69F-396A34F84302}"/>
    <cellStyle name="Normal 5 4 5 2 2 3" xfId="15822" xr:uid="{00000000-0005-0000-0000-0000DA4F0000}"/>
    <cellStyle name="Normal 5 4 5 2 2 4" xfId="32691" xr:uid="{B9A03379-4EA7-43FF-8EC6-CB89DDAD149A}"/>
    <cellStyle name="Normal 5 4 5 2 3" xfId="20039" xr:uid="{00000000-0005-0000-0000-0000DB4F0000}"/>
    <cellStyle name="Normal 5 4 5 2 3 2" xfId="36908" xr:uid="{256DC28C-D8F9-4AFE-B2C7-A5C210C3C612}"/>
    <cellStyle name="Normal 5 4 5 2 4" xfId="11604" xr:uid="{00000000-0005-0000-0000-0000DC4F0000}"/>
    <cellStyle name="Normal 5 4 5 2 5" xfId="28474" xr:uid="{E5B451F3-F145-46F4-9E3C-254B9C49E7F9}"/>
    <cellStyle name="Normal 5 4 5 3" xfId="5242" xr:uid="{00000000-0005-0000-0000-0000DD4F0000}"/>
    <cellStyle name="Normal 5 4 5 3 2" xfId="22112" xr:uid="{00000000-0005-0000-0000-0000DE4F0000}"/>
    <cellStyle name="Normal 5 4 5 3 2 2" xfId="38980" xr:uid="{ED809057-7116-40C6-BBAB-E792D0D9D221}"/>
    <cellStyle name="Normal 5 4 5 3 3" xfId="13677" xr:uid="{00000000-0005-0000-0000-0000DF4F0000}"/>
    <cellStyle name="Normal 5 4 5 3 4" xfId="30546" xr:uid="{347D3DE2-3ED0-4139-9EAF-625EF0A1A955}"/>
    <cellStyle name="Normal 5 4 5 4" xfId="17894" xr:uid="{00000000-0005-0000-0000-0000E04F0000}"/>
    <cellStyle name="Normal 5 4 5 4 2" xfId="34763" xr:uid="{2D070C3F-3A62-4582-A680-BAA0CE980389}"/>
    <cellStyle name="Normal 5 4 5 5" xfId="9459" xr:uid="{00000000-0005-0000-0000-0000E14F0000}"/>
    <cellStyle name="Normal 5 4 5 6" xfId="26329" xr:uid="{481E28D3-1910-4C69-8C04-95024F3062EE}"/>
    <cellStyle name="Normal 5 4 6" xfId="1347" xr:uid="{00000000-0005-0000-0000-0000E24F0000}"/>
    <cellStyle name="Normal 5 4 6 2" xfId="3577" xr:uid="{00000000-0005-0000-0000-0000E34F0000}"/>
    <cellStyle name="Normal 5 4 6 2 2" xfId="7800" xr:uid="{00000000-0005-0000-0000-0000E44F0000}"/>
    <cellStyle name="Normal 5 4 6 2 2 2" xfId="24670" xr:uid="{00000000-0005-0000-0000-0000E54F0000}"/>
    <cellStyle name="Normal 5 4 6 2 2 2 2" xfId="41538" xr:uid="{BF9A59EF-30BA-460E-AE3E-85EE5B01AB85}"/>
    <cellStyle name="Normal 5 4 6 2 2 3" xfId="16235" xr:uid="{00000000-0005-0000-0000-0000E64F0000}"/>
    <cellStyle name="Normal 5 4 6 2 2 4" xfId="33104" xr:uid="{6538818A-7886-44D7-A6FA-A55F2AC071DC}"/>
    <cellStyle name="Normal 5 4 6 2 3" xfId="20452" xr:uid="{00000000-0005-0000-0000-0000E74F0000}"/>
    <cellStyle name="Normal 5 4 6 2 3 2" xfId="37321" xr:uid="{E40A5A41-0607-4169-A048-6BB362634904}"/>
    <cellStyle name="Normal 5 4 6 2 4" xfId="12017" xr:uid="{00000000-0005-0000-0000-0000E84F0000}"/>
    <cellStyle name="Normal 5 4 6 2 5" xfId="28887" xr:uid="{1ADE19DF-6A99-4272-B0A4-5EBFE13A0903}"/>
    <cellStyle name="Normal 5 4 6 3" xfId="5655" xr:uid="{00000000-0005-0000-0000-0000E94F0000}"/>
    <cellStyle name="Normal 5 4 6 3 2" xfId="22525" xr:uid="{00000000-0005-0000-0000-0000EA4F0000}"/>
    <cellStyle name="Normal 5 4 6 3 2 2" xfId="39393" xr:uid="{618FC735-6ECD-4589-931E-0C36C724439A}"/>
    <cellStyle name="Normal 5 4 6 3 3" xfId="14090" xr:uid="{00000000-0005-0000-0000-0000EB4F0000}"/>
    <cellStyle name="Normal 5 4 6 3 4" xfId="30959" xr:uid="{FD313C10-782C-44E4-A1DA-CB58E33E1926}"/>
    <cellStyle name="Normal 5 4 6 4" xfId="18307" xr:uid="{00000000-0005-0000-0000-0000EC4F0000}"/>
    <cellStyle name="Normal 5 4 6 4 2" xfId="35176" xr:uid="{D85107AD-05F0-4634-B752-4A7F7513E058}"/>
    <cellStyle name="Normal 5 4 6 5" xfId="9872" xr:uid="{00000000-0005-0000-0000-0000ED4F0000}"/>
    <cellStyle name="Normal 5 4 6 6" xfId="26742" xr:uid="{9521B70B-83A6-41C5-A839-015902B404B4}"/>
    <cellStyle name="Normal 5 4 7" xfId="1760" xr:uid="{00000000-0005-0000-0000-0000EE4F0000}"/>
    <cellStyle name="Normal 5 4 7 2" xfId="3990" xr:uid="{00000000-0005-0000-0000-0000EF4F0000}"/>
    <cellStyle name="Normal 5 4 7 2 2" xfId="8213" xr:uid="{00000000-0005-0000-0000-0000F04F0000}"/>
    <cellStyle name="Normal 5 4 7 2 2 2" xfId="25083" xr:uid="{00000000-0005-0000-0000-0000F14F0000}"/>
    <cellStyle name="Normal 5 4 7 2 2 2 2" xfId="41951" xr:uid="{EB962F74-B6B0-4890-A035-F60AA1DE489D}"/>
    <cellStyle name="Normal 5 4 7 2 2 3" xfId="16648" xr:uid="{00000000-0005-0000-0000-0000F24F0000}"/>
    <cellStyle name="Normal 5 4 7 2 2 4" xfId="33517" xr:uid="{6618709D-DDD1-4C60-99F0-3298E3E5477F}"/>
    <cellStyle name="Normal 5 4 7 2 3" xfId="20865" xr:uid="{00000000-0005-0000-0000-0000F34F0000}"/>
    <cellStyle name="Normal 5 4 7 2 3 2" xfId="37734" xr:uid="{C489F1E9-FEC6-4CE5-8E7E-C3CBB4872E94}"/>
    <cellStyle name="Normal 5 4 7 2 4" xfId="12430" xr:uid="{00000000-0005-0000-0000-0000F44F0000}"/>
    <cellStyle name="Normal 5 4 7 2 5" xfId="29300" xr:uid="{BAF5ECC0-21EA-4268-AB96-CA33D15587FB}"/>
    <cellStyle name="Normal 5 4 7 3" xfId="6068" xr:uid="{00000000-0005-0000-0000-0000F54F0000}"/>
    <cellStyle name="Normal 5 4 7 3 2" xfId="22938" xr:uid="{00000000-0005-0000-0000-0000F64F0000}"/>
    <cellStyle name="Normal 5 4 7 3 2 2" xfId="39806" xr:uid="{C3DAFF0E-F55C-47B6-9331-A0582231A137}"/>
    <cellStyle name="Normal 5 4 7 3 3" xfId="14503" xr:uid="{00000000-0005-0000-0000-0000F74F0000}"/>
    <cellStyle name="Normal 5 4 7 3 4" xfId="31372" xr:uid="{D9AF4EA0-ECC5-4D5C-A707-CE2540339C3D}"/>
    <cellStyle name="Normal 5 4 7 4" xfId="18720" xr:uid="{00000000-0005-0000-0000-0000F84F0000}"/>
    <cellStyle name="Normal 5 4 7 4 2" xfId="35589" xr:uid="{B97085EA-7E78-4D3D-9A36-6EDABCE6037E}"/>
    <cellStyle name="Normal 5 4 7 5" xfId="10285" xr:uid="{00000000-0005-0000-0000-0000F94F0000}"/>
    <cellStyle name="Normal 5 4 7 6" xfId="27155" xr:uid="{E61B5BBC-D827-4043-92EB-515F77EA9EED}"/>
    <cellStyle name="Normal 5 4 8" xfId="2174" xr:uid="{00000000-0005-0000-0000-0000FA4F0000}"/>
    <cellStyle name="Normal 5 4 8 2" xfId="4403" xr:uid="{00000000-0005-0000-0000-0000FB4F0000}"/>
    <cellStyle name="Normal 5 4 8 2 2" xfId="8626" xr:uid="{00000000-0005-0000-0000-0000FC4F0000}"/>
    <cellStyle name="Normal 5 4 8 2 2 2" xfId="25496" xr:uid="{00000000-0005-0000-0000-0000FD4F0000}"/>
    <cellStyle name="Normal 5 4 8 2 2 2 2" xfId="42364" xr:uid="{56054D48-D990-44B4-8BB6-6A6C1EDDAE3E}"/>
    <cellStyle name="Normal 5 4 8 2 2 3" xfId="17061" xr:uid="{00000000-0005-0000-0000-0000FE4F0000}"/>
    <cellStyle name="Normal 5 4 8 2 2 4" xfId="33930" xr:uid="{593EC77B-794D-4226-A51C-34D77DCD828C}"/>
    <cellStyle name="Normal 5 4 8 2 3" xfId="21278" xr:uid="{00000000-0005-0000-0000-0000FF4F0000}"/>
    <cellStyle name="Normal 5 4 8 2 3 2" xfId="38147" xr:uid="{172E2700-A7E6-4F50-B20C-F5CEA3CCE311}"/>
    <cellStyle name="Normal 5 4 8 2 4" xfId="12843" xr:uid="{00000000-0005-0000-0000-000000500000}"/>
    <cellStyle name="Normal 5 4 8 2 5" xfId="29713" xr:uid="{0A3E5865-51BB-42FB-947A-649FC0470862}"/>
    <cellStyle name="Normal 5 4 8 3" xfId="6481" xr:uid="{00000000-0005-0000-0000-000001500000}"/>
    <cellStyle name="Normal 5 4 8 3 2" xfId="23351" xr:uid="{00000000-0005-0000-0000-000002500000}"/>
    <cellStyle name="Normal 5 4 8 3 2 2" xfId="40219" xr:uid="{ACF010D6-556F-4FAF-8AE2-16A17DD3706E}"/>
    <cellStyle name="Normal 5 4 8 3 3" xfId="14916" xr:uid="{00000000-0005-0000-0000-000003500000}"/>
    <cellStyle name="Normal 5 4 8 3 4" xfId="31785" xr:uid="{2C8BA08B-D7E7-467F-B6C7-75638C177DAB}"/>
    <cellStyle name="Normal 5 4 8 4" xfId="19133" xr:uid="{00000000-0005-0000-0000-000004500000}"/>
    <cellStyle name="Normal 5 4 8 4 2" xfId="36002" xr:uid="{010874BA-0706-445D-9C0F-7315D43AFB2E}"/>
    <cellStyle name="Normal 5 4 8 5" xfId="10698" xr:uid="{00000000-0005-0000-0000-000005500000}"/>
    <cellStyle name="Normal 5 4 8 6" xfId="27568" xr:uid="{5E7EEE57-5049-47CC-801F-EFC27E3C12FE}"/>
    <cellStyle name="Normal 5 4 9" xfId="2610" xr:uid="{00000000-0005-0000-0000-000006500000}"/>
    <cellStyle name="Normal 5 4 9 2" xfId="6894" xr:uid="{00000000-0005-0000-0000-000007500000}"/>
    <cellStyle name="Normal 5 4 9 2 2" xfId="23764" xr:uid="{00000000-0005-0000-0000-000008500000}"/>
    <cellStyle name="Normal 5 4 9 2 2 2" xfId="40632" xr:uid="{D9090E04-05B8-4811-847E-C78F18D8BDE0}"/>
    <cellStyle name="Normal 5 4 9 2 3" xfId="15329" xr:uid="{00000000-0005-0000-0000-000009500000}"/>
    <cellStyle name="Normal 5 4 9 2 4" xfId="32198" xr:uid="{85187980-A21E-428D-9469-F54FE8327EC6}"/>
    <cellStyle name="Normal 5 4 9 3" xfId="19546" xr:uid="{00000000-0005-0000-0000-00000A500000}"/>
    <cellStyle name="Normal 5 4 9 3 2" xfId="36415" xr:uid="{0E3AEFCA-2236-4E82-BA81-9C61038D197D}"/>
    <cellStyle name="Normal 5 4 9 4" xfId="11111" xr:uid="{00000000-0005-0000-0000-00000B500000}"/>
    <cellStyle name="Normal 5 4 9 5" xfId="27981" xr:uid="{456E008F-3E1F-482F-A77B-25F3AEBD825B}"/>
    <cellStyle name="Normal 5 5" xfId="464" xr:uid="{00000000-0005-0000-0000-00000C500000}"/>
    <cellStyle name="Normal 5 5 10" xfId="17489" xr:uid="{00000000-0005-0000-0000-00000D500000}"/>
    <cellStyle name="Normal 5 5 10 2" xfId="34358" xr:uid="{5489F0D1-3142-4494-91B2-502C6F985745}"/>
    <cellStyle name="Normal 5 5 11" xfId="9054" xr:uid="{00000000-0005-0000-0000-00000E500000}"/>
    <cellStyle name="Normal 5 5 12" xfId="25924" xr:uid="{E8487534-88FA-42F5-8B70-FF2A56F4E62F}"/>
    <cellStyle name="Normal 5 5 2" xfId="465" xr:uid="{00000000-0005-0000-0000-00000F500000}"/>
    <cellStyle name="Normal 5 5 2 10" xfId="9055" xr:uid="{00000000-0005-0000-0000-000010500000}"/>
    <cellStyle name="Normal 5 5 2 11" xfId="25925" xr:uid="{403E1F59-BC90-4C7E-9F34-55BEB822F085}"/>
    <cellStyle name="Normal 5 5 2 2" xfId="466" xr:uid="{00000000-0005-0000-0000-000011500000}"/>
    <cellStyle name="Normal 5 5 2 2 10" xfId="25926" xr:uid="{06C8653F-DD31-4E26-89CB-EA8B9316F7F3}"/>
    <cellStyle name="Normal 5 5 2 2 2" xfId="940" xr:uid="{00000000-0005-0000-0000-000012500000}"/>
    <cellStyle name="Normal 5 5 2 2 2 2" xfId="3174" xr:uid="{00000000-0005-0000-0000-000013500000}"/>
    <cellStyle name="Normal 5 5 2 2 2 2 2" xfId="7397" xr:uid="{00000000-0005-0000-0000-000014500000}"/>
    <cellStyle name="Normal 5 5 2 2 2 2 2 2" xfId="24267" xr:uid="{00000000-0005-0000-0000-000015500000}"/>
    <cellStyle name="Normal 5 5 2 2 2 2 2 2 2" xfId="41135" xr:uid="{FEC9E6FE-F027-4582-8E8B-956F64E671A2}"/>
    <cellStyle name="Normal 5 5 2 2 2 2 2 3" xfId="15832" xr:uid="{00000000-0005-0000-0000-000016500000}"/>
    <cellStyle name="Normal 5 5 2 2 2 2 2 4" xfId="32701" xr:uid="{AD019A6E-B325-47F7-8C62-51FB641C4E55}"/>
    <cellStyle name="Normal 5 5 2 2 2 2 3" xfId="20049" xr:uid="{00000000-0005-0000-0000-000017500000}"/>
    <cellStyle name="Normal 5 5 2 2 2 2 3 2" xfId="36918" xr:uid="{B9547997-F5B0-43CF-B7BE-5280F7598B07}"/>
    <cellStyle name="Normal 5 5 2 2 2 2 4" xfId="11614" xr:uid="{00000000-0005-0000-0000-000018500000}"/>
    <cellStyle name="Normal 5 5 2 2 2 2 5" xfId="28484" xr:uid="{10077C8A-107E-40A7-AB62-10BED08D64FC}"/>
    <cellStyle name="Normal 5 5 2 2 2 3" xfId="5252" xr:uid="{00000000-0005-0000-0000-000019500000}"/>
    <cellStyle name="Normal 5 5 2 2 2 3 2" xfId="22122" xr:uid="{00000000-0005-0000-0000-00001A500000}"/>
    <cellStyle name="Normal 5 5 2 2 2 3 2 2" xfId="38990" xr:uid="{E782D793-A03F-4E74-AC73-D5726C976E38}"/>
    <cellStyle name="Normal 5 5 2 2 2 3 3" xfId="13687" xr:uid="{00000000-0005-0000-0000-00001B500000}"/>
    <cellStyle name="Normal 5 5 2 2 2 3 4" xfId="30556" xr:uid="{6FDE237B-76D2-46CD-97CF-D55463C35284}"/>
    <cellStyle name="Normal 5 5 2 2 2 4" xfId="17904" xr:uid="{00000000-0005-0000-0000-00001C500000}"/>
    <cellStyle name="Normal 5 5 2 2 2 4 2" xfId="34773" xr:uid="{C6D6762D-4F18-4C8E-82B6-24121B01F4A1}"/>
    <cellStyle name="Normal 5 5 2 2 2 5" xfId="9469" xr:uid="{00000000-0005-0000-0000-00001D500000}"/>
    <cellStyle name="Normal 5 5 2 2 2 6" xfId="26339" xr:uid="{D677161A-5528-41D6-BFF6-F718053992EB}"/>
    <cellStyle name="Normal 5 5 2 2 3" xfId="1357" xr:uid="{00000000-0005-0000-0000-00001E500000}"/>
    <cellStyle name="Normal 5 5 2 2 3 2" xfId="3587" xr:uid="{00000000-0005-0000-0000-00001F500000}"/>
    <cellStyle name="Normal 5 5 2 2 3 2 2" xfId="7810" xr:uid="{00000000-0005-0000-0000-000020500000}"/>
    <cellStyle name="Normal 5 5 2 2 3 2 2 2" xfId="24680" xr:uid="{00000000-0005-0000-0000-000021500000}"/>
    <cellStyle name="Normal 5 5 2 2 3 2 2 2 2" xfId="41548" xr:uid="{30281E9A-A165-4131-B54C-7C846A8E59AE}"/>
    <cellStyle name="Normal 5 5 2 2 3 2 2 3" xfId="16245" xr:uid="{00000000-0005-0000-0000-000022500000}"/>
    <cellStyle name="Normal 5 5 2 2 3 2 2 4" xfId="33114" xr:uid="{A99D209B-7E56-435B-82E7-D569D83C08F6}"/>
    <cellStyle name="Normal 5 5 2 2 3 2 3" xfId="20462" xr:uid="{00000000-0005-0000-0000-000023500000}"/>
    <cellStyle name="Normal 5 5 2 2 3 2 3 2" xfId="37331" xr:uid="{DF1640E9-8CDE-4340-A634-4A1F8EA521B2}"/>
    <cellStyle name="Normal 5 5 2 2 3 2 4" xfId="12027" xr:uid="{00000000-0005-0000-0000-000024500000}"/>
    <cellStyle name="Normal 5 5 2 2 3 2 5" xfId="28897" xr:uid="{247B21BA-7C5F-4CBC-944F-9134C656BA09}"/>
    <cellStyle name="Normal 5 5 2 2 3 3" xfId="5665" xr:uid="{00000000-0005-0000-0000-000025500000}"/>
    <cellStyle name="Normal 5 5 2 2 3 3 2" xfId="22535" xr:uid="{00000000-0005-0000-0000-000026500000}"/>
    <cellStyle name="Normal 5 5 2 2 3 3 2 2" xfId="39403" xr:uid="{6D4A07CE-7B8C-40FE-952A-DD80F5E1BF69}"/>
    <cellStyle name="Normal 5 5 2 2 3 3 3" xfId="14100" xr:uid="{00000000-0005-0000-0000-000027500000}"/>
    <cellStyle name="Normal 5 5 2 2 3 3 4" xfId="30969" xr:uid="{70578EA7-FB03-4635-831A-E0E1F16A43B5}"/>
    <cellStyle name="Normal 5 5 2 2 3 4" xfId="18317" xr:uid="{00000000-0005-0000-0000-000028500000}"/>
    <cellStyle name="Normal 5 5 2 2 3 4 2" xfId="35186" xr:uid="{8597962C-FCC0-4AFF-AECC-9A0E8B4ED49D}"/>
    <cellStyle name="Normal 5 5 2 2 3 5" xfId="9882" xr:uid="{00000000-0005-0000-0000-000029500000}"/>
    <cellStyle name="Normal 5 5 2 2 3 6" xfId="26752" xr:uid="{B4B31157-36AB-41D8-A0D8-8486CD089C37}"/>
    <cellStyle name="Normal 5 5 2 2 4" xfId="1770" xr:uid="{00000000-0005-0000-0000-00002A500000}"/>
    <cellStyle name="Normal 5 5 2 2 4 2" xfId="4000" xr:uid="{00000000-0005-0000-0000-00002B500000}"/>
    <cellStyle name="Normal 5 5 2 2 4 2 2" xfId="8223" xr:uid="{00000000-0005-0000-0000-00002C500000}"/>
    <cellStyle name="Normal 5 5 2 2 4 2 2 2" xfId="25093" xr:uid="{00000000-0005-0000-0000-00002D500000}"/>
    <cellStyle name="Normal 5 5 2 2 4 2 2 2 2" xfId="41961" xr:uid="{31750B96-84BF-4C51-82E5-E57E2187A0DC}"/>
    <cellStyle name="Normal 5 5 2 2 4 2 2 3" xfId="16658" xr:uid="{00000000-0005-0000-0000-00002E500000}"/>
    <cellStyle name="Normal 5 5 2 2 4 2 2 4" xfId="33527" xr:uid="{CA8ADBCC-C5CC-4CE2-A19E-D5EDE951F2E0}"/>
    <cellStyle name="Normal 5 5 2 2 4 2 3" xfId="20875" xr:uid="{00000000-0005-0000-0000-00002F500000}"/>
    <cellStyle name="Normal 5 5 2 2 4 2 3 2" xfId="37744" xr:uid="{11952497-6403-456D-9CEE-E115AE44C02A}"/>
    <cellStyle name="Normal 5 5 2 2 4 2 4" xfId="12440" xr:uid="{00000000-0005-0000-0000-000030500000}"/>
    <cellStyle name="Normal 5 5 2 2 4 2 5" xfId="29310" xr:uid="{6110603B-96C7-4646-BCFB-611B8159CA31}"/>
    <cellStyle name="Normal 5 5 2 2 4 3" xfId="6078" xr:uid="{00000000-0005-0000-0000-000031500000}"/>
    <cellStyle name="Normal 5 5 2 2 4 3 2" xfId="22948" xr:uid="{00000000-0005-0000-0000-000032500000}"/>
    <cellStyle name="Normal 5 5 2 2 4 3 2 2" xfId="39816" xr:uid="{7DFFCAA2-D216-4947-9312-CDC3552C079E}"/>
    <cellStyle name="Normal 5 5 2 2 4 3 3" xfId="14513" xr:uid="{00000000-0005-0000-0000-000033500000}"/>
    <cellStyle name="Normal 5 5 2 2 4 3 4" xfId="31382" xr:uid="{DE6F3BFB-9707-4580-87FB-531C6C3329F7}"/>
    <cellStyle name="Normal 5 5 2 2 4 4" xfId="18730" xr:uid="{00000000-0005-0000-0000-000034500000}"/>
    <cellStyle name="Normal 5 5 2 2 4 4 2" xfId="35599" xr:uid="{EE0A705F-E5EC-4DF8-B7F9-81EE35086A69}"/>
    <cellStyle name="Normal 5 5 2 2 4 5" xfId="10295" xr:uid="{00000000-0005-0000-0000-000035500000}"/>
    <cellStyle name="Normal 5 5 2 2 4 6" xfId="27165" xr:uid="{A91454FF-0C97-4624-BB8B-A27F1795651F}"/>
    <cellStyle name="Normal 5 5 2 2 5" xfId="2184" xr:uid="{00000000-0005-0000-0000-000036500000}"/>
    <cellStyle name="Normal 5 5 2 2 5 2" xfId="4413" xr:uid="{00000000-0005-0000-0000-000037500000}"/>
    <cellStyle name="Normal 5 5 2 2 5 2 2" xfId="8636" xr:uid="{00000000-0005-0000-0000-000038500000}"/>
    <cellStyle name="Normal 5 5 2 2 5 2 2 2" xfId="25506" xr:uid="{00000000-0005-0000-0000-000039500000}"/>
    <cellStyle name="Normal 5 5 2 2 5 2 2 2 2" xfId="42374" xr:uid="{C0E0F4BA-3D3D-4501-8B4B-0474824E2CE8}"/>
    <cellStyle name="Normal 5 5 2 2 5 2 2 3" xfId="17071" xr:uid="{00000000-0005-0000-0000-00003A500000}"/>
    <cellStyle name="Normal 5 5 2 2 5 2 2 4" xfId="33940" xr:uid="{F7D8A089-D702-4641-A579-9864FDB471A3}"/>
    <cellStyle name="Normal 5 5 2 2 5 2 3" xfId="21288" xr:uid="{00000000-0005-0000-0000-00003B500000}"/>
    <cellStyle name="Normal 5 5 2 2 5 2 3 2" xfId="38157" xr:uid="{AA9213AE-6247-4894-AA30-032AA86FBB59}"/>
    <cellStyle name="Normal 5 5 2 2 5 2 4" xfId="12853" xr:uid="{00000000-0005-0000-0000-00003C500000}"/>
    <cellStyle name="Normal 5 5 2 2 5 2 5" xfId="29723" xr:uid="{DB4C0593-19A5-4735-8FBA-9129AAFBCA60}"/>
    <cellStyle name="Normal 5 5 2 2 5 3" xfId="6491" xr:uid="{00000000-0005-0000-0000-00003D500000}"/>
    <cellStyle name="Normal 5 5 2 2 5 3 2" xfId="23361" xr:uid="{00000000-0005-0000-0000-00003E500000}"/>
    <cellStyle name="Normal 5 5 2 2 5 3 2 2" xfId="40229" xr:uid="{799680AB-7F1A-4D0C-8D03-8E2A72363955}"/>
    <cellStyle name="Normal 5 5 2 2 5 3 3" xfId="14926" xr:uid="{00000000-0005-0000-0000-00003F500000}"/>
    <cellStyle name="Normal 5 5 2 2 5 3 4" xfId="31795" xr:uid="{D2B3BBF6-4CDC-451B-867A-F031947FD5DE}"/>
    <cellStyle name="Normal 5 5 2 2 5 4" xfId="19143" xr:uid="{00000000-0005-0000-0000-000040500000}"/>
    <cellStyle name="Normal 5 5 2 2 5 4 2" xfId="36012" xr:uid="{A7E9EC78-6F5D-46CF-905D-7E871DBB8E56}"/>
    <cellStyle name="Normal 5 5 2 2 5 5" xfId="10708" xr:uid="{00000000-0005-0000-0000-000041500000}"/>
    <cellStyle name="Normal 5 5 2 2 5 6" xfId="27578" xr:uid="{644E1DFB-EACE-4CC9-BEE8-30A4D675DDBA}"/>
    <cellStyle name="Normal 5 5 2 2 6" xfId="2620" xr:uid="{00000000-0005-0000-0000-000042500000}"/>
    <cellStyle name="Normal 5 5 2 2 6 2" xfId="6904" xr:uid="{00000000-0005-0000-0000-000043500000}"/>
    <cellStyle name="Normal 5 5 2 2 6 2 2" xfId="23774" xr:uid="{00000000-0005-0000-0000-000044500000}"/>
    <cellStyle name="Normal 5 5 2 2 6 2 2 2" xfId="40642" xr:uid="{4A2BEB8F-8B18-47E8-B2F3-21A607CE69C1}"/>
    <cellStyle name="Normal 5 5 2 2 6 2 3" xfId="15339" xr:uid="{00000000-0005-0000-0000-000045500000}"/>
    <cellStyle name="Normal 5 5 2 2 6 2 4" xfId="32208" xr:uid="{7129A93E-FF8C-4025-8E55-B6148EF9E26B}"/>
    <cellStyle name="Normal 5 5 2 2 6 3" xfId="19556" xr:uid="{00000000-0005-0000-0000-000046500000}"/>
    <cellStyle name="Normal 5 5 2 2 6 3 2" xfId="36425" xr:uid="{77590C4A-A9A2-414E-B640-80C65B5369F0}"/>
    <cellStyle name="Normal 5 5 2 2 6 4" xfId="11121" xr:uid="{00000000-0005-0000-0000-000047500000}"/>
    <cellStyle name="Normal 5 5 2 2 6 5" xfId="27991" xr:uid="{8364C521-9049-49BB-906E-7F5C6FFB5F91}"/>
    <cellStyle name="Normal 5 5 2 2 7" xfId="4839" xr:uid="{00000000-0005-0000-0000-000048500000}"/>
    <cellStyle name="Normal 5 5 2 2 7 2" xfId="21709" xr:uid="{00000000-0005-0000-0000-000049500000}"/>
    <cellStyle name="Normal 5 5 2 2 7 2 2" xfId="38577" xr:uid="{A00A1F7B-C01C-4668-B329-41E5B89F5C05}"/>
    <cellStyle name="Normal 5 5 2 2 7 3" xfId="13274" xr:uid="{00000000-0005-0000-0000-00004A500000}"/>
    <cellStyle name="Normal 5 5 2 2 7 4" xfId="30143" xr:uid="{8080C7A8-8AA4-48D7-A6D1-A7921744EDE8}"/>
    <cellStyle name="Normal 5 5 2 2 8" xfId="17491" xr:uid="{00000000-0005-0000-0000-00004B500000}"/>
    <cellStyle name="Normal 5 5 2 2 8 2" xfId="34360" xr:uid="{58623C2E-0F9F-4081-B9C6-D1E65E952A56}"/>
    <cellStyle name="Normal 5 5 2 2 9" xfId="9056" xr:uid="{00000000-0005-0000-0000-00004C500000}"/>
    <cellStyle name="Normal 5 5 2 3" xfId="939" xr:uid="{00000000-0005-0000-0000-00004D500000}"/>
    <cellStyle name="Normal 5 5 2 3 2" xfId="3173" xr:uid="{00000000-0005-0000-0000-00004E500000}"/>
    <cellStyle name="Normal 5 5 2 3 2 2" xfId="7396" xr:uid="{00000000-0005-0000-0000-00004F500000}"/>
    <cellStyle name="Normal 5 5 2 3 2 2 2" xfId="24266" xr:uid="{00000000-0005-0000-0000-000050500000}"/>
    <cellStyle name="Normal 5 5 2 3 2 2 2 2" xfId="41134" xr:uid="{6F5CE38D-A472-4762-8332-7CC4BEFCBEEB}"/>
    <cellStyle name="Normal 5 5 2 3 2 2 3" xfId="15831" xr:uid="{00000000-0005-0000-0000-000051500000}"/>
    <cellStyle name="Normal 5 5 2 3 2 2 4" xfId="32700" xr:uid="{6522AAD9-50A9-41FD-A13D-E5899D6FB4BF}"/>
    <cellStyle name="Normal 5 5 2 3 2 3" xfId="20048" xr:uid="{00000000-0005-0000-0000-000052500000}"/>
    <cellStyle name="Normal 5 5 2 3 2 3 2" xfId="36917" xr:uid="{1DF41912-F879-4D86-81DC-4BBBE230BB46}"/>
    <cellStyle name="Normal 5 5 2 3 2 4" xfId="11613" xr:uid="{00000000-0005-0000-0000-000053500000}"/>
    <cellStyle name="Normal 5 5 2 3 2 5" xfId="28483" xr:uid="{78C3C9D3-9DB7-4FDA-9F8D-6DF0B013D1B9}"/>
    <cellStyle name="Normal 5 5 2 3 3" xfId="5251" xr:uid="{00000000-0005-0000-0000-000054500000}"/>
    <cellStyle name="Normal 5 5 2 3 3 2" xfId="22121" xr:uid="{00000000-0005-0000-0000-000055500000}"/>
    <cellStyle name="Normal 5 5 2 3 3 2 2" xfId="38989" xr:uid="{FA2E4127-DC8B-46EE-BD50-A988F6B6F47E}"/>
    <cellStyle name="Normal 5 5 2 3 3 3" xfId="13686" xr:uid="{00000000-0005-0000-0000-000056500000}"/>
    <cellStyle name="Normal 5 5 2 3 3 4" xfId="30555" xr:uid="{3B9FBCFB-E425-4120-A1EF-2BD885CAEA5B}"/>
    <cellStyle name="Normal 5 5 2 3 4" xfId="17903" xr:uid="{00000000-0005-0000-0000-000057500000}"/>
    <cellStyle name="Normal 5 5 2 3 4 2" xfId="34772" xr:uid="{D50348C0-B914-4BDA-A0F4-A77FD514C39D}"/>
    <cellStyle name="Normal 5 5 2 3 5" xfId="9468" xr:uid="{00000000-0005-0000-0000-000058500000}"/>
    <cellStyle name="Normal 5 5 2 3 6" xfId="26338" xr:uid="{64FF9BE9-DC2F-427B-98A3-A09022632AD1}"/>
    <cellStyle name="Normal 5 5 2 4" xfId="1356" xr:uid="{00000000-0005-0000-0000-000059500000}"/>
    <cellStyle name="Normal 5 5 2 4 2" xfId="3586" xr:uid="{00000000-0005-0000-0000-00005A500000}"/>
    <cellStyle name="Normal 5 5 2 4 2 2" xfId="7809" xr:uid="{00000000-0005-0000-0000-00005B500000}"/>
    <cellStyle name="Normal 5 5 2 4 2 2 2" xfId="24679" xr:uid="{00000000-0005-0000-0000-00005C500000}"/>
    <cellStyle name="Normal 5 5 2 4 2 2 2 2" xfId="41547" xr:uid="{B5F35E05-4556-4653-9C92-8DFED3DD6A17}"/>
    <cellStyle name="Normal 5 5 2 4 2 2 3" xfId="16244" xr:uid="{00000000-0005-0000-0000-00005D500000}"/>
    <cellStyle name="Normal 5 5 2 4 2 2 4" xfId="33113" xr:uid="{34317CB1-13A1-4160-88D4-B00D8B22A414}"/>
    <cellStyle name="Normal 5 5 2 4 2 3" xfId="20461" xr:uid="{00000000-0005-0000-0000-00005E500000}"/>
    <cellStyle name="Normal 5 5 2 4 2 3 2" xfId="37330" xr:uid="{06C1D3EF-17EB-478E-B55F-C4943D4D53C8}"/>
    <cellStyle name="Normal 5 5 2 4 2 4" xfId="12026" xr:uid="{00000000-0005-0000-0000-00005F500000}"/>
    <cellStyle name="Normal 5 5 2 4 2 5" xfId="28896" xr:uid="{2C6D178B-C47F-480B-ACEE-085989848A23}"/>
    <cellStyle name="Normal 5 5 2 4 3" xfId="5664" xr:uid="{00000000-0005-0000-0000-000060500000}"/>
    <cellStyle name="Normal 5 5 2 4 3 2" xfId="22534" xr:uid="{00000000-0005-0000-0000-000061500000}"/>
    <cellStyle name="Normal 5 5 2 4 3 2 2" xfId="39402" xr:uid="{725D829D-4238-490D-BC0B-ACB8C9D70C45}"/>
    <cellStyle name="Normal 5 5 2 4 3 3" xfId="14099" xr:uid="{00000000-0005-0000-0000-000062500000}"/>
    <cellStyle name="Normal 5 5 2 4 3 4" xfId="30968" xr:uid="{44453D54-2A17-46A5-A4FC-38599C6EEADC}"/>
    <cellStyle name="Normal 5 5 2 4 4" xfId="18316" xr:uid="{00000000-0005-0000-0000-000063500000}"/>
    <cellStyle name="Normal 5 5 2 4 4 2" xfId="35185" xr:uid="{DB73CED9-8E9E-4086-81C3-E69444C9A310}"/>
    <cellStyle name="Normal 5 5 2 4 5" xfId="9881" xr:uid="{00000000-0005-0000-0000-000064500000}"/>
    <cellStyle name="Normal 5 5 2 4 6" xfId="26751" xr:uid="{678D08CC-1545-4E82-A029-3DEE4EA10265}"/>
    <cellStyle name="Normal 5 5 2 5" xfId="1769" xr:uid="{00000000-0005-0000-0000-000065500000}"/>
    <cellStyle name="Normal 5 5 2 5 2" xfId="3999" xr:uid="{00000000-0005-0000-0000-000066500000}"/>
    <cellStyle name="Normal 5 5 2 5 2 2" xfId="8222" xr:uid="{00000000-0005-0000-0000-000067500000}"/>
    <cellStyle name="Normal 5 5 2 5 2 2 2" xfId="25092" xr:uid="{00000000-0005-0000-0000-000068500000}"/>
    <cellStyle name="Normal 5 5 2 5 2 2 2 2" xfId="41960" xr:uid="{5F3CCCB5-0FB7-495E-BFD9-06C50DE5570D}"/>
    <cellStyle name="Normal 5 5 2 5 2 2 3" xfId="16657" xr:uid="{00000000-0005-0000-0000-000069500000}"/>
    <cellStyle name="Normal 5 5 2 5 2 2 4" xfId="33526" xr:uid="{59E585E8-8306-4C7A-976E-05725D30BB9E}"/>
    <cellStyle name="Normal 5 5 2 5 2 3" xfId="20874" xr:uid="{00000000-0005-0000-0000-00006A500000}"/>
    <cellStyle name="Normal 5 5 2 5 2 3 2" xfId="37743" xr:uid="{7CEEA024-17F3-4B32-8D32-D5E1A3CBCF3E}"/>
    <cellStyle name="Normal 5 5 2 5 2 4" xfId="12439" xr:uid="{00000000-0005-0000-0000-00006B500000}"/>
    <cellStyle name="Normal 5 5 2 5 2 5" xfId="29309" xr:uid="{4B83B3FE-0C6E-4DC9-9EEC-6DE3E4FECE34}"/>
    <cellStyle name="Normal 5 5 2 5 3" xfId="6077" xr:uid="{00000000-0005-0000-0000-00006C500000}"/>
    <cellStyle name="Normal 5 5 2 5 3 2" xfId="22947" xr:uid="{00000000-0005-0000-0000-00006D500000}"/>
    <cellStyle name="Normal 5 5 2 5 3 2 2" xfId="39815" xr:uid="{553A4C70-9166-44D7-A30A-F070D16DA5FD}"/>
    <cellStyle name="Normal 5 5 2 5 3 3" xfId="14512" xr:uid="{00000000-0005-0000-0000-00006E500000}"/>
    <cellStyle name="Normal 5 5 2 5 3 4" xfId="31381" xr:uid="{04556920-9768-44D4-8C8D-734AE8FF6C2A}"/>
    <cellStyle name="Normal 5 5 2 5 4" xfId="18729" xr:uid="{00000000-0005-0000-0000-00006F500000}"/>
    <cellStyle name="Normal 5 5 2 5 4 2" xfId="35598" xr:uid="{5B9A4F29-2930-4643-B2F2-604C89933F8F}"/>
    <cellStyle name="Normal 5 5 2 5 5" xfId="10294" xr:uid="{00000000-0005-0000-0000-000070500000}"/>
    <cellStyle name="Normal 5 5 2 5 6" xfId="27164" xr:uid="{7FAF7EE5-856F-4292-9EDC-F6AF3A8808BA}"/>
    <cellStyle name="Normal 5 5 2 6" xfId="2183" xr:uid="{00000000-0005-0000-0000-000071500000}"/>
    <cellStyle name="Normal 5 5 2 6 2" xfId="4412" xr:uid="{00000000-0005-0000-0000-000072500000}"/>
    <cellStyle name="Normal 5 5 2 6 2 2" xfId="8635" xr:uid="{00000000-0005-0000-0000-000073500000}"/>
    <cellStyle name="Normal 5 5 2 6 2 2 2" xfId="25505" xr:uid="{00000000-0005-0000-0000-000074500000}"/>
    <cellStyle name="Normal 5 5 2 6 2 2 2 2" xfId="42373" xr:uid="{3ED61D40-54FA-4E32-B48E-CFE830FCEBB5}"/>
    <cellStyle name="Normal 5 5 2 6 2 2 3" xfId="17070" xr:uid="{00000000-0005-0000-0000-000075500000}"/>
    <cellStyle name="Normal 5 5 2 6 2 2 4" xfId="33939" xr:uid="{26FAE5E2-2292-473B-8F68-C491AD09BA28}"/>
    <cellStyle name="Normal 5 5 2 6 2 3" xfId="21287" xr:uid="{00000000-0005-0000-0000-000076500000}"/>
    <cellStyle name="Normal 5 5 2 6 2 3 2" xfId="38156" xr:uid="{711500E9-AA2A-4B32-8B85-FED117B947EF}"/>
    <cellStyle name="Normal 5 5 2 6 2 4" xfId="12852" xr:uid="{00000000-0005-0000-0000-000077500000}"/>
    <cellStyle name="Normal 5 5 2 6 2 5" xfId="29722" xr:uid="{A1CEE0FC-1204-495E-9691-FCA0C27C6BB3}"/>
    <cellStyle name="Normal 5 5 2 6 3" xfId="6490" xr:uid="{00000000-0005-0000-0000-000078500000}"/>
    <cellStyle name="Normal 5 5 2 6 3 2" xfId="23360" xr:uid="{00000000-0005-0000-0000-000079500000}"/>
    <cellStyle name="Normal 5 5 2 6 3 2 2" xfId="40228" xr:uid="{BC4624AA-177F-4AAF-B7BB-D1C89E2F1996}"/>
    <cellStyle name="Normal 5 5 2 6 3 3" xfId="14925" xr:uid="{00000000-0005-0000-0000-00007A500000}"/>
    <cellStyle name="Normal 5 5 2 6 3 4" xfId="31794" xr:uid="{6E10A5B3-D640-406B-B8FA-370AD2AC9FFF}"/>
    <cellStyle name="Normal 5 5 2 6 4" xfId="19142" xr:uid="{00000000-0005-0000-0000-00007B500000}"/>
    <cellStyle name="Normal 5 5 2 6 4 2" xfId="36011" xr:uid="{96706A53-7867-487C-B2D5-68A7C16DBF7F}"/>
    <cellStyle name="Normal 5 5 2 6 5" xfId="10707" xr:uid="{00000000-0005-0000-0000-00007C500000}"/>
    <cellStyle name="Normal 5 5 2 6 6" xfId="27577" xr:uid="{BDB9F1C2-60D8-4218-B1FB-7352C6300FD0}"/>
    <cellStyle name="Normal 5 5 2 7" xfId="2619" xr:uid="{00000000-0005-0000-0000-00007D500000}"/>
    <cellStyle name="Normal 5 5 2 7 2" xfId="6903" xr:uid="{00000000-0005-0000-0000-00007E500000}"/>
    <cellStyle name="Normal 5 5 2 7 2 2" xfId="23773" xr:uid="{00000000-0005-0000-0000-00007F500000}"/>
    <cellStyle name="Normal 5 5 2 7 2 2 2" xfId="40641" xr:uid="{C14CF073-572A-4948-BBCA-B4BD7960A1AD}"/>
    <cellStyle name="Normal 5 5 2 7 2 3" xfId="15338" xr:uid="{00000000-0005-0000-0000-000080500000}"/>
    <cellStyle name="Normal 5 5 2 7 2 4" xfId="32207" xr:uid="{7260DB66-69F3-43DE-ADDF-58AC7E43F506}"/>
    <cellStyle name="Normal 5 5 2 7 3" xfId="19555" xr:uid="{00000000-0005-0000-0000-000081500000}"/>
    <cellStyle name="Normal 5 5 2 7 3 2" xfId="36424" xr:uid="{8ED254C4-5DB0-41E8-9070-C019DCA6427F}"/>
    <cellStyle name="Normal 5 5 2 7 4" xfId="11120" xr:uid="{00000000-0005-0000-0000-000082500000}"/>
    <cellStyle name="Normal 5 5 2 7 5" xfId="27990" xr:uid="{B2769F39-3E64-47D3-8448-68771B694442}"/>
    <cellStyle name="Normal 5 5 2 8" xfId="4838" xr:uid="{00000000-0005-0000-0000-000083500000}"/>
    <cellStyle name="Normal 5 5 2 8 2" xfId="21708" xr:uid="{00000000-0005-0000-0000-000084500000}"/>
    <cellStyle name="Normal 5 5 2 8 2 2" xfId="38576" xr:uid="{BD3A948E-A8D9-41FA-923D-7960B40B323C}"/>
    <cellStyle name="Normal 5 5 2 8 3" xfId="13273" xr:uid="{00000000-0005-0000-0000-000085500000}"/>
    <cellStyle name="Normal 5 5 2 8 4" xfId="30142" xr:uid="{8A856808-E300-45D6-AC91-753054E0B96F}"/>
    <cellStyle name="Normal 5 5 2 9" xfId="17490" xr:uid="{00000000-0005-0000-0000-000086500000}"/>
    <cellStyle name="Normal 5 5 2 9 2" xfId="34359" xr:uid="{141AF674-E3D6-4373-8984-2ABB985E4B6E}"/>
    <cellStyle name="Normal 5 5 3" xfId="467" xr:uid="{00000000-0005-0000-0000-000087500000}"/>
    <cellStyle name="Normal 5 5 3 10" xfId="25927" xr:uid="{040A3A43-820F-4C61-A709-82EAF76CA1A7}"/>
    <cellStyle name="Normal 5 5 3 2" xfId="941" xr:uid="{00000000-0005-0000-0000-000088500000}"/>
    <cellStyle name="Normal 5 5 3 2 2" xfId="3175" xr:uid="{00000000-0005-0000-0000-000089500000}"/>
    <cellStyle name="Normal 5 5 3 2 2 2" xfId="7398" xr:uid="{00000000-0005-0000-0000-00008A500000}"/>
    <cellStyle name="Normal 5 5 3 2 2 2 2" xfId="24268" xr:uid="{00000000-0005-0000-0000-00008B500000}"/>
    <cellStyle name="Normal 5 5 3 2 2 2 2 2" xfId="41136" xr:uid="{AB878594-9FCB-4B71-8486-33080DE21D02}"/>
    <cellStyle name="Normal 5 5 3 2 2 2 3" xfId="15833" xr:uid="{00000000-0005-0000-0000-00008C500000}"/>
    <cellStyle name="Normal 5 5 3 2 2 2 4" xfId="32702" xr:uid="{06D41F7A-1DF3-4C27-BB75-46B0B29B8B5C}"/>
    <cellStyle name="Normal 5 5 3 2 2 3" xfId="20050" xr:uid="{00000000-0005-0000-0000-00008D500000}"/>
    <cellStyle name="Normal 5 5 3 2 2 3 2" xfId="36919" xr:uid="{70116EB0-FA90-465A-8089-A7A95C12CA26}"/>
    <cellStyle name="Normal 5 5 3 2 2 4" xfId="11615" xr:uid="{00000000-0005-0000-0000-00008E500000}"/>
    <cellStyle name="Normal 5 5 3 2 2 5" xfId="28485" xr:uid="{D42F192F-77E7-4342-9B3D-AF5BDB81BC84}"/>
    <cellStyle name="Normal 5 5 3 2 3" xfId="5253" xr:uid="{00000000-0005-0000-0000-00008F500000}"/>
    <cellStyle name="Normal 5 5 3 2 3 2" xfId="22123" xr:uid="{00000000-0005-0000-0000-000090500000}"/>
    <cellStyle name="Normal 5 5 3 2 3 2 2" xfId="38991" xr:uid="{5869C9AE-185A-44A3-8F38-EA65AEAF4B80}"/>
    <cellStyle name="Normal 5 5 3 2 3 3" xfId="13688" xr:uid="{00000000-0005-0000-0000-000091500000}"/>
    <cellStyle name="Normal 5 5 3 2 3 4" xfId="30557" xr:uid="{BB56D3DA-A3C8-49F9-98BB-4223208DDC16}"/>
    <cellStyle name="Normal 5 5 3 2 4" xfId="17905" xr:uid="{00000000-0005-0000-0000-000092500000}"/>
    <cellStyle name="Normal 5 5 3 2 4 2" xfId="34774" xr:uid="{BAA43148-3CDD-4268-8CBD-486D1F029653}"/>
    <cellStyle name="Normal 5 5 3 2 5" xfId="9470" xr:uid="{00000000-0005-0000-0000-000093500000}"/>
    <cellStyle name="Normal 5 5 3 2 6" xfId="26340" xr:uid="{87FCE97C-BF47-4640-8BBB-B508D548D8A3}"/>
    <cellStyle name="Normal 5 5 3 3" xfId="1358" xr:uid="{00000000-0005-0000-0000-000094500000}"/>
    <cellStyle name="Normal 5 5 3 3 2" xfId="3588" xr:uid="{00000000-0005-0000-0000-000095500000}"/>
    <cellStyle name="Normal 5 5 3 3 2 2" xfId="7811" xr:uid="{00000000-0005-0000-0000-000096500000}"/>
    <cellStyle name="Normal 5 5 3 3 2 2 2" xfId="24681" xr:uid="{00000000-0005-0000-0000-000097500000}"/>
    <cellStyle name="Normal 5 5 3 3 2 2 2 2" xfId="41549" xr:uid="{E049EEE3-A5B5-44B4-ACC6-E463647F3007}"/>
    <cellStyle name="Normal 5 5 3 3 2 2 3" xfId="16246" xr:uid="{00000000-0005-0000-0000-000098500000}"/>
    <cellStyle name="Normal 5 5 3 3 2 2 4" xfId="33115" xr:uid="{947969A8-457C-45C2-B86A-6E3E8642DC90}"/>
    <cellStyle name="Normal 5 5 3 3 2 3" xfId="20463" xr:uid="{00000000-0005-0000-0000-000099500000}"/>
    <cellStyle name="Normal 5 5 3 3 2 3 2" xfId="37332" xr:uid="{6F7C8B14-C9CC-40C1-92E3-5BE0A57133BB}"/>
    <cellStyle name="Normal 5 5 3 3 2 4" xfId="12028" xr:uid="{00000000-0005-0000-0000-00009A500000}"/>
    <cellStyle name="Normal 5 5 3 3 2 5" xfId="28898" xr:uid="{16D8CDC8-98F9-4D3B-B572-7760EBC3A9FB}"/>
    <cellStyle name="Normal 5 5 3 3 3" xfId="5666" xr:uid="{00000000-0005-0000-0000-00009B500000}"/>
    <cellStyle name="Normal 5 5 3 3 3 2" xfId="22536" xr:uid="{00000000-0005-0000-0000-00009C500000}"/>
    <cellStyle name="Normal 5 5 3 3 3 2 2" xfId="39404" xr:uid="{44A39F39-7340-4075-A028-1D8A40205088}"/>
    <cellStyle name="Normal 5 5 3 3 3 3" xfId="14101" xr:uid="{00000000-0005-0000-0000-00009D500000}"/>
    <cellStyle name="Normal 5 5 3 3 3 4" xfId="30970" xr:uid="{1018E5BF-CD6B-4688-80A5-90ED70094984}"/>
    <cellStyle name="Normal 5 5 3 3 4" xfId="18318" xr:uid="{00000000-0005-0000-0000-00009E500000}"/>
    <cellStyle name="Normal 5 5 3 3 4 2" xfId="35187" xr:uid="{F408F486-55C5-46AB-880E-B2E9A59D3132}"/>
    <cellStyle name="Normal 5 5 3 3 5" xfId="9883" xr:uid="{00000000-0005-0000-0000-00009F500000}"/>
    <cellStyle name="Normal 5 5 3 3 6" xfId="26753" xr:uid="{6E46D4E2-05DB-43EF-8321-57D4AEC309EE}"/>
    <cellStyle name="Normal 5 5 3 4" xfId="1771" xr:uid="{00000000-0005-0000-0000-0000A0500000}"/>
    <cellStyle name="Normal 5 5 3 4 2" xfId="4001" xr:uid="{00000000-0005-0000-0000-0000A1500000}"/>
    <cellStyle name="Normal 5 5 3 4 2 2" xfId="8224" xr:uid="{00000000-0005-0000-0000-0000A2500000}"/>
    <cellStyle name="Normal 5 5 3 4 2 2 2" xfId="25094" xr:uid="{00000000-0005-0000-0000-0000A3500000}"/>
    <cellStyle name="Normal 5 5 3 4 2 2 2 2" xfId="41962" xr:uid="{A4FA0884-B215-4DDB-B683-2670BF87A574}"/>
    <cellStyle name="Normal 5 5 3 4 2 2 3" xfId="16659" xr:uid="{00000000-0005-0000-0000-0000A4500000}"/>
    <cellStyle name="Normal 5 5 3 4 2 2 4" xfId="33528" xr:uid="{DA2951E5-BFFC-4B10-8E2B-B73A7981672B}"/>
    <cellStyle name="Normal 5 5 3 4 2 3" xfId="20876" xr:uid="{00000000-0005-0000-0000-0000A5500000}"/>
    <cellStyle name="Normal 5 5 3 4 2 3 2" xfId="37745" xr:uid="{20B44CDC-3997-4381-BE9C-5D598CDACFD6}"/>
    <cellStyle name="Normal 5 5 3 4 2 4" xfId="12441" xr:uid="{00000000-0005-0000-0000-0000A6500000}"/>
    <cellStyle name="Normal 5 5 3 4 2 5" xfId="29311" xr:uid="{C44667FB-D35D-4560-B183-13A71C952DD8}"/>
    <cellStyle name="Normal 5 5 3 4 3" xfId="6079" xr:uid="{00000000-0005-0000-0000-0000A7500000}"/>
    <cellStyle name="Normal 5 5 3 4 3 2" xfId="22949" xr:uid="{00000000-0005-0000-0000-0000A8500000}"/>
    <cellStyle name="Normal 5 5 3 4 3 2 2" xfId="39817" xr:uid="{F8876649-E4A9-4DA9-8CBC-66085900C4D9}"/>
    <cellStyle name="Normal 5 5 3 4 3 3" xfId="14514" xr:uid="{00000000-0005-0000-0000-0000A9500000}"/>
    <cellStyle name="Normal 5 5 3 4 3 4" xfId="31383" xr:uid="{FFEDA41B-A969-414D-B6B5-9FC0EADC73F4}"/>
    <cellStyle name="Normal 5 5 3 4 4" xfId="18731" xr:uid="{00000000-0005-0000-0000-0000AA500000}"/>
    <cellStyle name="Normal 5 5 3 4 4 2" xfId="35600" xr:uid="{78E62256-C361-4850-884D-44EAF5FFEE04}"/>
    <cellStyle name="Normal 5 5 3 4 5" xfId="10296" xr:uid="{00000000-0005-0000-0000-0000AB500000}"/>
    <cellStyle name="Normal 5 5 3 4 6" xfId="27166" xr:uid="{1A65C81D-EE22-4F6D-BDE9-1B120DC31EC3}"/>
    <cellStyle name="Normal 5 5 3 5" xfId="2185" xr:uid="{00000000-0005-0000-0000-0000AC500000}"/>
    <cellStyle name="Normal 5 5 3 5 2" xfId="4414" xr:uid="{00000000-0005-0000-0000-0000AD500000}"/>
    <cellStyle name="Normal 5 5 3 5 2 2" xfId="8637" xr:uid="{00000000-0005-0000-0000-0000AE500000}"/>
    <cellStyle name="Normal 5 5 3 5 2 2 2" xfId="25507" xr:uid="{00000000-0005-0000-0000-0000AF500000}"/>
    <cellStyle name="Normal 5 5 3 5 2 2 2 2" xfId="42375" xr:uid="{6CFE27B4-EC1B-454E-BCFB-CD012F053C21}"/>
    <cellStyle name="Normal 5 5 3 5 2 2 3" xfId="17072" xr:uid="{00000000-0005-0000-0000-0000B0500000}"/>
    <cellStyle name="Normal 5 5 3 5 2 2 4" xfId="33941" xr:uid="{DF6B3409-EBE7-4658-92C9-B26817590CBC}"/>
    <cellStyle name="Normal 5 5 3 5 2 3" xfId="21289" xr:uid="{00000000-0005-0000-0000-0000B1500000}"/>
    <cellStyle name="Normal 5 5 3 5 2 3 2" xfId="38158" xr:uid="{B459DB84-D411-48CE-9832-8AF2924DFD2D}"/>
    <cellStyle name="Normal 5 5 3 5 2 4" xfId="12854" xr:uid="{00000000-0005-0000-0000-0000B2500000}"/>
    <cellStyle name="Normal 5 5 3 5 2 5" xfId="29724" xr:uid="{3F72EB85-7CE5-447C-A8E8-3B8EA2F1E10B}"/>
    <cellStyle name="Normal 5 5 3 5 3" xfId="6492" xr:uid="{00000000-0005-0000-0000-0000B3500000}"/>
    <cellStyle name="Normal 5 5 3 5 3 2" xfId="23362" xr:uid="{00000000-0005-0000-0000-0000B4500000}"/>
    <cellStyle name="Normal 5 5 3 5 3 2 2" xfId="40230" xr:uid="{D72B05FA-3994-4CB8-933E-E5414F29C182}"/>
    <cellStyle name="Normal 5 5 3 5 3 3" xfId="14927" xr:uid="{00000000-0005-0000-0000-0000B5500000}"/>
    <cellStyle name="Normal 5 5 3 5 3 4" xfId="31796" xr:uid="{717B79F5-BFF8-44F6-A77E-38AE5429C8C5}"/>
    <cellStyle name="Normal 5 5 3 5 4" xfId="19144" xr:uid="{00000000-0005-0000-0000-0000B6500000}"/>
    <cellStyle name="Normal 5 5 3 5 4 2" xfId="36013" xr:uid="{D435C27B-6431-4478-AD56-44072FF5139F}"/>
    <cellStyle name="Normal 5 5 3 5 5" xfId="10709" xr:uid="{00000000-0005-0000-0000-0000B7500000}"/>
    <cellStyle name="Normal 5 5 3 5 6" xfId="27579" xr:uid="{606D749A-1AA2-4C8D-8199-C2831AA10319}"/>
    <cellStyle name="Normal 5 5 3 6" xfId="2621" xr:uid="{00000000-0005-0000-0000-0000B8500000}"/>
    <cellStyle name="Normal 5 5 3 6 2" xfId="6905" xr:uid="{00000000-0005-0000-0000-0000B9500000}"/>
    <cellStyle name="Normal 5 5 3 6 2 2" xfId="23775" xr:uid="{00000000-0005-0000-0000-0000BA500000}"/>
    <cellStyle name="Normal 5 5 3 6 2 2 2" xfId="40643" xr:uid="{63E4FE8A-622B-4107-A848-847FF831699A}"/>
    <cellStyle name="Normal 5 5 3 6 2 3" xfId="15340" xr:uid="{00000000-0005-0000-0000-0000BB500000}"/>
    <cellStyle name="Normal 5 5 3 6 2 4" xfId="32209" xr:uid="{5A49A01D-89B5-4327-9B74-F4C337D94247}"/>
    <cellStyle name="Normal 5 5 3 6 3" xfId="19557" xr:uid="{00000000-0005-0000-0000-0000BC500000}"/>
    <cellStyle name="Normal 5 5 3 6 3 2" xfId="36426" xr:uid="{9F589338-8706-4D66-98CC-9949AD4CA0FB}"/>
    <cellStyle name="Normal 5 5 3 6 4" xfId="11122" xr:uid="{00000000-0005-0000-0000-0000BD500000}"/>
    <cellStyle name="Normal 5 5 3 6 5" xfId="27992" xr:uid="{697E4B9C-8060-447A-B403-383824C661BE}"/>
    <cellStyle name="Normal 5 5 3 7" xfId="4840" xr:uid="{00000000-0005-0000-0000-0000BE500000}"/>
    <cellStyle name="Normal 5 5 3 7 2" xfId="21710" xr:uid="{00000000-0005-0000-0000-0000BF500000}"/>
    <cellStyle name="Normal 5 5 3 7 2 2" xfId="38578" xr:uid="{C2F99BE9-DEE6-44A7-827F-56E3E92BAB85}"/>
    <cellStyle name="Normal 5 5 3 7 3" xfId="13275" xr:uid="{00000000-0005-0000-0000-0000C0500000}"/>
    <cellStyle name="Normal 5 5 3 7 4" xfId="30144" xr:uid="{F798AA8C-5A51-4C8D-BB4A-80B1D0474100}"/>
    <cellStyle name="Normal 5 5 3 8" xfId="17492" xr:uid="{00000000-0005-0000-0000-0000C1500000}"/>
    <cellStyle name="Normal 5 5 3 8 2" xfId="34361" xr:uid="{6DBF9335-B225-405C-8F1B-3CD25F5B2E55}"/>
    <cellStyle name="Normal 5 5 3 9" xfId="9057" xr:uid="{00000000-0005-0000-0000-0000C2500000}"/>
    <cellStyle name="Normal 5 5 4" xfId="938" xr:uid="{00000000-0005-0000-0000-0000C3500000}"/>
    <cellStyle name="Normal 5 5 4 2" xfId="3172" xr:uid="{00000000-0005-0000-0000-0000C4500000}"/>
    <cellStyle name="Normal 5 5 4 2 2" xfId="7395" xr:uid="{00000000-0005-0000-0000-0000C5500000}"/>
    <cellStyle name="Normal 5 5 4 2 2 2" xfId="24265" xr:uid="{00000000-0005-0000-0000-0000C6500000}"/>
    <cellStyle name="Normal 5 5 4 2 2 2 2" xfId="41133" xr:uid="{58FACDCC-B082-4257-9CD4-DBB3B1AFB7EF}"/>
    <cellStyle name="Normal 5 5 4 2 2 3" xfId="15830" xr:uid="{00000000-0005-0000-0000-0000C7500000}"/>
    <cellStyle name="Normal 5 5 4 2 2 4" xfId="32699" xr:uid="{CF4A577D-E2FA-4C2B-822B-207B04CDF115}"/>
    <cellStyle name="Normal 5 5 4 2 3" xfId="20047" xr:uid="{00000000-0005-0000-0000-0000C8500000}"/>
    <cellStyle name="Normal 5 5 4 2 3 2" xfId="36916" xr:uid="{DB40BB58-6D55-4D58-BADE-14D7820F5015}"/>
    <cellStyle name="Normal 5 5 4 2 4" xfId="11612" xr:uid="{00000000-0005-0000-0000-0000C9500000}"/>
    <cellStyle name="Normal 5 5 4 2 5" xfId="28482" xr:uid="{1C0DA7D7-AC1D-4BF1-9231-142F8F24B984}"/>
    <cellStyle name="Normal 5 5 4 3" xfId="5250" xr:uid="{00000000-0005-0000-0000-0000CA500000}"/>
    <cellStyle name="Normal 5 5 4 3 2" xfId="22120" xr:uid="{00000000-0005-0000-0000-0000CB500000}"/>
    <cellStyle name="Normal 5 5 4 3 2 2" xfId="38988" xr:uid="{E60FB4FB-1461-4E31-BCD9-F03AF8C12A91}"/>
    <cellStyle name="Normal 5 5 4 3 3" xfId="13685" xr:uid="{00000000-0005-0000-0000-0000CC500000}"/>
    <cellStyle name="Normal 5 5 4 3 4" xfId="30554" xr:uid="{A41A95D7-E712-4FC7-9318-7769DC8CAF0D}"/>
    <cellStyle name="Normal 5 5 4 4" xfId="17902" xr:uid="{00000000-0005-0000-0000-0000CD500000}"/>
    <cellStyle name="Normal 5 5 4 4 2" xfId="34771" xr:uid="{01B51F15-8758-4D55-8884-942EB6F4A581}"/>
    <cellStyle name="Normal 5 5 4 5" xfId="9467" xr:uid="{00000000-0005-0000-0000-0000CE500000}"/>
    <cellStyle name="Normal 5 5 4 6" xfId="26337" xr:uid="{B53009AC-0168-4A5C-895C-CCEFB239EB27}"/>
    <cellStyle name="Normal 5 5 5" xfId="1355" xr:uid="{00000000-0005-0000-0000-0000CF500000}"/>
    <cellStyle name="Normal 5 5 5 2" xfId="3585" xr:uid="{00000000-0005-0000-0000-0000D0500000}"/>
    <cellStyle name="Normal 5 5 5 2 2" xfId="7808" xr:uid="{00000000-0005-0000-0000-0000D1500000}"/>
    <cellStyle name="Normal 5 5 5 2 2 2" xfId="24678" xr:uid="{00000000-0005-0000-0000-0000D2500000}"/>
    <cellStyle name="Normal 5 5 5 2 2 2 2" xfId="41546" xr:uid="{912ADC20-2A6A-415D-A249-5C5E5CA77BD0}"/>
    <cellStyle name="Normal 5 5 5 2 2 3" xfId="16243" xr:uid="{00000000-0005-0000-0000-0000D3500000}"/>
    <cellStyle name="Normal 5 5 5 2 2 4" xfId="33112" xr:uid="{EC71B7C9-EB47-4C5B-AED9-3218EF5956D0}"/>
    <cellStyle name="Normal 5 5 5 2 3" xfId="20460" xr:uid="{00000000-0005-0000-0000-0000D4500000}"/>
    <cellStyle name="Normal 5 5 5 2 3 2" xfId="37329" xr:uid="{2592F8C1-922B-47AE-91E4-4405A0319C29}"/>
    <cellStyle name="Normal 5 5 5 2 4" xfId="12025" xr:uid="{00000000-0005-0000-0000-0000D5500000}"/>
    <cellStyle name="Normal 5 5 5 2 5" xfId="28895" xr:uid="{AF729300-52B7-4574-8D59-44CA16EF0908}"/>
    <cellStyle name="Normal 5 5 5 3" xfId="5663" xr:uid="{00000000-0005-0000-0000-0000D6500000}"/>
    <cellStyle name="Normal 5 5 5 3 2" xfId="22533" xr:uid="{00000000-0005-0000-0000-0000D7500000}"/>
    <cellStyle name="Normal 5 5 5 3 2 2" xfId="39401" xr:uid="{2754434B-F01F-461B-94C8-CB55C7904FBC}"/>
    <cellStyle name="Normal 5 5 5 3 3" xfId="14098" xr:uid="{00000000-0005-0000-0000-0000D8500000}"/>
    <cellStyle name="Normal 5 5 5 3 4" xfId="30967" xr:uid="{55933F1D-AF6A-45B7-9D8D-AF73CC7FA311}"/>
    <cellStyle name="Normal 5 5 5 4" xfId="18315" xr:uid="{00000000-0005-0000-0000-0000D9500000}"/>
    <cellStyle name="Normal 5 5 5 4 2" xfId="35184" xr:uid="{EB7CEA02-832B-425C-A1B9-413B8BE99407}"/>
    <cellStyle name="Normal 5 5 5 5" xfId="9880" xr:uid="{00000000-0005-0000-0000-0000DA500000}"/>
    <cellStyle name="Normal 5 5 5 6" xfId="26750" xr:uid="{7F3A1674-4E93-4A37-83A0-EC905221415B}"/>
    <cellStyle name="Normal 5 5 6" xfId="1768" xr:uid="{00000000-0005-0000-0000-0000DB500000}"/>
    <cellStyle name="Normal 5 5 6 2" xfId="3998" xr:uid="{00000000-0005-0000-0000-0000DC500000}"/>
    <cellStyle name="Normal 5 5 6 2 2" xfId="8221" xr:uid="{00000000-0005-0000-0000-0000DD500000}"/>
    <cellStyle name="Normal 5 5 6 2 2 2" xfId="25091" xr:uid="{00000000-0005-0000-0000-0000DE500000}"/>
    <cellStyle name="Normal 5 5 6 2 2 2 2" xfId="41959" xr:uid="{49DEC29A-18C4-4D46-AEEF-DDB87032C437}"/>
    <cellStyle name="Normal 5 5 6 2 2 3" xfId="16656" xr:uid="{00000000-0005-0000-0000-0000DF500000}"/>
    <cellStyle name="Normal 5 5 6 2 2 4" xfId="33525" xr:uid="{3D68B8F0-F06D-456E-8E1D-040DF02DC0F8}"/>
    <cellStyle name="Normal 5 5 6 2 3" xfId="20873" xr:uid="{00000000-0005-0000-0000-0000E0500000}"/>
    <cellStyle name="Normal 5 5 6 2 3 2" xfId="37742" xr:uid="{653D76D1-67C5-4140-B17F-33E526E8EEE8}"/>
    <cellStyle name="Normal 5 5 6 2 4" xfId="12438" xr:uid="{00000000-0005-0000-0000-0000E1500000}"/>
    <cellStyle name="Normal 5 5 6 2 5" xfId="29308" xr:uid="{CD2B2A47-3518-4FAB-9FDA-F9C08E0A0066}"/>
    <cellStyle name="Normal 5 5 6 3" xfId="6076" xr:uid="{00000000-0005-0000-0000-0000E2500000}"/>
    <cellStyle name="Normal 5 5 6 3 2" xfId="22946" xr:uid="{00000000-0005-0000-0000-0000E3500000}"/>
    <cellStyle name="Normal 5 5 6 3 2 2" xfId="39814" xr:uid="{1C03E0F8-EEDF-46E1-ACA1-45CF70B33A82}"/>
    <cellStyle name="Normal 5 5 6 3 3" xfId="14511" xr:uid="{00000000-0005-0000-0000-0000E4500000}"/>
    <cellStyle name="Normal 5 5 6 3 4" xfId="31380" xr:uid="{C45944E4-6A9C-48E7-8460-77AA5400EFCF}"/>
    <cellStyle name="Normal 5 5 6 4" xfId="18728" xr:uid="{00000000-0005-0000-0000-0000E5500000}"/>
    <cellStyle name="Normal 5 5 6 4 2" xfId="35597" xr:uid="{1417BC71-1731-4476-9223-718ABFB12292}"/>
    <cellStyle name="Normal 5 5 6 5" xfId="10293" xr:uid="{00000000-0005-0000-0000-0000E6500000}"/>
    <cellStyle name="Normal 5 5 6 6" xfId="27163" xr:uid="{576278A7-8786-43F3-959A-8C44C34AD0F5}"/>
    <cellStyle name="Normal 5 5 7" xfId="2182" xr:uid="{00000000-0005-0000-0000-0000E7500000}"/>
    <cellStyle name="Normal 5 5 7 2" xfId="4411" xr:uid="{00000000-0005-0000-0000-0000E8500000}"/>
    <cellStyle name="Normal 5 5 7 2 2" xfId="8634" xr:uid="{00000000-0005-0000-0000-0000E9500000}"/>
    <cellStyle name="Normal 5 5 7 2 2 2" xfId="25504" xr:uid="{00000000-0005-0000-0000-0000EA500000}"/>
    <cellStyle name="Normal 5 5 7 2 2 2 2" xfId="42372" xr:uid="{AAEB1556-ED6D-47A4-BA9F-2EC8FA2C17B2}"/>
    <cellStyle name="Normal 5 5 7 2 2 3" xfId="17069" xr:uid="{00000000-0005-0000-0000-0000EB500000}"/>
    <cellStyle name="Normal 5 5 7 2 2 4" xfId="33938" xr:uid="{BD74F2BF-E471-4DA6-BC2A-A023E001C996}"/>
    <cellStyle name="Normal 5 5 7 2 3" xfId="21286" xr:uid="{00000000-0005-0000-0000-0000EC500000}"/>
    <cellStyle name="Normal 5 5 7 2 3 2" xfId="38155" xr:uid="{0ECF22AD-7CBA-4A5F-8E96-2EA2E649F719}"/>
    <cellStyle name="Normal 5 5 7 2 4" xfId="12851" xr:uid="{00000000-0005-0000-0000-0000ED500000}"/>
    <cellStyle name="Normal 5 5 7 2 5" xfId="29721" xr:uid="{40E86A0C-8BA1-4111-8EE4-6544FB13B071}"/>
    <cellStyle name="Normal 5 5 7 3" xfId="6489" xr:uid="{00000000-0005-0000-0000-0000EE500000}"/>
    <cellStyle name="Normal 5 5 7 3 2" xfId="23359" xr:uid="{00000000-0005-0000-0000-0000EF500000}"/>
    <cellStyle name="Normal 5 5 7 3 2 2" xfId="40227" xr:uid="{C8FCC525-117D-4F09-A5B4-D2822D944D9E}"/>
    <cellStyle name="Normal 5 5 7 3 3" xfId="14924" xr:uid="{00000000-0005-0000-0000-0000F0500000}"/>
    <cellStyle name="Normal 5 5 7 3 4" xfId="31793" xr:uid="{C75AB555-9E39-483D-A10E-A7D0BC5DFFF8}"/>
    <cellStyle name="Normal 5 5 7 4" xfId="19141" xr:uid="{00000000-0005-0000-0000-0000F1500000}"/>
    <cellStyle name="Normal 5 5 7 4 2" xfId="36010" xr:uid="{9881B7EB-459B-42FB-839F-D4D70CC977B9}"/>
    <cellStyle name="Normal 5 5 7 5" xfId="10706" xr:uid="{00000000-0005-0000-0000-0000F2500000}"/>
    <cellStyle name="Normal 5 5 7 6" xfId="27576" xr:uid="{C7340C5E-118D-4DB2-B152-848FD8355CE1}"/>
    <cellStyle name="Normal 5 5 8" xfId="2618" xr:uid="{00000000-0005-0000-0000-0000F3500000}"/>
    <cellStyle name="Normal 5 5 8 2" xfId="6902" xr:uid="{00000000-0005-0000-0000-0000F4500000}"/>
    <cellStyle name="Normal 5 5 8 2 2" xfId="23772" xr:uid="{00000000-0005-0000-0000-0000F5500000}"/>
    <cellStyle name="Normal 5 5 8 2 2 2" xfId="40640" xr:uid="{CD70D44F-5055-499A-87FA-DC06746D4A43}"/>
    <cellStyle name="Normal 5 5 8 2 3" xfId="15337" xr:uid="{00000000-0005-0000-0000-0000F6500000}"/>
    <cellStyle name="Normal 5 5 8 2 4" xfId="32206" xr:uid="{20DE6414-ECA5-47A1-808C-07A766DAE8B3}"/>
    <cellStyle name="Normal 5 5 8 3" xfId="19554" xr:uid="{00000000-0005-0000-0000-0000F7500000}"/>
    <cellStyle name="Normal 5 5 8 3 2" xfId="36423" xr:uid="{50033360-EB2F-4D8C-989B-B251C15F693D}"/>
    <cellStyle name="Normal 5 5 8 4" xfId="11119" xr:uid="{00000000-0005-0000-0000-0000F8500000}"/>
    <cellStyle name="Normal 5 5 8 5" xfId="27989" xr:uid="{1EC23720-6ABE-4246-AD3C-0E6E72526917}"/>
    <cellStyle name="Normal 5 5 9" xfId="4837" xr:uid="{00000000-0005-0000-0000-0000F9500000}"/>
    <cellStyle name="Normal 5 5 9 2" xfId="21707" xr:uid="{00000000-0005-0000-0000-0000FA500000}"/>
    <cellStyle name="Normal 5 5 9 2 2" xfId="38575" xr:uid="{032663D9-B84A-45C1-A6A8-6690D996CEB4}"/>
    <cellStyle name="Normal 5 5 9 3" xfId="13272" xr:uid="{00000000-0005-0000-0000-0000FB500000}"/>
    <cellStyle name="Normal 5 5 9 4" xfId="30141" xr:uid="{D4C92631-723F-49F5-A266-DEFAE4E2C75E}"/>
    <cellStyle name="Normal 5 6" xfId="468" xr:uid="{00000000-0005-0000-0000-0000FC500000}"/>
    <cellStyle name="Normal 5 6 10" xfId="9058" xr:uid="{00000000-0005-0000-0000-0000FD500000}"/>
    <cellStyle name="Normal 5 6 11" xfId="25928" xr:uid="{25F678D3-0F60-48CE-B4B0-A1C69F3D1602}"/>
    <cellStyle name="Normal 5 6 2" xfId="469" xr:uid="{00000000-0005-0000-0000-0000FE500000}"/>
    <cellStyle name="Normal 5 6 2 10" xfId="25929" xr:uid="{1B983D4B-AFB8-4333-BBD3-F1B935995336}"/>
    <cellStyle name="Normal 5 6 2 2" xfId="943" xr:uid="{00000000-0005-0000-0000-0000FF500000}"/>
    <cellStyle name="Normal 5 6 2 2 2" xfId="3177" xr:uid="{00000000-0005-0000-0000-000000510000}"/>
    <cellStyle name="Normal 5 6 2 2 2 2" xfId="7400" xr:uid="{00000000-0005-0000-0000-000001510000}"/>
    <cellStyle name="Normal 5 6 2 2 2 2 2" xfId="24270" xr:uid="{00000000-0005-0000-0000-000002510000}"/>
    <cellStyle name="Normal 5 6 2 2 2 2 2 2" xfId="41138" xr:uid="{5F13264D-245F-4A98-8B23-3F9DC3727ABE}"/>
    <cellStyle name="Normal 5 6 2 2 2 2 3" xfId="15835" xr:uid="{00000000-0005-0000-0000-000003510000}"/>
    <cellStyle name="Normal 5 6 2 2 2 2 4" xfId="32704" xr:uid="{47ADFBA7-4AEE-41B5-8E51-E50789E75360}"/>
    <cellStyle name="Normal 5 6 2 2 2 3" xfId="20052" xr:uid="{00000000-0005-0000-0000-000004510000}"/>
    <cellStyle name="Normal 5 6 2 2 2 3 2" xfId="36921" xr:uid="{2484E60D-B2AA-4D73-A4FD-4561F8A44EC4}"/>
    <cellStyle name="Normal 5 6 2 2 2 4" xfId="11617" xr:uid="{00000000-0005-0000-0000-000005510000}"/>
    <cellStyle name="Normal 5 6 2 2 2 5" xfId="28487" xr:uid="{E0485C23-C145-4BA7-BF27-420DC568A845}"/>
    <cellStyle name="Normal 5 6 2 2 3" xfId="5255" xr:uid="{00000000-0005-0000-0000-000006510000}"/>
    <cellStyle name="Normal 5 6 2 2 3 2" xfId="22125" xr:uid="{00000000-0005-0000-0000-000007510000}"/>
    <cellStyle name="Normal 5 6 2 2 3 2 2" xfId="38993" xr:uid="{5C33D175-802A-4AB2-A79A-CFC198A28E52}"/>
    <cellStyle name="Normal 5 6 2 2 3 3" xfId="13690" xr:uid="{00000000-0005-0000-0000-000008510000}"/>
    <cellStyle name="Normal 5 6 2 2 3 4" xfId="30559" xr:uid="{5D15338F-7821-48AA-80EB-89B04C7F3F14}"/>
    <cellStyle name="Normal 5 6 2 2 4" xfId="17907" xr:uid="{00000000-0005-0000-0000-000009510000}"/>
    <cellStyle name="Normal 5 6 2 2 4 2" xfId="34776" xr:uid="{771C242D-407E-49D4-A6C4-C3E56B3B7287}"/>
    <cellStyle name="Normal 5 6 2 2 5" xfId="9472" xr:uid="{00000000-0005-0000-0000-00000A510000}"/>
    <cellStyle name="Normal 5 6 2 2 6" xfId="26342" xr:uid="{3224331B-1E17-4C5F-81E1-C9DFDA09988D}"/>
    <cellStyle name="Normal 5 6 2 3" xfId="1360" xr:uid="{00000000-0005-0000-0000-00000B510000}"/>
    <cellStyle name="Normal 5 6 2 3 2" xfId="3590" xr:uid="{00000000-0005-0000-0000-00000C510000}"/>
    <cellStyle name="Normal 5 6 2 3 2 2" xfId="7813" xr:uid="{00000000-0005-0000-0000-00000D510000}"/>
    <cellStyle name="Normal 5 6 2 3 2 2 2" xfId="24683" xr:uid="{00000000-0005-0000-0000-00000E510000}"/>
    <cellStyle name="Normal 5 6 2 3 2 2 2 2" xfId="41551" xr:uid="{4A274C66-3930-4DC7-9662-331A9E97483A}"/>
    <cellStyle name="Normal 5 6 2 3 2 2 3" xfId="16248" xr:uid="{00000000-0005-0000-0000-00000F510000}"/>
    <cellStyle name="Normal 5 6 2 3 2 2 4" xfId="33117" xr:uid="{B0F4ED1F-1E48-45FB-BA4F-5A4F2CE206D7}"/>
    <cellStyle name="Normal 5 6 2 3 2 3" xfId="20465" xr:uid="{00000000-0005-0000-0000-000010510000}"/>
    <cellStyle name="Normal 5 6 2 3 2 3 2" xfId="37334" xr:uid="{1BA6F6C0-4D5D-467D-BCBE-7FA8FBC1464F}"/>
    <cellStyle name="Normal 5 6 2 3 2 4" xfId="12030" xr:uid="{00000000-0005-0000-0000-000011510000}"/>
    <cellStyle name="Normal 5 6 2 3 2 5" xfId="28900" xr:uid="{9BB24B58-DDF3-41A6-8E77-1C1794D74D86}"/>
    <cellStyle name="Normal 5 6 2 3 3" xfId="5668" xr:uid="{00000000-0005-0000-0000-000012510000}"/>
    <cellStyle name="Normal 5 6 2 3 3 2" xfId="22538" xr:uid="{00000000-0005-0000-0000-000013510000}"/>
    <cellStyle name="Normal 5 6 2 3 3 2 2" xfId="39406" xr:uid="{9FFF54CF-379D-4A42-80A8-C1871D4E0F14}"/>
    <cellStyle name="Normal 5 6 2 3 3 3" xfId="14103" xr:uid="{00000000-0005-0000-0000-000014510000}"/>
    <cellStyle name="Normal 5 6 2 3 3 4" xfId="30972" xr:uid="{8338DB14-F79B-4B87-8CFD-4A4498DD7E00}"/>
    <cellStyle name="Normal 5 6 2 3 4" xfId="18320" xr:uid="{00000000-0005-0000-0000-000015510000}"/>
    <cellStyle name="Normal 5 6 2 3 4 2" xfId="35189" xr:uid="{E8ED9A13-9D99-4438-BB66-8AF16F048BF5}"/>
    <cellStyle name="Normal 5 6 2 3 5" xfId="9885" xr:uid="{00000000-0005-0000-0000-000016510000}"/>
    <cellStyle name="Normal 5 6 2 3 6" xfId="26755" xr:uid="{EAABF635-9D17-463C-B721-AAF681208341}"/>
    <cellStyle name="Normal 5 6 2 4" xfId="1773" xr:uid="{00000000-0005-0000-0000-000017510000}"/>
    <cellStyle name="Normal 5 6 2 4 2" xfId="4003" xr:uid="{00000000-0005-0000-0000-000018510000}"/>
    <cellStyle name="Normal 5 6 2 4 2 2" xfId="8226" xr:uid="{00000000-0005-0000-0000-000019510000}"/>
    <cellStyle name="Normal 5 6 2 4 2 2 2" xfId="25096" xr:uid="{00000000-0005-0000-0000-00001A510000}"/>
    <cellStyle name="Normal 5 6 2 4 2 2 2 2" xfId="41964" xr:uid="{92AB9902-0736-43DB-8933-98A11C16B0BF}"/>
    <cellStyle name="Normal 5 6 2 4 2 2 3" xfId="16661" xr:uid="{00000000-0005-0000-0000-00001B510000}"/>
    <cellStyle name="Normal 5 6 2 4 2 2 4" xfId="33530" xr:uid="{CB2A91DB-27EC-4E9B-BD5C-52FCD8A90C41}"/>
    <cellStyle name="Normal 5 6 2 4 2 3" xfId="20878" xr:uid="{00000000-0005-0000-0000-00001C510000}"/>
    <cellStyle name="Normal 5 6 2 4 2 3 2" xfId="37747" xr:uid="{2A754C83-ABB2-471A-9E60-3D3D62636D02}"/>
    <cellStyle name="Normal 5 6 2 4 2 4" xfId="12443" xr:uid="{00000000-0005-0000-0000-00001D510000}"/>
    <cellStyle name="Normal 5 6 2 4 2 5" xfId="29313" xr:uid="{189FB1A7-F2B3-4BBA-9BC9-8F76E8232401}"/>
    <cellStyle name="Normal 5 6 2 4 3" xfId="6081" xr:uid="{00000000-0005-0000-0000-00001E510000}"/>
    <cellStyle name="Normal 5 6 2 4 3 2" xfId="22951" xr:uid="{00000000-0005-0000-0000-00001F510000}"/>
    <cellStyle name="Normal 5 6 2 4 3 2 2" xfId="39819" xr:uid="{388FA1F4-9A55-4C53-8EF8-7749EA7579C5}"/>
    <cellStyle name="Normal 5 6 2 4 3 3" xfId="14516" xr:uid="{00000000-0005-0000-0000-000020510000}"/>
    <cellStyle name="Normal 5 6 2 4 3 4" xfId="31385" xr:uid="{85BA8A35-7246-4E8B-BBEA-C6DD8D39D4DB}"/>
    <cellStyle name="Normal 5 6 2 4 4" xfId="18733" xr:uid="{00000000-0005-0000-0000-000021510000}"/>
    <cellStyle name="Normal 5 6 2 4 4 2" xfId="35602" xr:uid="{35DC5112-F4D6-477A-98D5-E09BDB208338}"/>
    <cellStyle name="Normal 5 6 2 4 5" xfId="10298" xr:uid="{00000000-0005-0000-0000-000022510000}"/>
    <cellStyle name="Normal 5 6 2 4 6" xfId="27168" xr:uid="{EC64EE60-AA43-417B-95FC-D8DECF1E26FA}"/>
    <cellStyle name="Normal 5 6 2 5" xfId="2187" xr:uid="{00000000-0005-0000-0000-000023510000}"/>
    <cellStyle name="Normal 5 6 2 5 2" xfId="4416" xr:uid="{00000000-0005-0000-0000-000024510000}"/>
    <cellStyle name="Normal 5 6 2 5 2 2" xfId="8639" xr:uid="{00000000-0005-0000-0000-000025510000}"/>
    <cellStyle name="Normal 5 6 2 5 2 2 2" xfId="25509" xr:uid="{00000000-0005-0000-0000-000026510000}"/>
    <cellStyle name="Normal 5 6 2 5 2 2 2 2" xfId="42377" xr:uid="{305B2F50-17B7-4158-B317-BB520C8A3616}"/>
    <cellStyle name="Normal 5 6 2 5 2 2 3" xfId="17074" xr:uid="{00000000-0005-0000-0000-000027510000}"/>
    <cellStyle name="Normal 5 6 2 5 2 2 4" xfId="33943" xr:uid="{6438E5D9-CCC9-42B7-94F7-7310A25628CA}"/>
    <cellStyle name="Normal 5 6 2 5 2 3" xfId="21291" xr:uid="{00000000-0005-0000-0000-000028510000}"/>
    <cellStyle name="Normal 5 6 2 5 2 3 2" xfId="38160" xr:uid="{AD1167C7-50C1-4BAD-AB23-8F5C2216EABB}"/>
    <cellStyle name="Normal 5 6 2 5 2 4" xfId="12856" xr:uid="{00000000-0005-0000-0000-000029510000}"/>
    <cellStyle name="Normal 5 6 2 5 2 5" xfId="29726" xr:uid="{2D30AFD0-D3F2-4172-BCFF-718340DD84AF}"/>
    <cellStyle name="Normal 5 6 2 5 3" xfId="6494" xr:uid="{00000000-0005-0000-0000-00002A510000}"/>
    <cellStyle name="Normal 5 6 2 5 3 2" xfId="23364" xr:uid="{00000000-0005-0000-0000-00002B510000}"/>
    <cellStyle name="Normal 5 6 2 5 3 2 2" xfId="40232" xr:uid="{85C49B08-C80B-43C0-AD1B-99638C4496CD}"/>
    <cellStyle name="Normal 5 6 2 5 3 3" xfId="14929" xr:uid="{00000000-0005-0000-0000-00002C510000}"/>
    <cellStyle name="Normal 5 6 2 5 3 4" xfId="31798" xr:uid="{98B99249-7B7E-434B-8B0A-42AA9CD7FCA5}"/>
    <cellStyle name="Normal 5 6 2 5 4" xfId="19146" xr:uid="{00000000-0005-0000-0000-00002D510000}"/>
    <cellStyle name="Normal 5 6 2 5 4 2" xfId="36015" xr:uid="{F430B20C-CED8-4FD2-A42F-B3F73DAC65BF}"/>
    <cellStyle name="Normal 5 6 2 5 5" xfId="10711" xr:uid="{00000000-0005-0000-0000-00002E510000}"/>
    <cellStyle name="Normal 5 6 2 5 6" xfId="27581" xr:uid="{ED7C280A-C9D9-4835-8484-F068494E5B35}"/>
    <cellStyle name="Normal 5 6 2 6" xfId="2623" xr:uid="{00000000-0005-0000-0000-00002F510000}"/>
    <cellStyle name="Normal 5 6 2 6 2" xfId="6907" xr:uid="{00000000-0005-0000-0000-000030510000}"/>
    <cellStyle name="Normal 5 6 2 6 2 2" xfId="23777" xr:uid="{00000000-0005-0000-0000-000031510000}"/>
    <cellStyle name="Normal 5 6 2 6 2 2 2" xfId="40645" xr:uid="{13E1322B-D838-4820-9345-C12508D125E5}"/>
    <cellStyle name="Normal 5 6 2 6 2 3" xfId="15342" xr:uid="{00000000-0005-0000-0000-000032510000}"/>
    <cellStyle name="Normal 5 6 2 6 2 4" xfId="32211" xr:uid="{D121E7D1-29D8-4B76-B68D-FDF46F303AEF}"/>
    <cellStyle name="Normal 5 6 2 6 3" xfId="19559" xr:uid="{00000000-0005-0000-0000-000033510000}"/>
    <cellStyle name="Normal 5 6 2 6 3 2" xfId="36428" xr:uid="{97F5CCCF-EEB7-4E56-A39B-715C292F1DFD}"/>
    <cellStyle name="Normal 5 6 2 6 4" xfId="11124" xr:uid="{00000000-0005-0000-0000-000034510000}"/>
    <cellStyle name="Normal 5 6 2 6 5" xfId="27994" xr:uid="{4CC9580B-3E5F-4C69-9298-999EF991FC50}"/>
    <cellStyle name="Normal 5 6 2 7" xfId="4842" xr:uid="{00000000-0005-0000-0000-000035510000}"/>
    <cellStyle name="Normal 5 6 2 7 2" xfId="21712" xr:uid="{00000000-0005-0000-0000-000036510000}"/>
    <cellStyle name="Normal 5 6 2 7 2 2" xfId="38580" xr:uid="{4386939D-3DBE-4422-98F2-BDBE3EFF966A}"/>
    <cellStyle name="Normal 5 6 2 7 3" xfId="13277" xr:uid="{00000000-0005-0000-0000-000037510000}"/>
    <cellStyle name="Normal 5 6 2 7 4" xfId="30146" xr:uid="{D41F27DE-829D-4AD0-A969-07613C4CF9D1}"/>
    <cellStyle name="Normal 5 6 2 8" xfId="17494" xr:uid="{00000000-0005-0000-0000-000038510000}"/>
    <cellStyle name="Normal 5 6 2 8 2" xfId="34363" xr:uid="{A23BD59B-E13B-476F-A71A-2B3A3E3EB20C}"/>
    <cellStyle name="Normal 5 6 2 9" xfId="9059" xr:uid="{00000000-0005-0000-0000-000039510000}"/>
    <cellStyle name="Normal 5 6 3" xfId="942" xr:uid="{00000000-0005-0000-0000-00003A510000}"/>
    <cellStyle name="Normal 5 6 3 2" xfId="3176" xr:uid="{00000000-0005-0000-0000-00003B510000}"/>
    <cellStyle name="Normal 5 6 3 2 2" xfId="7399" xr:uid="{00000000-0005-0000-0000-00003C510000}"/>
    <cellStyle name="Normal 5 6 3 2 2 2" xfId="24269" xr:uid="{00000000-0005-0000-0000-00003D510000}"/>
    <cellStyle name="Normal 5 6 3 2 2 2 2" xfId="41137" xr:uid="{3E2F9B13-C244-460A-9B30-62F12F19E7F8}"/>
    <cellStyle name="Normal 5 6 3 2 2 3" xfId="15834" xr:uid="{00000000-0005-0000-0000-00003E510000}"/>
    <cellStyle name="Normal 5 6 3 2 2 4" xfId="32703" xr:uid="{BA5EBD85-9D90-482C-AAD6-B455B82F491E}"/>
    <cellStyle name="Normal 5 6 3 2 3" xfId="20051" xr:uid="{00000000-0005-0000-0000-00003F510000}"/>
    <cellStyle name="Normal 5 6 3 2 3 2" xfId="36920" xr:uid="{E4E6CC8E-1914-4F65-B3FE-3B9F64FA03A1}"/>
    <cellStyle name="Normal 5 6 3 2 4" xfId="11616" xr:uid="{00000000-0005-0000-0000-000040510000}"/>
    <cellStyle name="Normal 5 6 3 2 5" xfId="28486" xr:uid="{3891AA16-2757-4654-B79A-4631E617C413}"/>
    <cellStyle name="Normal 5 6 3 3" xfId="5254" xr:uid="{00000000-0005-0000-0000-000041510000}"/>
    <cellStyle name="Normal 5 6 3 3 2" xfId="22124" xr:uid="{00000000-0005-0000-0000-000042510000}"/>
    <cellStyle name="Normal 5 6 3 3 2 2" xfId="38992" xr:uid="{6FC56301-7279-4F52-8E13-79D0BD292AB8}"/>
    <cellStyle name="Normal 5 6 3 3 3" xfId="13689" xr:uid="{00000000-0005-0000-0000-000043510000}"/>
    <cellStyle name="Normal 5 6 3 3 4" xfId="30558" xr:uid="{43BAC3D8-5D5A-4319-ACDA-5D7468C3060C}"/>
    <cellStyle name="Normal 5 6 3 4" xfId="17906" xr:uid="{00000000-0005-0000-0000-000044510000}"/>
    <cellStyle name="Normal 5 6 3 4 2" xfId="34775" xr:uid="{19D274E7-3230-48D6-81BB-515A846C959D}"/>
    <cellStyle name="Normal 5 6 3 5" xfId="9471" xr:uid="{00000000-0005-0000-0000-000045510000}"/>
    <cellStyle name="Normal 5 6 3 6" xfId="26341" xr:uid="{1352D1EF-3973-4A2A-AF5D-F2F9B7539C30}"/>
    <cellStyle name="Normal 5 6 4" xfId="1359" xr:uid="{00000000-0005-0000-0000-000046510000}"/>
    <cellStyle name="Normal 5 6 4 2" xfId="3589" xr:uid="{00000000-0005-0000-0000-000047510000}"/>
    <cellStyle name="Normal 5 6 4 2 2" xfId="7812" xr:uid="{00000000-0005-0000-0000-000048510000}"/>
    <cellStyle name="Normal 5 6 4 2 2 2" xfId="24682" xr:uid="{00000000-0005-0000-0000-000049510000}"/>
    <cellStyle name="Normal 5 6 4 2 2 2 2" xfId="41550" xr:uid="{EEA9E3DE-9E3B-419D-A15B-617696A1DFF3}"/>
    <cellStyle name="Normal 5 6 4 2 2 3" xfId="16247" xr:uid="{00000000-0005-0000-0000-00004A510000}"/>
    <cellStyle name="Normal 5 6 4 2 2 4" xfId="33116" xr:uid="{2DFA452A-CF2D-448B-86B5-FE0D8BFBA5DB}"/>
    <cellStyle name="Normal 5 6 4 2 3" xfId="20464" xr:uid="{00000000-0005-0000-0000-00004B510000}"/>
    <cellStyle name="Normal 5 6 4 2 3 2" xfId="37333" xr:uid="{7739F7B1-979B-402F-B422-C3FA90B85C4F}"/>
    <cellStyle name="Normal 5 6 4 2 4" xfId="12029" xr:uid="{00000000-0005-0000-0000-00004C510000}"/>
    <cellStyle name="Normal 5 6 4 2 5" xfId="28899" xr:uid="{F418F19F-DAD1-42FB-9327-C023F8983294}"/>
    <cellStyle name="Normal 5 6 4 3" xfId="5667" xr:uid="{00000000-0005-0000-0000-00004D510000}"/>
    <cellStyle name="Normal 5 6 4 3 2" xfId="22537" xr:uid="{00000000-0005-0000-0000-00004E510000}"/>
    <cellStyle name="Normal 5 6 4 3 2 2" xfId="39405" xr:uid="{AE7AB627-D902-4B04-BBE2-92368D609901}"/>
    <cellStyle name="Normal 5 6 4 3 3" xfId="14102" xr:uid="{00000000-0005-0000-0000-00004F510000}"/>
    <cellStyle name="Normal 5 6 4 3 4" xfId="30971" xr:uid="{0E2881C0-8D79-4F69-A69F-6364041B0D9D}"/>
    <cellStyle name="Normal 5 6 4 4" xfId="18319" xr:uid="{00000000-0005-0000-0000-000050510000}"/>
    <cellStyle name="Normal 5 6 4 4 2" xfId="35188" xr:uid="{B2DCA67D-AF50-401F-8C3A-EE9416A348DF}"/>
    <cellStyle name="Normal 5 6 4 5" xfId="9884" xr:uid="{00000000-0005-0000-0000-000051510000}"/>
    <cellStyle name="Normal 5 6 4 6" xfId="26754" xr:uid="{EB71D6D7-5D7C-44E6-A7A8-D80ABE3658AB}"/>
    <cellStyle name="Normal 5 6 5" xfId="1772" xr:uid="{00000000-0005-0000-0000-000052510000}"/>
    <cellStyle name="Normal 5 6 5 2" xfId="4002" xr:uid="{00000000-0005-0000-0000-000053510000}"/>
    <cellStyle name="Normal 5 6 5 2 2" xfId="8225" xr:uid="{00000000-0005-0000-0000-000054510000}"/>
    <cellStyle name="Normal 5 6 5 2 2 2" xfId="25095" xr:uid="{00000000-0005-0000-0000-000055510000}"/>
    <cellStyle name="Normal 5 6 5 2 2 2 2" xfId="41963" xr:uid="{ECDBA956-6087-4349-B1FB-E19FDAD2EF6F}"/>
    <cellStyle name="Normal 5 6 5 2 2 3" xfId="16660" xr:uid="{00000000-0005-0000-0000-000056510000}"/>
    <cellStyle name="Normal 5 6 5 2 2 4" xfId="33529" xr:uid="{FBA7547F-4902-41C0-905B-22444B605E6C}"/>
    <cellStyle name="Normal 5 6 5 2 3" xfId="20877" xr:uid="{00000000-0005-0000-0000-000057510000}"/>
    <cellStyle name="Normal 5 6 5 2 3 2" xfId="37746" xr:uid="{7D5DEEF0-019E-40C3-B142-CB379D588965}"/>
    <cellStyle name="Normal 5 6 5 2 4" xfId="12442" xr:uid="{00000000-0005-0000-0000-000058510000}"/>
    <cellStyle name="Normal 5 6 5 2 5" xfId="29312" xr:uid="{EF3EF1C7-7152-41AF-BE8E-E5C05F79448B}"/>
    <cellStyle name="Normal 5 6 5 3" xfId="6080" xr:uid="{00000000-0005-0000-0000-000059510000}"/>
    <cellStyle name="Normal 5 6 5 3 2" xfId="22950" xr:uid="{00000000-0005-0000-0000-00005A510000}"/>
    <cellStyle name="Normal 5 6 5 3 2 2" xfId="39818" xr:uid="{3165775E-973F-4336-940F-E43CB37693AC}"/>
    <cellStyle name="Normal 5 6 5 3 3" xfId="14515" xr:uid="{00000000-0005-0000-0000-00005B510000}"/>
    <cellStyle name="Normal 5 6 5 3 4" xfId="31384" xr:uid="{5FC1905C-B1AC-4237-8E16-9C772885A32A}"/>
    <cellStyle name="Normal 5 6 5 4" xfId="18732" xr:uid="{00000000-0005-0000-0000-00005C510000}"/>
    <cellStyle name="Normal 5 6 5 4 2" xfId="35601" xr:uid="{2696F06C-B0E4-4553-AFBD-480BD5E32B17}"/>
    <cellStyle name="Normal 5 6 5 5" xfId="10297" xr:uid="{00000000-0005-0000-0000-00005D510000}"/>
    <cellStyle name="Normal 5 6 5 6" xfId="27167" xr:uid="{E0A6E0E2-848E-4B47-97FB-45B582D5C214}"/>
    <cellStyle name="Normal 5 6 6" xfId="2186" xr:uid="{00000000-0005-0000-0000-00005E510000}"/>
    <cellStyle name="Normal 5 6 6 2" xfId="4415" xr:uid="{00000000-0005-0000-0000-00005F510000}"/>
    <cellStyle name="Normal 5 6 6 2 2" xfId="8638" xr:uid="{00000000-0005-0000-0000-000060510000}"/>
    <cellStyle name="Normal 5 6 6 2 2 2" xfId="25508" xr:uid="{00000000-0005-0000-0000-000061510000}"/>
    <cellStyle name="Normal 5 6 6 2 2 2 2" xfId="42376" xr:uid="{6A5BDD34-CA30-4416-BAC9-9815AB48ECB0}"/>
    <cellStyle name="Normal 5 6 6 2 2 3" xfId="17073" xr:uid="{00000000-0005-0000-0000-000062510000}"/>
    <cellStyle name="Normal 5 6 6 2 2 4" xfId="33942" xr:uid="{A00856BF-F29A-4C11-960F-0205307C9AD9}"/>
    <cellStyle name="Normal 5 6 6 2 3" xfId="21290" xr:uid="{00000000-0005-0000-0000-000063510000}"/>
    <cellStyle name="Normal 5 6 6 2 3 2" xfId="38159" xr:uid="{53B1CF21-AD82-4E79-B2A9-8060B7BD880C}"/>
    <cellStyle name="Normal 5 6 6 2 4" xfId="12855" xr:uid="{00000000-0005-0000-0000-000064510000}"/>
    <cellStyle name="Normal 5 6 6 2 5" xfId="29725" xr:uid="{22A2788C-1100-41BB-A279-6F1BC3114107}"/>
    <cellStyle name="Normal 5 6 6 3" xfId="6493" xr:uid="{00000000-0005-0000-0000-000065510000}"/>
    <cellStyle name="Normal 5 6 6 3 2" xfId="23363" xr:uid="{00000000-0005-0000-0000-000066510000}"/>
    <cellStyle name="Normal 5 6 6 3 2 2" xfId="40231" xr:uid="{933BFA1C-E30C-4748-8E0F-54DC6D442A73}"/>
    <cellStyle name="Normal 5 6 6 3 3" xfId="14928" xr:uid="{00000000-0005-0000-0000-000067510000}"/>
    <cellStyle name="Normal 5 6 6 3 4" xfId="31797" xr:uid="{85480F71-1876-422A-9B6A-390CA9BAC5C8}"/>
    <cellStyle name="Normal 5 6 6 4" xfId="19145" xr:uid="{00000000-0005-0000-0000-000068510000}"/>
    <cellStyle name="Normal 5 6 6 4 2" xfId="36014" xr:uid="{9FDF4A53-8DC6-47D2-BB42-B248ECE9A257}"/>
    <cellStyle name="Normal 5 6 6 5" xfId="10710" xr:uid="{00000000-0005-0000-0000-000069510000}"/>
    <cellStyle name="Normal 5 6 6 6" xfId="27580" xr:uid="{F16C1A37-2B0E-4E92-AD2C-4F1FC9DACFF0}"/>
    <cellStyle name="Normal 5 6 7" xfId="2622" xr:uid="{00000000-0005-0000-0000-00006A510000}"/>
    <cellStyle name="Normal 5 6 7 2" xfId="6906" xr:uid="{00000000-0005-0000-0000-00006B510000}"/>
    <cellStyle name="Normal 5 6 7 2 2" xfId="23776" xr:uid="{00000000-0005-0000-0000-00006C510000}"/>
    <cellStyle name="Normal 5 6 7 2 2 2" xfId="40644" xr:uid="{C72CA59B-0250-4E49-B141-B151B5D478CF}"/>
    <cellStyle name="Normal 5 6 7 2 3" xfId="15341" xr:uid="{00000000-0005-0000-0000-00006D510000}"/>
    <cellStyle name="Normal 5 6 7 2 4" xfId="32210" xr:uid="{6E203F70-FC32-4F84-8834-261CDA7D89DF}"/>
    <cellStyle name="Normal 5 6 7 3" xfId="19558" xr:uid="{00000000-0005-0000-0000-00006E510000}"/>
    <cellStyle name="Normal 5 6 7 3 2" xfId="36427" xr:uid="{D1658BD8-D547-4907-8A01-88765E206CD3}"/>
    <cellStyle name="Normal 5 6 7 4" xfId="11123" xr:uid="{00000000-0005-0000-0000-00006F510000}"/>
    <cellStyle name="Normal 5 6 7 5" xfId="27993" xr:uid="{F24C8AD6-171B-4CCD-BB08-07744AA584E6}"/>
    <cellStyle name="Normal 5 6 8" xfId="4841" xr:uid="{00000000-0005-0000-0000-000070510000}"/>
    <cellStyle name="Normal 5 6 8 2" xfId="21711" xr:uid="{00000000-0005-0000-0000-000071510000}"/>
    <cellStyle name="Normal 5 6 8 2 2" xfId="38579" xr:uid="{A112E67C-EE1E-49AD-B58F-9E09A12392C7}"/>
    <cellStyle name="Normal 5 6 8 3" xfId="13276" xr:uid="{00000000-0005-0000-0000-000072510000}"/>
    <cellStyle name="Normal 5 6 8 4" xfId="30145" xr:uid="{B78F3B0E-0308-48EA-87A6-1DD1D95BDE39}"/>
    <cellStyle name="Normal 5 6 9" xfId="17493" xr:uid="{00000000-0005-0000-0000-000073510000}"/>
    <cellStyle name="Normal 5 6 9 2" xfId="34362" xr:uid="{3708DB53-62D2-4056-B3EB-6A0814DB1860}"/>
    <cellStyle name="Normal 5 7" xfId="470" xr:uid="{00000000-0005-0000-0000-000074510000}"/>
    <cellStyle name="Normal 5 7 10" xfId="25930" xr:uid="{D1637A23-8F5F-4813-A659-67F1053346EF}"/>
    <cellStyle name="Normal 5 7 2" xfId="944" xr:uid="{00000000-0005-0000-0000-000075510000}"/>
    <cellStyle name="Normal 5 7 2 2" xfId="3178" xr:uid="{00000000-0005-0000-0000-000076510000}"/>
    <cellStyle name="Normal 5 7 2 2 2" xfId="7401" xr:uid="{00000000-0005-0000-0000-000077510000}"/>
    <cellStyle name="Normal 5 7 2 2 2 2" xfId="24271" xr:uid="{00000000-0005-0000-0000-000078510000}"/>
    <cellStyle name="Normal 5 7 2 2 2 2 2" xfId="41139" xr:uid="{66D2C170-333C-40C6-A302-E20F6753D463}"/>
    <cellStyle name="Normal 5 7 2 2 2 3" xfId="15836" xr:uid="{00000000-0005-0000-0000-000079510000}"/>
    <cellStyle name="Normal 5 7 2 2 2 4" xfId="32705" xr:uid="{F062D4ED-5EFC-4ACD-934C-29E5B2D4F998}"/>
    <cellStyle name="Normal 5 7 2 2 3" xfId="20053" xr:uid="{00000000-0005-0000-0000-00007A510000}"/>
    <cellStyle name="Normal 5 7 2 2 3 2" xfId="36922" xr:uid="{D5B7DE72-1D4B-4F88-BF7A-0B82EF30C38D}"/>
    <cellStyle name="Normal 5 7 2 2 4" xfId="11618" xr:uid="{00000000-0005-0000-0000-00007B510000}"/>
    <cellStyle name="Normal 5 7 2 2 5" xfId="28488" xr:uid="{5FA685DD-5F44-424F-ACEA-517BC56383B6}"/>
    <cellStyle name="Normal 5 7 2 3" xfId="5256" xr:uid="{00000000-0005-0000-0000-00007C510000}"/>
    <cellStyle name="Normal 5 7 2 3 2" xfId="22126" xr:uid="{00000000-0005-0000-0000-00007D510000}"/>
    <cellStyle name="Normal 5 7 2 3 2 2" xfId="38994" xr:uid="{A00DD43C-B7AE-4D90-A547-F03DA38EAD8C}"/>
    <cellStyle name="Normal 5 7 2 3 3" xfId="13691" xr:uid="{00000000-0005-0000-0000-00007E510000}"/>
    <cellStyle name="Normal 5 7 2 3 4" xfId="30560" xr:uid="{D8C641EB-E910-4B01-9DA1-A4D4AFF4CAB1}"/>
    <cellStyle name="Normal 5 7 2 4" xfId="17908" xr:uid="{00000000-0005-0000-0000-00007F510000}"/>
    <cellStyle name="Normal 5 7 2 4 2" xfId="34777" xr:uid="{7CA0098C-6445-4566-A472-39028A07B885}"/>
    <cellStyle name="Normal 5 7 2 5" xfId="9473" xr:uid="{00000000-0005-0000-0000-000080510000}"/>
    <cellStyle name="Normal 5 7 2 6" xfId="26343" xr:uid="{8FDD96EB-37AE-4CDC-AD4E-CC7F8CFC3E32}"/>
    <cellStyle name="Normal 5 7 3" xfId="1361" xr:uid="{00000000-0005-0000-0000-000081510000}"/>
    <cellStyle name="Normal 5 7 3 2" xfId="3591" xr:uid="{00000000-0005-0000-0000-000082510000}"/>
    <cellStyle name="Normal 5 7 3 2 2" xfId="7814" xr:uid="{00000000-0005-0000-0000-000083510000}"/>
    <cellStyle name="Normal 5 7 3 2 2 2" xfId="24684" xr:uid="{00000000-0005-0000-0000-000084510000}"/>
    <cellStyle name="Normal 5 7 3 2 2 2 2" xfId="41552" xr:uid="{ABA509E1-01DB-4462-AF64-7871FE171E7F}"/>
    <cellStyle name="Normal 5 7 3 2 2 3" xfId="16249" xr:uid="{00000000-0005-0000-0000-000085510000}"/>
    <cellStyle name="Normal 5 7 3 2 2 4" xfId="33118" xr:uid="{CF88796D-B382-441F-A55D-A1C74448E45A}"/>
    <cellStyle name="Normal 5 7 3 2 3" xfId="20466" xr:uid="{00000000-0005-0000-0000-000086510000}"/>
    <cellStyle name="Normal 5 7 3 2 3 2" xfId="37335" xr:uid="{7D2A20E4-24BA-434F-A4D7-8D38B292F9D8}"/>
    <cellStyle name="Normal 5 7 3 2 4" xfId="12031" xr:uid="{00000000-0005-0000-0000-000087510000}"/>
    <cellStyle name="Normal 5 7 3 2 5" xfId="28901" xr:uid="{66E1909A-7872-4CBD-A205-6928B88E647C}"/>
    <cellStyle name="Normal 5 7 3 3" xfId="5669" xr:uid="{00000000-0005-0000-0000-000088510000}"/>
    <cellStyle name="Normal 5 7 3 3 2" xfId="22539" xr:uid="{00000000-0005-0000-0000-000089510000}"/>
    <cellStyle name="Normal 5 7 3 3 2 2" xfId="39407" xr:uid="{6AC8F1FC-83E2-4001-9DDE-0531ABEA04AB}"/>
    <cellStyle name="Normal 5 7 3 3 3" xfId="14104" xr:uid="{00000000-0005-0000-0000-00008A510000}"/>
    <cellStyle name="Normal 5 7 3 3 4" xfId="30973" xr:uid="{B4E2AB15-4F4D-4C8D-A0FE-C8020688DE3D}"/>
    <cellStyle name="Normal 5 7 3 4" xfId="18321" xr:uid="{00000000-0005-0000-0000-00008B510000}"/>
    <cellStyle name="Normal 5 7 3 4 2" xfId="35190" xr:uid="{6F23EF61-D7FF-4CF8-A1BA-B4E51389BB0B}"/>
    <cellStyle name="Normal 5 7 3 5" xfId="9886" xr:uid="{00000000-0005-0000-0000-00008C510000}"/>
    <cellStyle name="Normal 5 7 3 6" xfId="26756" xr:uid="{F59057B8-1099-442E-99F7-B997A4113AA4}"/>
    <cellStyle name="Normal 5 7 4" xfId="1774" xr:uid="{00000000-0005-0000-0000-00008D510000}"/>
    <cellStyle name="Normal 5 7 4 2" xfId="4004" xr:uid="{00000000-0005-0000-0000-00008E510000}"/>
    <cellStyle name="Normal 5 7 4 2 2" xfId="8227" xr:uid="{00000000-0005-0000-0000-00008F510000}"/>
    <cellStyle name="Normal 5 7 4 2 2 2" xfId="25097" xr:uid="{00000000-0005-0000-0000-000090510000}"/>
    <cellStyle name="Normal 5 7 4 2 2 2 2" xfId="41965" xr:uid="{914FBD71-E223-49FE-8074-96A9BCDCC5CF}"/>
    <cellStyle name="Normal 5 7 4 2 2 3" xfId="16662" xr:uid="{00000000-0005-0000-0000-000091510000}"/>
    <cellStyle name="Normal 5 7 4 2 2 4" xfId="33531" xr:uid="{F8769593-7111-4FC5-8FF4-CE91ED7A7E51}"/>
    <cellStyle name="Normal 5 7 4 2 3" xfId="20879" xr:uid="{00000000-0005-0000-0000-000092510000}"/>
    <cellStyle name="Normal 5 7 4 2 3 2" xfId="37748" xr:uid="{409318AF-0D60-4244-9BA8-FCB507C4A4CD}"/>
    <cellStyle name="Normal 5 7 4 2 4" xfId="12444" xr:uid="{00000000-0005-0000-0000-000093510000}"/>
    <cellStyle name="Normal 5 7 4 2 5" xfId="29314" xr:uid="{F9DE5E63-E5D7-4E03-9E70-842297977E6D}"/>
    <cellStyle name="Normal 5 7 4 3" xfId="6082" xr:uid="{00000000-0005-0000-0000-000094510000}"/>
    <cellStyle name="Normal 5 7 4 3 2" xfId="22952" xr:uid="{00000000-0005-0000-0000-000095510000}"/>
    <cellStyle name="Normal 5 7 4 3 2 2" xfId="39820" xr:uid="{5D6A568B-4019-4120-A97A-938B7EB3AD0A}"/>
    <cellStyle name="Normal 5 7 4 3 3" xfId="14517" xr:uid="{00000000-0005-0000-0000-000096510000}"/>
    <cellStyle name="Normal 5 7 4 3 4" xfId="31386" xr:uid="{9C0A73AC-9457-4224-9F43-D266B8080AF3}"/>
    <cellStyle name="Normal 5 7 4 4" xfId="18734" xr:uid="{00000000-0005-0000-0000-000097510000}"/>
    <cellStyle name="Normal 5 7 4 4 2" xfId="35603" xr:uid="{6A4F5074-CC9B-4B9E-B726-DDAE85B8D368}"/>
    <cellStyle name="Normal 5 7 4 5" xfId="10299" xr:uid="{00000000-0005-0000-0000-000098510000}"/>
    <cellStyle name="Normal 5 7 4 6" xfId="27169" xr:uid="{045272E3-28EB-4EB7-BC4A-8D53F7FDB65A}"/>
    <cellStyle name="Normal 5 7 5" xfId="2188" xr:uid="{00000000-0005-0000-0000-000099510000}"/>
    <cellStyle name="Normal 5 7 5 2" xfId="4417" xr:uid="{00000000-0005-0000-0000-00009A510000}"/>
    <cellStyle name="Normal 5 7 5 2 2" xfId="8640" xr:uid="{00000000-0005-0000-0000-00009B510000}"/>
    <cellStyle name="Normal 5 7 5 2 2 2" xfId="25510" xr:uid="{00000000-0005-0000-0000-00009C510000}"/>
    <cellStyle name="Normal 5 7 5 2 2 2 2" xfId="42378" xr:uid="{E108FF35-FA2F-4DEF-AD56-889C19175506}"/>
    <cellStyle name="Normal 5 7 5 2 2 3" xfId="17075" xr:uid="{00000000-0005-0000-0000-00009D510000}"/>
    <cellStyle name="Normal 5 7 5 2 2 4" xfId="33944" xr:uid="{9420F8E6-CD15-48DC-A85F-38204CD49DD3}"/>
    <cellStyle name="Normal 5 7 5 2 3" xfId="21292" xr:uid="{00000000-0005-0000-0000-00009E510000}"/>
    <cellStyle name="Normal 5 7 5 2 3 2" xfId="38161" xr:uid="{060ECCAD-14FC-4EAC-A8CC-4D1C7A94CEB1}"/>
    <cellStyle name="Normal 5 7 5 2 4" xfId="12857" xr:uid="{00000000-0005-0000-0000-00009F510000}"/>
    <cellStyle name="Normal 5 7 5 2 5" xfId="29727" xr:uid="{09506012-FDA7-4452-B037-9A30B9FDD0A3}"/>
    <cellStyle name="Normal 5 7 5 3" xfId="6495" xr:uid="{00000000-0005-0000-0000-0000A0510000}"/>
    <cellStyle name="Normal 5 7 5 3 2" xfId="23365" xr:uid="{00000000-0005-0000-0000-0000A1510000}"/>
    <cellStyle name="Normal 5 7 5 3 2 2" xfId="40233" xr:uid="{AB7EF137-D91C-46CC-94F2-558CC3A63506}"/>
    <cellStyle name="Normal 5 7 5 3 3" xfId="14930" xr:uid="{00000000-0005-0000-0000-0000A2510000}"/>
    <cellStyle name="Normal 5 7 5 3 4" xfId="31799" xr:uid="{5D36C3B8-7B05-4D5B-8FC6-153F6CAF2FBE}"/>
    <cellStyle name="Normal 5 7 5 4" xfId="19147" xr:uid="{00000000-0005-0000-0000-0000A3510000}"/>
    <cellStyle name="Normal 5 7 5 4 2" xfId="36016" xr:uid="{EE0DA7FA-B1BB-451D-921C-1C9D8452F601}"/>
    <cellStyle name="Normal 5 7 5 5" xfId="10712" xr:uid="{00000000-0005-0000-0000-0000A4510000}"/>
    <cellStyle name="Normal 5 7 5 6" xfId="27582" xr:uid="{527B6BBE-BF01-4D0E-9377-B490710E6DCE}"/>
    <cellStyle name="Normal 5 7 6" xfId="2624" xr:uid="{00000000-0005-0000-0000-0000A5510000}"/>
    <cellStyle name="Normal 5 7 6 2" xfId="6908" xr:uid="{00000000-0005-0000-0000-0000A6510000}"/>
    <cellStyle name="Normal 5 7 6 2 2" xfId="23778" xr:uid="{00000000-0005-0000-0000-0000A7510000}"/>
    <cellStyle name="Normal 5 7 6 2 2 2" xfId="40646" xr:uid="{95AA091C-8549-4528-ADC6-0CC695F9CC39}"/>
    <cellStyle name="Normal 5 7 6 2 3" xfId="15343" xr:uid="{00000000-0005-0000-0000-0000A8510000}"/>
    <cellStyle name="Normal 5 7 6 2 4" xfId="32212" xr:uid="{8AB64A57-5A30-4333-967C-61DBF85658EA}"/>
    <cellStyle name="Normal 5 7 6 3" xfId="19560" xr:uid="{00000000-0005-0000-0000-0000A9510000}"/>
    <cellStyle name="Normal 5 7 6 3 2" xfId="36429" xr:uid="{574AFB18-C756-4F25-8087-CFC675093F59}"/>
    <cellStyle name="Normal 5 7 6 4" xfId="11125" xr:uid="{00000000-0005-0000-0000-0000AA510000}"/>
    <cellStyle name="Normal 5 7 6 5" xfId="27995" xr:uid="{CE2E5A8A-A0B9-4FCD-AE02-033594F11E11}"/>
    <cellStyle name="Normal 5 7 7" xfId="4843" xr:uid="{00000000-0005-0000-0000-0000AB510000}"/>
    <cellStyle name="Normal 5 7 7 2" xfId="21713" xr:uid="{00000000-0005-0000-0000-0000AC510000}"/>
    <cellStyle name="Normal 5 7 7 2 2" xfId="38581" xr:uid="{D432E5F4-EF17-4675-81BA-EDDEC38CAC0D}"/>
    <cellStyle name="Normal 5 7 7 3" xfId="13278" xr:uid="{00000000-0005-0000-0000-0000AD510000}"/>
    <cellStyle name="Normal 5 7 7 4" xfId="30147" xr:uid="{5BFAF32B-8F4B-4172-B651-E1F71F5F4BC3}"/>
    <cellStyle name="Normal 5 7 8" xfId="17495" xr:uid="{00000000-0005-0000-0000-0000AE510000}"/>
    <cellStyle name="Normal 5 7 8 2" xfId="34364" xr:uid="{8EF14471-A1F2-4574-936C-E4FEBF78E6E5}"/>
    <cellStyle name="Normal 5 7 9" xfId="9060" xr:uid="{00000000-0005-0000-0000-0000AF510000}"/>
    <cellStyle name="Normal 5 8" xfId="880" xr:uid="{00000000-0005-0000-0000-0000B0510000}"/>
    <cellStyle name="Normal 5 8 2" xfId="3115" xr:uid="{00000000-0005-0000-0000-0000B1510000}"/>
    <cellStyle name="Normal 5 8 2 2" xfId="7338" xr:uid="{00000000-0005-0000-0000-0000B2510000}"/>
    <cellStyle name="Normal 5 8 2 2 2" xfId="24208" xr:uid="{00000000-0005-0000-0000-0000B3510000}"/>
    <cellStyle name="Normal 5 8 2 2 2 2" xfId="41076" xr:uid="{4D986DC6-FEEA-4721-B78C-0EB49E00F2C2}"/>
    <cellStyle name="Normal 5 8 2 2 3" xfId="15773" xr:uid="{00000000-0005-0000-0000-0000B4510000}"/>
    <cellStyle name="Normal 5 8 2 2 4" xfId="32642" xr:uid="{DC01ECEA-B86F-4FDF-BC4E-737659AAB4B4}"/>
    <cellStyle name="Normal 5 8 2 3" xfId="19990" xr:uid="{00000000-0005-0000-0000-0000B5510000}"/>
    <cellStyle name="Normal 5 8 2 3 2" xfId="36859" xr:uid="{7E10F463-2E1A-4B69-86D6-DAD0091ACD49}"/>
    <cellStyle name="Normal 5 8 2 4" xfId="11555" xr:uid="{00000000-0005-0000-0000-0000B6510000}"/>
    <cellStyle name="Normal 5 8 2 5" xfId="28425" xr:uid="{40BF2DAD-39E8-4D76-B948-784EE374A786}"/>
    <cellStyle name="Normal 5 8 3" xfId="5193" xr:uid="{00000000-0005-0000-0000-0000B7510000}"/>
    <cellStyle name="Normal 5 8 3 2" xfId="22063" xr:uid="{00000000-0005-0000-0000-0000B8510000}"/>
    <cellStyle name="Normal 5 8 3 2 2" xfId="38931" xr:uid="{B7810E61-E5CC-45E3-B019-FB4291D91748}"/>
    <cellStyle name="Normal 5 8 3 3" xfId="13628" xr:uid="{00000000-0005-0000-0000-0000B9510000}"/>
    <cellStyle name="Normal 5 8 3 4" xfId="30497" xr:uid="{64F91093-8DFC-4EE7-8DDF-178D935B8C28}"/>
    <cellStyle name="Normal 5 8 4" xfId="17845" xr:uid="{00000000-0005-0000-0000-0000BA510000}"/>
    <cellStyle name="Normal 5 8 4 2" xfId="34714" xr:uid="{D99E4A56-4A25-4EE7-9CBC-532328071516}"/>
    <cellStyle name="Normal 5 8 5" xfId="9410" xr:uid="{00000000-0005-0000-0000-0000BB510000}"/>
    <cellStyle name="Normal 5 8 6" xfId="26280" xr:uid="{78193CC6-E4D7-4C6C-871D-62F2AD51EF82}"/>
    <cellStyle name="Normal 5 9" xfId="1298" xr:uid="{00000000-0005-0000-0000-0000BC510000}"/>
    <cellStyle name="Normal 5 9 2" xfId="3528" xr:uid="{00000000-0005-0000-0000-0000BD510000}"/>
    <cellStyle name="Normal 5 9 2 2" xfId="7751" xr:uid="{00000000-0005-0000-0000-0000BE510000}"/>
    <cellStyle name="Normal 5 9 2 2 2" xfId="24621" xr:uid="{00000000-0005-0000-0000-0000BF510000}"/>
    <cellStyle name="Normal 5 9 2 2 2 2" xfId="41489" xr:uid="{29F51D26-2EC5-494F-8B10-0E371799901B}"/>
    <cellStyle name="Normal 5 9 2 2 3" xfId="16186" xr:uid="{00000000-0005-0000-0000-0000C0510000}"/>
    <cellStyle name="Normal 5 9 2 2 4" xfId="33055" xr:uid="{6670394F-9475-4E37-A17F-355611BED8B3}"/>
    <cellStyle name="Normal 5 9 2 3" xfId="20403" xr:uid="{00000000-0005-0000-0000-0000C1510000}"/>
    <cellStyle name="Normal 5 9 2 3 2" xfId="37272" xr:uid="{676AF46F-E745-457E-945E-FE83188EB832}"/>
    <cellStyle name="Normal 5 9 2 4" xfId="11968" xr:uid="{00000000-0005-0000-0000-0000C2510000}"/>
    <cellStyle name="Normal 5 9 2 5" xfId="28838" xr:uid="{CCD7786F-2E73-44B7-840A-231EAD714EE0}"/>
    <cellStyle name="Normal 5 9 3" xfId="5606" xr:uid="{00000000-0005-0000-0000-0000C3510000}"/>
    <cellStyle name="Normal 5 9 3 2" xfId="22476" xr:uid="{00000000-0005-0000-0000-0000C4510000}"/>
    <cellStyle name="Normal 5 9 3 2 2" xfId="39344" xr:uid="{9B5C7C73-D500-47A5-A571-27CECFF27409}"/>
    <cellStyle name="Normal 5 9 3 3" xfId="14041" xr:uid="{00000000-0005-0000-0000-0000C5510000}"/>
    <cellStyle name="Normal 5 9 3 4" xfId="30910" xr:uid="{955CD9A7-87D8-43E1-824F-DBC6876307C3}"/>
    <cellStyle name="Normal 5 9 4" xfId="18258" xr:uid="{00000000-0005-0000-0000-0000C6510000}"/>
    <cellStyle name="Normal 5 9 4 2" xfId="35127" xr:uid="{246F52AE-8B2B-49AD-BD36-FC46AEDE2256}"/>
    <cellStyle name="Normal 5 9 5" xfId="9823" xr:uid="{00000000-0005-0000-0000-0000C7510000}"/>
    <cellStyle name="Normal 5 9 6" xfId="26693" xr:uid="{46860EC6-7E4B-400A-8E02-1C910E16E0B9}"/>
    <cellStyle name="Normal 6" xfId="471" xr:uid="{00000000-0005-0000-0000-0000C8510000}"/>
    <cellStyle name="Normal 6 2" xfId="472" xr:uid="{00000000-0005-0000-0000-0000C9510000}"/>
    <cellStyle name="Normal 6 3" xfId="473" xr:uid="{00000000-0005-0000-0000-0000CA510000}"/>
    <cellStyle name="Normal 6 3 2" xfId="474" xr:uid="{00000000-0005-0000-0000-0000CB510000}"/>
    <cellStyle name="Normal 6 3 3" xfId="475" xr:uid="{00000000-0005-0000-0000-0000CC510000}"/>
    <cellStyle name="Normal 7" xfId="476" xr:uid="{00000000-0005-0000-0000-0000CD510000}"/>
    <cellStyle name="Normal 7 2" xfId="477" xr:uid="{00000000-0005-0000-0000-0000CE510000}"/>
    <cellStyle name="Normal 8" xfId="478" xr:uid="{00000000-0005-0000-0000-0000CF510000}"/>
    <cellStyle name="Normal 8 10" xfId="2189" xr:uid="{00000000-0005-0000-0000-0000D0510000}"/>
    <cellStyle name="Normal 8 10 2" xfId="4418" xr:uid="{00000000-0005-0000-0000-0000D1510000}"/>
    <cellStyle name="Normal 8 10 2 2" xfId="8641" xr:uid="{00000000-0005-0000-0000-0000D2510000}"/>
    <cellStyle name="Normal 8 10 2 2 2" xfId="25511" xr:uid="{00000000-0005-0000-0000-0000D3510000}"/>
    <cellStyle name="Normal 8 10 2 2 2 2" xfId="42379" xr:uid="{5AE99D2B-EC51-41AE-A7EA-A8A33EACF3E9}"/>
    <cellStyle name="Normal 8 10 2 2 3" xfId="17076" xr:uid="{00000000-0005-0000-0000-0000D4510000}"/>
    <cellStyle name="Normal 8 10 2 2 4" xfId="33945" xr:uid="{52A99C71-2734-40E0-8F5F-68F35DFBFA5D}"/>
    <cellStyle name="Normal 8 10 2 3" xfId="21293" xr:uid="{00000000-0005-0000-0000-0000D5510000}"/>
    <cellStyle name="Normal 8 10 2 3 2" xfId="38162" xr:uid="{7664CF06-A69D-4AC9-8ADE-38078FA5DD2E}"/>
    <cellStyle name="Normal 8 10 2 4" xfId="12858" xr:uid="{00000000-0005-0000-0000-0000D6510000}"/>
    <cellStyle name="Normal 8 10 2 5" xfId="29728" xr:uid="{0BB2A949-1BDD-4077-8D6B-7555D781E3D9}"/>
    <cellStyle name="Normal 8 10 3" xfId="6496" xr:uid="{00000000-0005-0000-0000-0000D7510000}"/>
    <cellStyle name="Normal 8 10 3 2" xfId="23366" xr:uid="{00000000-0005-0000-0000-0000D8510000}"/>
    <cellStyle name="Normal 8 10 3 2 2" xfId="40234" xr:uid="{B38CEC0B-54AF-4BA9-BB20-12060BD487C6}"/>
    <cellStyle name="Normal 8 10 3 3" xfId="14931" xr:uid="{00000000-0005-0000-0000-0000D9510000}"/>
    <cellStyle name="Normal 8 10 3 4" xfId="31800" xr:uid="{D2AE3014-F700-4F66-B97D-B5C8DDC44FEF}"/>
    <cellStyle name="Normal 8 10 4" xfId="19148" xr:uid="{00000000-0005-0000-0000-0000DA510000}"/>
    <cellStyle name="Normal 8 10 4 2" xfId="36017" xr:uid="{93CA6EB1-1964-4D8B-989F-ECB8619CA705}"/>
    <cellStyle name="Normal 8 10 5" xfId="10713" xr:uid="{00000000-0005-0000-0000-0000DB510000}"/>
    <cellStyle name="Normal 8 10 6" xfId="27583" xr:uid="{087FE7F2-D259-423F-A0B9-7343E1DA6119}"/>
    <cellStyle name="Normal 8 11" xfId="2625" xr:uid="{00000000-0005-0000-0000-0000DC510000}"/>
    <cellStyle name="Normal 8 11 2" xfId="6909" xr:uid="{00000000-0005-0000-0000-0000DD510000}"/>
    <cellStyle name="Normal 8 11 2 2" xfId="23779" xr:uid="{00000000-0005-0000-0000-0000DE510000}"/>
    <cellStyle name="Normal 8 11 2 2 2" xfId="40647" xr:uid="{DE476C24-EE25-4A63-9C0E-178085EDC463}"/>
    <cellStyle name="Normal 8 11 2 3" xfId="15344" xr:uid="{00000000-0005-0000-0000-0000DF510000}"/>
    <cellStyle name="Normal 8 11 2 4" xfId="32213" xr:uid="{0650F11D-7BEC-42EE-915D-21013D64B248}"/>
    <cellStyle name="Normal 8 11 3" xfId="19561" xr:uid="{00000000-0005-0000-0000-0000E0510000}"/>
    <cellStyle name="Normal 8 11 3 2" xfId="36430" xr:uid="{7B23A671-0C54-44B4-AC55-C62EB4EBC322}"/>
    <cellStyle name="Normal 8 11 4" xfId="11126" xr:uid="{00000000-0005-0000-0000-0000E1510000}"/>
    <cellStyle name="Normal 8 11 5" xfId="27996" xr:uid="{EC75DB54-4460-4314-B796-07F844530CB7}"/>
    <cellStyle name="Normal 8 12" xfId="4844" xr:uid="{00000000-0005-0000-0000-0000E2510000}"/>
    <cellStyle name="Normal 8 12 2" xfId="21714" xr:uid="{00000000-0005-0000-0000-0000E3510000}"/>
    <cellStyle name="Normal 8 12 2 2" xfId="38582" xr:uid="{BEC45F1D-6CE6-4ADD-B7D6-04780BA0D599}"/>
    <cellStyle name="Normal 8 12 3" xfId="13279" xr:uid="{00000000-0005-0000-0000-0000E4510000}"/>
    <cellStyle name="Normal 8 12 4" xfId="30148" xr:uid="{D65E720A-1B68-4E2B-9E8C-F0CB7AC7FAFF}"/>
    <cellStyle name="Normal 8 13" xfId="17496" xr:uid="{00000000-0005-0000-0000-0000E5510000}"/>
    <cellStyle name="Normal 8 13 2" xfId="34365" xr:uid="{71F05DEA-C5ED-4B00-99BE-E1EB1B8F3148}"/>
    <cellStyle name="Normal 8 14" xfId="9061" xr:uid="{00000000-0005-0000-0000-0000E6510000}"/>
    <cellStyle name="Normal 8 15" xfId="25931" xr:uid="{67DC0BE0-5709-4786-9C68-18155A72E6F6}"/>
    <cellStyle name="Normal 8 2" xfId="479" xr:uid="{00000000-0005-0000-0000-0000E7510000}"/>
    <cellStyle name="Normal 8 2 10" xfId="2626" xr:uid="{00000000-0005-0000-0000-0000E8510000}"/>
    <cellStyle name="Normal 8 2 10 2" xfId="6910" xr:uid="{00000000-0005-0000-0000-0000E9510000}"/>
    <cellStyle name="Normal 8 2 10 2 2" xfId="23780" xr:uid="{00000000-0005-0000-0000-0000EA510000}"/>
    <cellStyle name="Normal 8 2 10 2 2 2" xfId="40648" xr:uid="{18B4AB64-9A74-423A-876A-D831CC753DBF}"/>
    <cellStyle name="Normal 8 2 10 2 3" xfId="15345" xr:uid="{00000000-0005-0000-0000-0000EB510000}"/>
    <cellStyle name="Normal 8 2 10 2 4" xfId="32214" xr:uid="{C595DC79-1D53-446F-AEDD-40B6AE43D7F8}"/>
    <cellStyle name="Normal 8 2 10 3" xfId="19562" xr:uid="{00000000-0005-0000-0000-0000EC510000}"/>
    <cellStyle name="Normal 8 2 10 3 2" xfId="36431" xr:uid="{BAED4A04-6DA6-4909-8194-F790B574A90F}"/>
    <cellStyle name="Normal 8 2 10 4" xfId="11127" xr:uid="{00000000-0005-0000-0000-0000ED510000}"/>
    <cellStyle name="Normal 8 2 10 5" xfId="27997" xr:uid="{0EDA8AEA-B8B7-4C91-A411-6BADD977F3C5}"/>
    <cellStyle name="Normal 8 2 11" xfId="4845" xr:uid="{00000000-0005-0000-0000-0000EE510000}"/>
    <cellStyle name="Normal 8 2 11 2" xfId="21715" xr:uid="{00000000-0005-0000-0000-0000EF510000}"/>
    <cellStyle name="Normal 8 2 11 2 2" xfId="38583" xr:uid="{7034470F-8170-4560-80F7-8BF7522A9EBB}"/>
    <cellStyle name="Normal 8 2 11 3" xfId="13280" xr:uid="{00000000-0005-0000-0000-0000F0510000}"/>
    <cellStyle name="Normal 8 2 11 4" xfId="30149" xr:uid="{940A3A40-B9FA-4FCF-B352-596F2E6942A7}"/>
    <cellStyle name="Normal 8 2 12" xfId="17497" xr:uid="{00000000-0005-0000-0000-0000F1510000}"/>
    <cellStyle name="Normal 8 2 12 2" xfId="34366" xr:uid="{2FB1E8A6-0B6F-4ED7-A4FA-F3BF8DEC219F}"/>
    <cellStyle name="Normal 8 2 13" xfId="9062" xr:uid="{00000000-0005-0000-0000-0000F2510000}"/>
    <cellStyle name="Normal 8 2 14" xfId="25932" xr:uid="{DB0158DF-B726-4595-BA6B-E1956230DA9A}"/>
    <cellStyle name="Normal 8 2 2" xfId="480" xr:uid="{00000000-0005-0000-0000-0000F3510000}"/>
    <cellStyle name="Normal 8 2 2 10" xfId="4846" xr:uid="{00000000-0005-0000-0000-0000F4510000}"/>
    <cellStyle name="Normal 8 2 2 10 2" xfId="21716" xr:uid="{00000000-0005-0000-0000-0000F5510000}"/>
    <cellStyle name="Normal 8 2 2 10 2 2" xfId="38584" xr:uid="{1E5480A4-3215-43E7-A680-91C6336D184A}"/>
    <cellStyle name="Normal 8 2 2 10 3" xfId="13281" xr:uid="{00000000-0005-0000-0000-0000F6510000}"/>
    <cellStyle name="Normal 8 2 2 10 4" xfId="30150" xr:uid="{CA913097-685E-4480-BD9D-35D12ABECE97}"/>
    <cellStyle name="Normal 8 2 2 11" xfId="17498" xr:uid="{00000000-0005-0000-0000-0000F7510000}"/>
    <cellStyle name="Normal 8 2 2 11 2" xfId="34367" xr:uid="{28ABFECD-8D67-4A5B-8E43-9BD98D82D6C2}"/>
    <cellStyle name="Normal 8 2 2 12" xfId="9063" xr:uid="{00000000-0005-0000-0000-0000F8510000}"/>
    <cellStyle name="Normal 8 2 2 13" xfId="25933" xr:uid="{FF4BB934-A54D-4BF8-A787-C75DBBEB84D4}"/>
    <cellStyle name="Normal 8 2 2 2" xfId="481" xr:uid="{00000000-0005-0000-0000-0000F9510000}"/>
    <cellStyle name="Normal 8 2 2 2 10" xfId="17499" xr:uid="{00000000-0005-0000-0000-0000FA510000}"/>
    <cellStyle name="Normal 8 2 2 2 10 2" xfId="34368" xr:uid="{C50A0130-514E-44A0-A7C1-174CC702E1F5}"/>
    <cellStyle name="Normal 8 2 2 2 11" xfId="9064" xr:uid="{00000000-0005-0000-0000-0000FB510000}"/>
    <cellStyle name="Normal 8 2 2 2 12" xfId="25934" xr:uid="{BAE8F45A-22F5-4AA7-B3F9-967FC41A041F}"/>
    <cellStyle name="Normal 8 2 2 2 2" xfId="482" xr:uid="{00000000-0005-0000-0000-0000FC510000}"/>
    <cellStyle name="Normal 8 2 2 2 2 10" xfId="9065" xr:uid="{00000000-0005-0000-0000-0000FD510000}"/>
    <cellStyle name="Normal 8 2 2 2 2 11" xfId="25935" xr:uid="{4EAD38AA-1487-4865-BC40-68B95E1FF096}"/>
    <cellStyle name="Normal 8 2 2 2 2 2" xfId="483" xr:uid="{00000000-0005-0000-0000-0000FE510000}"/>
    <cellStyle name="Normal 8 2 2 2 2 2 10" xfId="25936" xr:uid="{E5C7A880-31A0-448D-8A82-0E59776C90AA}"/>
    <cellStyle name="Normal 8 2 2 2 2 2 2" xfId="950" xr:uid="{00000000-0005-0000-0000-0000FF510000}"/>
    <cellStyle name="Normal 8 2 2 2 2 2 2 2" xfId="3184" xr:uid="{00000000-0005-0000-0000-000000520000}"/>
    <cellStyle name="Normal 8 2 2 2 2 2 2 2 2" xfId="7407" xr:uid="{00000000-0005-0000-0000-000001520000}"/>
    <cellStyle name="Normal 8 2 2 2 2 2 2 2 2 2" xfId="24277" xr:uid="{00000000-0005-0000-0000-000002520000}"/>
    <cellStyle name="Normal 8 2 2 2 2 2 2 2 2 2 2" xfId="41145" xr:uid="{40E2491A-A2FC-4767-AAD1-F53954F3387F}"/>
    <cellStyle name="Normal 8 2 2 2 2 2 2 2 2 3" xfId="15842" xr:uid="{00000000-0005-0000-0000-000003520000}"/>
    <cellStyle name="Normal 8 2 2 2 2 2 2 2 2 4" xfId="32711" xr:uid="{09C2EA84-82C1-4AB6-AEED-C6D676E534C7}"/>
    <cellStyle name="Normal 8 2 2 2 2 2 2 2 3" xfId="20059" xr:uid="{00000000-0005-0000-0000-000004520000}"/>
    <cellStyle name="Normal 8 2 2 2 2 2 2 2 3 2" xfId="36928" xr:uid="{7AFA0AC0-C130-4804-A452-1C8545C01AD6}"/>
    <cellStyle name="Normal 8 2 2 2 2 2 2 2 4" xfId="11624" xr:uid="{00000000-0005-0000-0000-000005520000}"/>
    <cellStyle name="Normal 8 2 2 2 2 2 2 2 5" xfId="28494" xr:uid="{76E11A8F-6361-45C5-81FA-64E6DB292A69}"/>
    <cellStyle name="Normal 8 2 2 2 2 2 2 3" xfId="5262" xr:uid="{00000000-0005-0000-0000-000006520000}"/>
    <cellStyle name="Normal 8 2 2 2 2 2 2 3 2" xfId="22132" xr:uid="{00000000-0005-0000-0000-000007520000}"/>
    <cellStyle name="Normal 8 2 2 2 2 2 2 3 2 2" xfId="39000" xr:uid="{ACF477C2-3617-47DF-85A2-0687A00A67DA}"/>
    <cellStyle name="Normal 8 2 2 2 2 2 2 3 3" xfId="13697" xr:uid="{00000000-0005-0000-0000-000008520000}"/>
    <cellStyle name="Normal 8 2 2 2 2 2 2 3 4" xfId="30566" xr:uid="{DBE00B8E-5D6F-45A0-A8B5-313D949B2BCC}"/>
    <cellStyle name="Normal 8 2 2 2 2 2 2 4" xfId="17914" xr:uid="{00000000-0005-0000-0000-000009520000}"/>
    <cellStyle name="Normal 8 2 2 2 2 2 2 4 2" xfId="34783" xr:uid="{9220D68D-DF23-41B6-8EB1-4F2124A4A5E6}"/>
    <cellStyle name="Normal 8 2 2 2 2 2 2 5" xfId="9479" xr:uid="{00000000-0005-0000-0000-00000A520000}"/>
    <cellStyle name="Normal 8 2 2 2 2 2 2 6" xfId="26349" xr:uid="{616BF9FB-C494-4090-86C3-BF5BACB60788}"/>
    <cellStyle name="Normal 8 2 2 2 2 2 3" xfId="1367" xr:uid="{00000000-0005-0000-0000-00000B520000}"/>
    <cellStyle name="Normal 8 2 2 2 2 2 3 2" xfId="3597" xr:uid="{00000000-0005-0000-0000-00000C520000}"/>
    <cellStyle name="Normal 8 2 2 2 2 2 3 2 2" xfId="7820" xr:uid="{00000000-0005-0000-0000-00000D520000}"/>
    <cellStyle name="Normal 8 2 2 2 2 2 3 2 2 2" xfId="24690" xr:uid="{00000000-0005-0000-0000-00000E520000}"/>
    <cellStyle name="Normal 8 2 2 2 2 2 3 2 2 2 2" xfId="41558" xr:uid="{4D252DCE-B11A-4FD5-BEEB-F5441A16E029}"/>
    <cellStyle name="Normal 8 2 2 2 2 2 3 2 2 3" xfId="16255" xr:uid="{00000000-0005-0000-0000-00000F520000}"/>
    <cellStyle name="Normal 8 2 2 2 2 2 3 2 2 4" xfId="33124" xr:uid="{AE7B2549-F3D0-4209-9347-81B9100A9375}"/>
    <cellStyle name="Normal 8 2 2 2 2 2 3 2 3" xfId="20472" xr:uid="{00000000-0005-0000-0000-000010520000}"/>
    <cellStyle name="Normal 8 2 2 2 2 2 3 2 3 2" xfId="37341" xr:uid="{65432FBB-39ED-4BFF-AD25-3312FB2B77CF}"/>
    <cellStyle name="Normal 8 2 2 2 2 2 3 2 4" xfId="12037" xr:uid="{00000000-0005-0000-0000-000011520000}"/>
    <cellStyle name="Normal 8 2 2 2 2 2 3 2 5" xfId="28907" xr:uid="{7C1C4F85-BB52-4B64-9E51-18A6ECD327DD}"/>
    <cellStyle name="Normal 8 2 2 2 2 2 3 3" xfId="5675" xr:uid="{00000000-0005-0000-0000-000012520000}"/>
    <cellStyle name="Normal 8 2 2 2 2 2 3 3 2" xfId="22545" xr:uid="{00000000-0005-0000-0000-000013520000}"/>
    <cellStyle name="Normal 8 2 2 2 2 2 3 3 2 2" xfId="39413" xr:uid="{DC1C4EEC-87DB-4EF7-9DCC-A1A532A2C5BB}"/>
    <cellStyle name="Normal 8 2 2 2 2 2 3 3 3" xfId="14110" xr:uid="{00000000-0005-0000-0000-000014520000}"/>
    <cellStyle name="Normal 8 2 2 2 2 2 3 3 4" xfId="30979" xr:uid="{6E3C9C36-DDFC-4C92-B85A-8512740CB5B7}"/>
    <cellStyle name="Normal 8 2 2 2 2 2 3 4" xfId="18327" xr:uid="{00000000-0005-0000-0000-000015520000}"/>
    <cellStyle name="Normal 8 2 2 2 2 2 3 4 2" xfId="35196" xr:uid="{8A0FB684-B5DF-461F-81C1-F18190C7F0B1}"/>
    <cellStyle name="Normal 8 2 2 2 2 2 3 5" xfId="9892" xr:uid="{00000000-0005-0000-0000-000016520000}"/>
    <cellStyle name="Normal 8 2 2 2 2 2 3 6" xfId="26762" xr:uid="{4170ED53-46BD-4193-BCFD-8702F0472DD0}"/>
    <cellStyle name="Normal 8 2 2 2 2 2 4" xfId="1780" xr:uid="{00000000-0005-0000-0000-000017520000}"/>
    <cellStyle name="Normal 8 2 2 2 2 2 4 2" xfId="4010" xr:uid="{00000000-0005-0000-0000-000018520000}"/>
    <cellStyle name="Normal 8 2 2 2 2 2 4 2 2" xfId="8233" xr:uid="{00000000-0005-0000-0000-000019520000}"/>
    <cellStyle name="Normal 8 2 2 2 2 2 4 2 2 2" xfId="25103" xr:uid="{00000000-0005-0000-0000-00001A520000}"/>
    <cellStyle name="Normal 8 2 2 2 2 2 4 2 2 2 2" xfId="41971" xr:uid="{BA5CE7C2-4DD2-4D56-BB46-F0EA4B78A978}"/>
    <cellStyle name="Normal 8 2 2 2 2 2 4 2 2 3" xfId="16668" xr:uid="{00000000-0005-0000-0000-00001B520000}"/>
    <cellStyle name="Normal 8 2 2 2 2 2 4 2 2 4" xfId="33537" xr:uid="{8E19045C-DB8F-47F9-BF53-58D81FBB516F}"/>
    <cellStyle name="Normal 8 2 2 2 2 2 4 2 3" xfId="20885" xr:uid="{00000000-0005-0000-0000-00001C520000}"/>
    <cellStyle name="Normal 8 2 2 2 2 2 4 2 3 2" xfId="37754" xr:uid="{89A88900-82DD-41DF-8CF5-D4E1F1E0C64E}"/>
    <cellStyle name="Normal 8 2 2 2 2 2 4 2 4" xfId="12450" xr:uid="{00000000-0005-0000-0000-00001D520000}"/>
    <cellStyle name="Normal 8 2 2 2 2 2 4 2 5" xfId="29320" xr:uid="{0D095EFA-979C-4BD5-A8E4-062743B46371}"/>
    <cellStyle name="Normal 8 2 2 2 2 2 4 3" xfId="6088" xr:uid="{00000000-0005-0000-0000-00001E520000}"/>
    <cellStyle name="Normal 8 2 2 2 2 2 4 3 2" xfId="22958" xr:uid="{00000000-0005-0000-0000-00001F520000}"/>
    <cellStyle name="Normal 8 2 2 2 2 2 4 3 2 2" xfId="39826" xr:uid="{075AF686-9DA2-4E6E-A7E3-03E152DB255E}"/>
    <cellStyle name="Normal 8 2 2 2 2 2 4 3 3" xfId="14523" xr:uid="{00000000-0005-0000-0000-000020520000}"/>
    <cellStyle name="Normal 8 2 2 2 2 2 4 3 4" xfId="31392" xr:uid="{0AFE3502-9B73-4736-95CC-D7BDD2DCE595}"/>
    <cellStyle name="Normal 8 2 2 2 2 2 4 4" xfId="18740" xr:uid="{00000000-0005-0000-0000-000021520000}"/>
    <cellStyle name="Normal 8 2 2 2 2 2 4 4 2" xfId="35609" xr:uid="{9FB32C16-FCED-4ED6-8EAF-B4A611D4DC81}"/>
    <cellStyle name="Normal 8 2 2 2 2 2 4 5" xfId="10305" xr:uid="{00000000-0005-0000-0000-000022520000}"/>
    <cellStyle name="Normal 8 2 2 2 2 2 4 6" xfId="27175" xr:uid="{A80899D4-8FA2-4206-ADB1-F8418E656578}"/>
    <cellStyle name="Normal 8 2 2 2 2 2 5" xfId="2194" xr:uid="{00000000-0005-0000-0000-000023520000}"/>
    <cellStyle name="Normal 8 2 2 2 2 2 5 2" xfId="4423" xr:uid="{00000000-0005-0000-0000-000024520000}"/>
    <cellStyle name="Normal 8 2 2 2 2 2 5 2 2" xfId="8646" xr:uid="{00000000-0005-0000-0000-000025520000}"/>
    <cellStyle name="Normal 8 2 2 2 2 2 5 2 2 2" xfId="25516" xr:uid="{00000000-0005-0000-0000-000026520000}"/>
    <cellStyle name="Normal 8 2 2 2 2 2 5 2 2 2 2" xfId="42384" xr:uid="{D2ABA70F-B191-4158-8B94-430A1EC9D2A4}"/>
    <cellStyle name="Normal 8 2 2 2 2 2 5 2 2 3" xfId="17081" xr:uid="{00000000-0005-0000-0000-000027520000}"/>
    <cellStyle name="Normal 8 2 2 2 2 2 5 2 2 4" xfId="33950" xr:uid="{B403A865-3484-4D9B-BE56-2FF1431D4989}"/>
    <cellStyle name="Normal 8 2 2 2 2 2 5 2 3" xfId="21298" xr:uid="{00000000-0005-0000-0000-000028520000}"/>
    <cellStyle name="Normal 8 2 2 2 2 2 5 2 3 2" xfId="38167" xr:uid="{CA644328-80C9-4EFB-AB4F-62B8D2242600}"/>
    <cellStyle name="Normal 8 2 2 2 2 2 5 2 4" xfId="12863" xr:uid="{00000000-0005-0000-0000-000029520000}"/>
    <cellStyle name="Normal 8 2 2 2 2 2 5 2 5" xfId="29733" xr:uid="{36562A43-07CD-4E7C-B878-EAA368D549E1}"/>
    <cellStyle name="Normal 8 2 2 2 2 2 5 3" xfId="6501" xr:uid="{00000000-0005-0000-0000-00002A520000}"/>
    <cellStyle name="Normal 8 2 2 2 2 2 5 3 2" xfId="23371" xr:uid="{00000000-0005-0000-0000-00002B520000}"/>
    <cellStyle name="Normal 8 2 2 2 2 2 5 3 2 2" xfId="40239" xr:uid="{D0A5C558-2AD4-4185-898A-3164C797A92C}"/>
    <cellStyle name="Normal 8 2 2 2 2 2 5 3 3" xfId="14936" xr:uid="{00000000-0005-0000-0000-00002C520000}"/>
    <cellStyle name="Normal 8 2 2 2 2 2 5 3 4" xfId="31805" xr:uid="{23C9B861-7AB3-4693-8C13-FBCA58F0A0E8}"/>
    <cellStyle name="Normal 8 2 2 2 2 2 5 4" xfId="19153" xr:uid="{00000000-0005-0000-0000-00002D520000}"/>
    <cellStyle name="Normal 8 2 2 2 2 2 5 4 2" xfId="36022" xr:uid="{E00B128D-8924-4E04-A4B6-E9F073B1A477}"/>
    <cellStyle name="Normal 8 2 2 2 2 2 5 5" xfId="10718" xr:uid="{00000000-0005-0000-0000-00002E520000}"/>
    <cellStyle name="Normal 8 2 2 2 2 2 5 6" xfId="27588" xr:uid="{44A44F09-680F-4BDA-81EB-B5CFAD80DF67}"/>
    <cellStyle name="Normal 8 2 2 2 2 2 6" xfId="2630" xr:uid="{00000000-0005-0000-0000-00002F520000}"/>
    <cellStyle name="Normal 8 2 2 2 2 2 6 2" xfId="6914" xr:uid="{00000000-0005-0000-0000-000030520000}"/>
    <cellStyle name="Normal 8 2 2 2 2 2 6 2 2" xfId="23784" xr:uid="{00000000-0005-0000-0000-000031520000}"/>
    <cellStyle name="Normal 8 2 2 2 2 2 6 2 2 2" xfId="40652" xr:uid="{A62360F6-812D-420E-93DE-E8AD0054814F}"/>
    <cellStyle name="Normal 8 2 2 2 2 2 6 2 3" xfId="15349" xr:uid="{00000000-0005-0000-0000-000032520000}"/>
    <cellStyle name="Normal 8 2 2 2 2 2 6 2 4" xfId="32218" xr:uid="{89B7B23E-022D-4604-9268-9F6A7596AEEC}"/>
    <cellStyle name="Normal 8 2 2 2 2 2 6 3" xfId="19566" xr:uid="{00000000-0005-0000-0000-000033520000}"/>
    <cellStyle name="Normal 8 2 2 2 2 2 6 3 2" xfId="36435" xr:uid="{D84A7BC8-CE66-4088-91ED-FFDAE6E9E238}"/>
    <cellStyle name="Normal 8 2 2 2 2 2 6 4" xfId="11131" xr:uid="{00000000-0005-0000-0000-000034520000}"/>
    <cellStyle name="Normal 8 2 2 2 2 2 6 5" xfId="28001" xr:uid="{2232EF25-92BB-4B7A-8559-C84D6E0679DF}"/>
    <cellStyle name="Normal 8 2 2 2 2 2 7" xfId="4849" xr:uid="{00000000-0005-0000-0000-000035520000}"/>
    <cellStyle name="Normal 8 2 2 2 2 2 7 2" xfId="21719" xr:uid="{00000000-0005-0000-0000-000036520000}"/>
    <cellStyle name="Normal 8 2 2 2 2 2 7 2 2" xfId="38587" xr:uid="{E3137612-2474-4F73-833A-E577164A60D8}"/>
    <cellStyle name="Normal 8 2 2 2 2 2 7 3" xfId="13284" xr:uid="{00000000-0005-0000-0000-000037520000}"/>
    <cellStyle name="Normal 8 2 2 2 2 2 7 4" xfId="30153" xr:uid="{4C4EECA8-3011-400C-8F3F-3BE88F9F14DE}"/>
    <cellStyle name="Normal 8 2 2 2 2 2 8" xfId="17501" xr:uid="{00000000-0005-0000-0000-000038520000}"/>
    <cellStyle name="Normal 8 2 2 2 2 2 8 2" xfId="34370" xr:uid="{1124FD94-97D9-4C78-BFAB-CD0D92566B2F}"/>
    <cellStyle name="Normal 8 2 2 2 2 2 9" xfId="9066" xr:uid="{00000000-0005-0000-0000-000039520000}"/>
    <cellStyle name="Normal 8 2 2 2 2 3" xfId="949" xr:uid="{00000000-0005-0000-0000-00003A520000}"/>
    <cellStyle name="Normal 8 2 2 2 2 3 2" xfId="3183" xr:uid="{00000000-0005-0000-0000-00003B520000}"/>
    <cellStyle name="Normal 8 2 2 2 2 3 2 2" xfId="7406" xr:uid="{00000000-0005-0000-0000-00003C520000}"/>
    <cellStyle name="Normal 8 2 2 2 2 3 2 2 2" xfId="24276" xr:uid="{00000000-0005-0000-0000-00003D520000}"/>
    <cellStyle name="Normal 8 2 2 2 2 3 2 2 2 2" xfId="41144" xr:uid="{C861C722-E29A-4386-95C9-46E6C57186E8}"/>
    <cellStyle name="Normal 8 2 2 2 2 3 2 2 3" xfId="15841" xr:uid="{00000000-0005-0000-0000-00003E520000}"/>
    <cellStyle name="Normal 8 2 2 2 2 3 2 2 4" xfId="32710" xr:uid="{A0431B40-2FAB-40E9-8527-CE51459B50B5}"/>
    <cellStyle name="Normal 8 2 2 2 2 3 2 3" xfId="20058" xr:uid="{00000000-0005-0000-0000-00003F520000}"/>
    <cellStyle name="Normal 8 2 2 2 2 3 2 3 2" xfId="36927" xr:uid="{15A469BB-8DFD-4335-9992-94E62106705E}"/>
    <cellStyle name="Normal 8 2 2 2 2 3 2 4" xfId="11623" xr:uid="{00000000-0005-0000-0000-000040520000}"/>
    <cellStyle name="Normal 8 2 2 2 2 3 2 5" xfId="28493" xr:uid="{D2A920A5-CA19-4BB3-AE87-11C64457BBFA}"/>
    <cellStyle name="Normal 8 2 2 2 2 3 3" xfId="5261" xr:uid="{00000000-0005-0000-0000-000041520000}"/>
    <cellStyle name="Normal 8 2 2 2 2 3 3 2" xfId="22131" xr:uid="{00000000-0005-0000-0000-000042520000}"/>
    <cellStyle name="Normal 8 2 2 2 2 3 3 2 2" xfId="38999" xr:uid="{1970E021-B3E1-483F-B966-1CBD47696F2C}"/>
    <cellStyle name="Normal 8 2 2 2 2 3 3 3" xfId="13696" xr:uid="{00000000-0005-0000-0000-000043520000}"/>
    <cellStyle name="Normal 8 2 2 2 2 3 3 4" xfId="30565" xr:uid="{182114B0-57D3-46C8-B70B-7EDB5EC182D1}"/>
    <cellStyle name="Normal 8 2 2 2 2 3 4" xfId="17913" xr:uid="{00000000-0005-0000-0000-000044520000}"/>
    <cellStyle name="Normal 8 2 2 2 2 3 4 2" xfId="34782" xr:uid="{DC22D06F-D3D7-4A04-B623-9C76FA407DDC}"/>
    <cellStyle name="Normal 8 2 2 2 2 3 5" xfId="9478" xr:uid="{00000000-0005-0000-0000-000045520000}"/>
    <cellStyle name="Normal 8 2 2 2 2 3 6" xfId="26348" xr:uid="{5D2B0407-98DF-4C04-9B09-1D1C461C5397}"/>
    <cellStyle name="Normal 8 2 2 2 2 4" xfId="1366" xr:uid="{00000000-0005-0000-0000-000046520000}"/>
    <cellStyle name="Normal 8 2 2 2 2 4 2" xfId="3596" xr:uid="{00000000-0005-0000-0000-000047520000}"/>
    <cellStyle name="Normal 8 2 2 2 2 4 2 2" xfId="7819" xr:uid="{00000000-0005-0000-0000-000048520000}"/>
    <cellStyle name="Normal 8 2 2 2 2 4 2 2 2" xfId="24689" xr:uid="{00000000-0005-0000-0000-000049520000}"/>
    <cellStyle name="Normal 8 2 2 2 2 4 2 2 2 2" xfId="41557" xr:uid="{A4C8A5EC-4C14-4F05-9D73-36FF33394178}"/>
    <cellStyle name="Normal 8 2 2 2 2 4 2 2 3" xfId="16254" xr:uid="{00000000-0005-0000-0000-00004A520000}"/>
    <cellStyle name="Normal 8 2 2 2 2 4 2 2 4" xfId="33123" xr:uid="{A7548C5F-7D31-4119-BA4F-5E7AFD4E9BE5}"/>
    <cellStyle name="Normal 8 2 2 2 2 4 2 3" xfId="20471" xr:uid="{00000000-0005-0000-0000-00004B520000}"/>
    <cellStyle name="Normal 8 2 2 2 2 4 2 3 2" xfId="37340" xr:uid="{C788379A-1AA1-4CED-BF8A-56ECC2F818A5}"/>
    <cellStyle name="Normal 8 2 2 2 2 4 2 4" xfId="12036" xr:uid="{00000000-0005-0000-0000-00004C520000}"/>
    <cellStyle name="Normal 8 2 2 2 2 4 2 5" xfId="28906" xr:uid="{4350ED78-F0D5-41F4-B7F4-40CDBA2F2F0F}"/>
    <cellStyle name="Normal 8 2 2 2 2 4 3" xfId="5674" xr:uid="{00000000-0005-0000-0000-00004D520000}"/>
    <cellStyle name="Normal 8 2 2 2 2 4 3 2" xfId="22544" xr:uid="{00000000-0005-0000-0000-00004E520000}"/>
    <cellStyle name="Normal 8 2 2 2 2 4 3 2 2" xfId="39412" xr:uid="{F61F4693-6C3C-46CB-9F49-5080E4085B6D}"/>
    <cellStyle name="Normal 8 2 2 2 2 4 3 3" xfId="14109" xr:uid="{00000000-0005-0000-0000-00004F520000}"/>
    <cellStyle name="Normal 8 2 2 2 2 4 3 4" xfId="30978" xr:uid="{057E90A6-A556-4E1F-8A56-C03DAF8C8B02}"/>
    <cellStyle name="Normal 8 2 2 2 2 4 4" xfId="18326" xr:uid="{00000000-0005-0000-0000-000050520000}"/>
    <cellStyle name="Normal 8 2 2 2 2 4 4 2" xfId="35195" xr:uid="{A3284BEB-DA92-4433-A687-1DFBE29D0291}"/>
    <cellStyle name="Normal 8 2 2 2 2 4 5" xfId="9891" xr:uid="{00000000-0005-0000-0000-000051520000}"/>
    <cellStyle name="Normal 8 2 2 2 2 4 6" xfId="26761" xr:uid="{4FC5FA8D-CE70-450B-920B-41B2CDD58C16}"/>
    <cellStyle name="Normal 8 2 2 2 2 5" xfId="1779" xr:uid="{00000000-0005-0000-0000-000052520000}"/>
    <cellStyle name="Normal 8 2 2 2 2 5 2" xfId="4009" xr:uid="{00000000-0005-0000-0000-000053520000}"/>
    <cellStyle name="Normal 8 2 2 2 2 5 2 2" xfId="8232" xr:uid="{00000000-0005-0000-0000-000054520000}"/>
    <cellStyle name="Normal 8 2 2 2 2 5 2 2 2" xfId="25102" xr:uid="{00000000-0005-0000-0000-000055520000}"/>
    <cellStyle name="Normal 8 2 2 2 2 5 2 2 2 2" xfId="41970" xr:uid="{68B67440-D6F1-482F-844C-F5CD6F9DE056}"/>
    <cellStyle name="Normal 8 2 2 2 2 5 2 2 3" xfId="16667" xr:uid="{00000000-0005-0000-0000-000056520000}"/>
    <cellStyle name="Normal 8 2 2 2 2 5 2 2 4" xfId="33536" xr:uid="{461315FD-BAD6-47A6-BFA5-5C1FD6C59B3C}"/>
    <cellStyle name="Normal 8 2 2 2 2 5 2 3" xfId="20884" xr:uid="{00000000-0005-0000-0000-000057520000}"/>
    <cellStyle name="Normal 8 2 2 2 2 5 2 3 2" xfId="37753" xr:uid="{7F343BCD-DD98-430F-883D-D3D02E846229}"/>
    <cellStyle name="Normal 8 2 2 2 2 5 2 4" xfId="12449" xr:uid="{00000000-0005-0000-0000-000058520000}"/>
    <cellStyle name="Normal 8 2 2 2 2 5 2 5" xfId="29319" xr:uid="{DC896E91-4822-4CD7-8F9D-956AD62123A2}"/>
    <cellStyle name="Normal 8 2 2 2 2 5 3" xfId="6087" xr:uid="{00000000-0005-0000-0000-000059520000}"/>
    <cellStyle name="Normal 8 2 2 2 2 5 3 2" xfId="22957" xr:uid="{00000000-0005-0000-0000-00005A520000}"/>
    <cellStyle name="Normal 8 2 2 2 2 5 3 2 2" xfId="39825" xr:uid="{5DEAC306-9C5B-4EFA-9D14-F40D47D017E2}"/>
    <cellStyle name="Normal 8 2 2 2 2 5 3 3" xfId="14522" xr:uid="{00000000-0005-0000-0000-00005B520000}"/>
    <cellStyle name="Normal 8 2 2 2 2 5 3 4" xfId="31391" xr:uid="{71DFC700-6D6E-4981-9DB8-77D4834BBFC8}"/>
    <cellStyle name="Normal 8 2 2 2 2 5 4" xfId="18739" xr:uid="{00000000-0005-0000-0000-00005C520000}"/>
    <cellStyle name="Normal 8 2 2 2 2 5 4 2" xfId="35608" xr:uid="{26AE6E2F-1186-4EFA-8C46-AB43A0B7CEDA}"/>
    <cellStyle name="Normal 8 2 2 2 2 5 5" xfId="10304" xr:uid="{00000000-0005-0000-0000-00005D520000}"/>
    <cellStyle name="Normal 8 2 2 2 2 5 6" xfId="27174" xr:uid="{636665F8-38DF-4706-9A4D-B97CD27BC43A}"/>
    <cellStyle name="Normal 8 2 2 2 2 6" xfId="2193" xr:uid="{00000000-0005-0000-0000-00005E520000}"/>
    <cellStyle name="Normal 8 2 2 2 2 6 2" xfId="4422" xr:uid="{00000000-0005-0000-0000-00005F520000}"/>
    <cellStyle name="Normal 8 2 2 2 2 6 2 2" xfId="8645" xr:uid="{00000000-0005-0000-0000-000060520000}"/>
    <cellStyle name="Normal 8 2 2 2 2 6 2 2 2" xfId="25515" xr:uid="{00000000-0005-0000-0000-000061520000}"/>
    <cellStyle name="Normal 8 2 2 2 2 6 2 2 2 2" xfId="42383" xr:uid="{503A0FAE-CBAB-46A6-911C-52CF715A0374}"/>
    <cellStyle name="Normal 8 2 2 2 2 6 2 2 3" xfId="17080" xr:uid="{00000000-0005-0000-0000-000062520000}"/>
    <cellStyle name="Normal 8 2 2 2 2 6 2 2 4" xfId="33949" xr:uid="{6AA3D682-A751-435F-858D-C47DA1B43364}"/>
    <cellStyle name="Normal 8 2 2 2 2 6 2 3" xfId="21297" xr:uid="{00000000-0005-0000-0000-000063520000}"/>
    <cellStyle name="Normal 8 2 2 2 2 6 2 3 2" xfId="38166" xr:uid="{0EA7BCB6-69F6-4398-8B0C-0BBDDC23DE60}"/>
    <cellStyle name="Normal 8 2 2 2 2 6 2 4" xfId="12862" xr:uid="{00000000-0005-0000-0000-000064520000}"/>
    <cellStyle name="Normal 8 2 2 2 2 6 2 5" xfId="29732" xr:uid="{742EAA72-7059-4B93-A05C-416E83F53382}"/>
    <cellStyle name="Normal 8 2 2 2 2 6 3" xfId="6500" xr:uid="{00000000-0005-0000-0000-000065520000}"/>
    <cellStyle name="Normal 8 2 2 2 2 6 3 2" xfId="23370" xr:uid="{00000000-0005-0000-0000-000066520000}"/>
    <cellStyle name="Normal 8 2 2 2 2 6 3 2 2" xfId="40238" xr:uid="{9F541C83-EE67-443D-957A-DA48CA81E0C2}"/>
    <cellStyle name="Normal 8 2 2 2 2 6 3 3" xfId="14935" xr:uid="{00000000-0005-0000-0000-000067520000}"/>
    <cellStyle name="Normal 8 2 2 2 2 6 3 4" xfId="31804" xr:uid="{66945F7C-EBAB-4C90-A8CF-56D8E3573622}"/>
    <cellStyle name="Normal 8 2 2 2 2 6 4" xfId="19152" xr:uid="{00000000-0005-0000-0000-000068520000}"/>
    <cellStyle name="Normal 8 2 2 2 2 6 4 2" xfId="36021" xr:uid="{94DA7215-DA46-4B5F-ACA2-536A7398DD39}"/>
    <cellStyle name="Normal 8 2 2 2 2 6 5" xfId="10717" xr:uid="{00000000-0005-0000-0000-000069520000}"/>
    <cellStyle name="Normal 8 2 2 2 2 6 6" xfId="27587" xr:uid="{11673230-F710-493D-972B-DBDA9CC9DA60}"/>
    <cellStyle name="Normal 8 2 2 2 2 7" xfId="2629" xr:uid="{00000000-0005-0000-0000-00006A520000}"/>
    <cellStyle name="Normal 8 2 2 2 2 7 2" xfId="6913" xr:uid="{00000000-0005-0000-0000-00006B520000}"/>
    <cellStyle name="Normal 8 2 2 2 2 7 2 2" xfId="23783" xr:uid="{00000000-0005-0000-0000-00006C520000}"/>
    <cellStyle name="Normal 8 2 2 2 2 7 2 2 2" xfId="40651" xr:uid="{9B7A3A14-12C7-428E-A312-CC90D8B1301E}"/>
    <cellStyle name="Normal 8 2 2 2 2 7 2 3" xfId="15348" xr:uid="{00000000-0005-0000-0000-00006D520000}"/>
    <cellStyle name="Normal 8 2 2 2 2 7 2 4" xfId="32217" xr:uid="{2E109776-53F6-4873-84E7-7CE079503047}"/>
    <cellStyle name="Normal 8 2 2 2 2 7 3" xfId="19565" xr:uid="{00000000-0005-0000-0000-00006E520000}"/>
    <cellStyle name="Normal 8 2 2 2 2 7 3 2" xfId="36434" xr:uid="{BE5B3975-711E-413C-A9BC-B388FE2EA39E}"/>
    <cellStyle name="Normal 8 2 2 2 2 7 4" xfId="11130" xr:uid="{00000000-0005-0000-0000-00006F520000}"/>
    <cellStyle name="Normal 8 2 2 2 2 7 5" xfId="28000" xr:uid="{F583BE9E-91C6-434B-883B-02255D0B2DE3}"/>
    <cellStyle name="Normal 8 2 2 2 2 8" xfId="4848" xr:uid="{00000000-0005-0000-0000-000070520000}"/>
    <cellStyle name="Normal 8 2 2 2 2 8 2" xfId="21718" xr:uid="{00000000-0005-0000-0000-000071520000}"/>
    <cellStyle name="Normal 8 2 2 2 2 8 2 2" xfId="38586" xr:uid="{620E8D82-0D49-4245-925A-6D9EFC8A98FA}"/>
    <cellStyle name="Normal 8 2 2 2 2 8 3" xfId="13283" xr:uid="{00000000-0005-0000-0000-000072520000}"/>
    <cellStyle name="Normal 8 2 2 2 2 8 4" xfId="30152" xr:uid="{7B9032FA-EC71-4B5E-AF20-A2EE7E0B3C90}"/>
    <cellStyle name="Normal 8 2 2 2 2 9" xfId="17500" xr:uid="{00000000-0005-0000-0000-000073520000}"/>
    <cellStyle name="Normal 8 2 2 2 2 9 2" xfId="34369" xr:uid="{251CDDC4-90F9-4185-823B-AC5A5AEBA7A0}"/>
    <cellStyle name="Normal 8 2 2 2 3" xfId="484" xr:uid="{00000000-0005-0000-0000-000074520000}"/>
    <cellStyle name="Normal 8 2 2 2 3 10" xfId="25937" xr:uid="{755607AC-531E-43C8-8652-B2B57956CB67}"/>
    <cellStyle name="Normal 8 2 2 2 3 2" xfId="951" xr:uid="{00000000-0005-0000-0000-000075520000}"/>
    <cellStyle name="Normal 8 2 2 2 3 2 2" xfId="3185" xr:uid="{00000000-0005-0000-0000-000076520000}"/>
    <cellStyle name="Normal 8 2 2 2 3 2 2 2" xfId="7408" xr:uid="{00000000-0005-0000-0000-000077520000}"/>
    <cellStyle name="Normal 8 2 2 2 3 2 2 2 2" xfId="24278" xr:uid="{00000000-0005-0000-0000-000078520000}"/>
    <cellStyle name="Normal 8 2 2 2 3 2 2 2 2 2" xfId="41146" xr:uid="{7494809B-2CEF-4F36-BC8F-3E9A65FC6427}"/>
    <cellStyle name="Normal 8 2 2 2 3 2 2 2 3" xfId="15843" xr:uid="{00000000-0005-0000-0000-000079520000}"/>
    <cellStyle name="Normal 8 2 2 2 3 2 2 2 4" xfId="32712" xr:uid="{2029F746-A413-4CBC-AF50-BD728AC3B623}"/>
    <cellStyle name="Normal 8 2 2 2 3 2 2 3" xfId="20060" xr:uid="{00000000-0005-0000-0000-00007A520000}"/>
    <cellStyle name="Normal 8 2 2 2 3 2 2 3 2" xfId="36929" xr:uid="{EAD3BE7B-AEE3-4802-9501-30C96628081D}"/>
    <cellStyle name="Normal 8 2 2 2 3 2 2 4" xfId="11625" xr:uid="{00000000-0005-0000-0000-00007B520000}"/>
    <cellStyle name="Normal 8 2 2 2 3 2 2 5" xfId="28495" xr:uid="{CF92E8C5-FD16-4182-84F7-B35F9B75E17A}"/>
    <cellStyle name="Normal 8 2 2 2 3 2 3" xfId="5263" xr:uid="{00000000-0005-0000-0000-00007C520000}"/>
    <cellStyle name="Normal 8 2 2 2 3 2 3 2" xfId="22133" xr:uid="{00000000-0005-0000-0000-00007D520000}"/>
    <cellStyle name="Normal 8 2 2 2 3 2 3 2 2" xfId="39001" xr:uid="{5C98807F-6EB2-4EEB-B784-92EDD786A52E}"/>
    <cellStyle name="Normal 8 2 2 2 3 2 3 3" xfId="13698" xr:uid="{00000000-0005-0000-0000-00007E520000}"/>
    <cellStyle name="Normal 8 2 2 2 3 2 3 4" xfId="30567" xr:uid="{72535A9F-D27D-4E21-BDDE-5A6E8FD8B573}"/>
    <cellStyle name="Normal 8 2 2 2 3 2 4" xfId="17915" xr:uid="{00000000-0005-0000-0000-00007F520000}"/>
    <cellStyle name="Normal 8 2 2 2 3 2 4 2" xfId="34784" xr:uid="{6D6FA19D-4970-4595-9418-7F5A9B091F54}"/>
    <cellStyle name="Normal 8 2 2 2 3 2 5" xfId="9480" xr:uid="{00000000-0005-0000-0000-000080520000}"/>
    <cellStyle name="Normal 8 2 2 2 3 2 6" xfId="26350" xr:uid="{206D649C-7407-45FD-A8BA-D9BA5F7E0312}"/>
    <cellStyle name="Normal 8 2 2 2 3 3" xfId="1368" xr:uid="{00000000-0005-0000-0000-000081520000}"/>
    <cellStyle name="Normal 8 2 2 2 3 3 2" xfId="3598" xr:uid="{00000000-0005-0000-0000-000082520000}"/>
    <cellStyle name="Normal 8 2 2 2 3 3 2 2" xfId="7821" xr:uid="{00000000-0005-0000-0000-000083520000}"/>
    <cellStyle name="Normal 8 2 2 2 3 3 2 2 2" xfId="24691" xr:uid="{00000000-0005-0000-0000-000084520000}"/>
    <cellStyle name="Normal 8 2 2 2 3 3 2 2 2 2" xfId="41559" xr:uid="{762ACE67-53AF-400C-86B4-CC9288431754}"/>
    <cellStyle name="Normal 8 2 2 2 3 3 2 2 3" xfId="16256" xr:uid="{00000000-0005-0000-0000-000085520000}"/>
    <cellStyle name="Normal 8 2 2 2 3 3 2 2 4" xfId="33125" xr:uid="{D398D94D-E631-4DBC-9D21-57D05169762F}"/>
    <cellStyle name="Normal 8 2 2 2 3 3 2 3" xfId="20473" xr:uid="{00000000-0005-0000-0000-000086520000}"/>
    <cellStyle name="Normal 8 2 2 2 3 3 2 3 2" xfId="37342" xr:uid="{339CC006-0F6F-489A-BA35-73ECADAF47F9}"/>
    <cellStyle name="Normal 8 2 2 2 3 3 2 4" xfId="12038" xr:uid="{00000000-0005-0000-0000-000087520000}"/>
    <cellStyle name="Normal 8 2 2 2 3 3 2 5" xfId="28908" xr:uid="{7D15156F-D356-4ADA-AF0A-BE5B0C46FF5A}"/>
    <cellStyle name="Normal 8 2 2 2 3 3 3" xfId="5676" xr:uid="{00000000-0005-0000-0000-000088520000}"/>
    <cellStyle name="Normal 8 2 2 2 3 3 3 2" xfId="22546" xr:uid="{00000000-0005-0000-0000-000089520000}"/>
    <cellStyle name="Normal 8 2 2 2 3 3 3 2 2" xfId="39414" xr:uid="{0449471F-0626-4217-A351-3A54C2CF860F}"/>
    <cellStyle name="Normal 8 2 2 2 3 3 3 3" xfId="14111" xr:uid="{00000000-0005-0000-0000-00008A520000}"/>
    <cellStyle name="Normal 8 2 2 2 3 3 3 4" xfId="30980" xr:uid="{1B86468A-C20D-4E45-9B00-CF257D2BA9D5}"/>
    <cellStyle name="Normal 8 2 2 2 3 3 4" xfId="18328" xr:uid="{00000000-0005-0000-0000-00008B520000}"/>
    <cellStyle name="Normal 8 2 2 2 3 3 4 2" xfId="35197" xr:uid="{718FB386-F1D5-4C99-A0E2-F03EF5D1CC91}"/>
    <cellStyle name="Normal 8 2 2 2 3 3 5" xfId="9893" xr:uid="{00000000-0005-0000-0000-00008C520000}"/>
    <cellStyle name="Normal 8 2 2 2 3 3 6" xfId="26763" xr:uid="{11E77E96-3DDA-47D2-9610-BCA70C607A86}"/>
    <cellStyle name="Normal 8 2 2 2 3 4" xfId="1781" xr:uid="{00000000-0005-0000-0000-00008D520000}"/>
    <cellStyle name="Normal 8 2 2 2 3 4 2" xfId="4011" xr:uid="{00000000-0005-0000-0000-00008E520000}"/>
    <cellStyle name="Normal 8 2 2 2 3 4 2 2" xfId="8234" xr:uid="{00000000-0005-0000-0000-00008F520000}"/>
    <cellStyle name="Normal 8 2 2 2 3 4 2 2 2" xfId="25104" xr:uid="{00000000-0005-0000-0000-000090520000}"/>
    <cellStyle name="Normal 8 2 2 2 3 4 2 2 2 2" xfId="41972" xr:uid="{22CDB80F-D656-44A8-8113-5F7455C5066C}"/>
    <cellStyle name="Normal 8 2 2 2 3 4 2 2 3" xfId="16669" xr:uid="{00000000-0005-0000-0000-000091520000}"/>
    <cellStyle name="Normal 8 2 2 2 3 4 2 2 4" xfId="33538" xr:uid="{B552E536-A5EE-42FF-86CB-2078FF620EB6}"/>
    <cellStyle name="Normal 8 2 2 2 3 4 2 3" xfId="20886" xr:uid="{00000000-0005-0000-0000-000092520000}"/>
    <cellStyle name="Normal 8 2 2 2 3 4 2 3 2" xfId="37755" xr:uid="{CAA94DD8-80C7-48B0-BDFD-CAE6A3D0273C}"/>
    <cellStyle name="Normal 8 2 2 2 3 4 2 4" xfId="12451" xr:uid="{00000000-0005-0000-0000-000093520000}"/>
    <cellStyle name="Normal 8 2 2 2 3 4 2 5" xfId="29321" xr:uid="{EF28035E-3C40-40C7-A30B-C6291C2F1A28}"/>
    <cellStyle name="Normal 8 2 2 2 3 4 3" xfId="6089" xr:uid="{00000000-0005-0000-0000-000094520000}"/>
    <cellStyle name="Normal 8 2 2 2 3 4 3 2" xfId="22959" xr:uid="{00000000-0005-0000-0000-000095520000}"/>
    <cellStyle name="Normal 8 2 2 2 3 4 3 2 2" xfId="39827" xr:uid="{C8EFA2BE-68AD-4A3D-9E8C-4D68872BD1BA}"/>
    <cellStyle name="Normal 8 2 2 2 3 4 3 3" xfId="14524" xr:uid="{00000000-0005-0000-0000-000096520000}"/>
    <cellStyle name="Normal 8 2 2 2 3 4 3 4" xfId="31393" xr:uid="{AE723931-73A3-42DC-AD3B-231D4E36B88B}"/>
    <cellStyle name="Normal 8 2 2 2 3 4 4" xfId="18741" xr:uid="{00000000-0005-0000-0000-000097520000}"/>
    <cellStyle name="Normal 8 2 2 2 3 4 4 2" xfId="35610" xr:uid="{258E3B81-89EE-4B7B-A631-EDF001D03D34}"/>
    <cellStyle name="Normal 8 2 2 2 3 4 5" xfId="10306" xr:uid="{00000000-0005-0000-0000-000098520000}"/>
    <cellStyle name="Normal 8 2 2 2 3 4 6" xfId="27176" xr:uid="{8CAC51E8-8C76-4899-B1CB-571865054E04}"/>
    <cellStyle name="Normal 8 2 2 2 3 5" xfId="2195" xr:uid="{00000000-0005-0000-0000-000099520000}"/>
    <cellStyle name="Normal 8 2 2 2 3 5 2" xfId="4424" xr:uid="{00000000-0005-0000-0000-00009A520000}"/>
    <cellStyle name="Normal 8 2 2 2 3 5 2 2" xfId="8647" xr:uid="{00000000-0005-0000-0000-00009B520000}"/>
    <cellStyle name="Normal 8 2 2 2 3 5 2 2 2" xfId="25517" xr:uid="{00000000-0005-0000-0000-00009C520000}"/>
    <cellStyle name="Normal 8 2 2 2 3 5 2 2 2 2" xfId="42385" xr:uid="{0BC76405-7637-42CC-A33E-0E643F612977}"/>
    <cellStyle name="Normal 8 2 2 2 3 5 2 2 3" xfId="17082" xr:uid="{00000000-0005-0000-0000-00009D520000}"/>
    <cellStyle name="Normal 8 2 2 2 3 5 2 2 4" xfId="33951" xr:uid="{B67F2CDA-8885-4C9C-A8BE-23D7453AB395}"/>
    <cellStyle name="Normal 8 2 2 2 3 5 2 3" xfId="21299" xr:uid="{00000000-0005-0000-0000-00009E520000}"/>
    <cellStyle name="Normal 8 2 2 2 3 5 2 3 2" xfId="38168" xr:uid="{F618CA9B-8669-4DC0-A31C-D2291713C630}"/>
    <cellStyle name="Normal 8 2 2 2 3 5 2 4" xfId="12864" xr:uid="{00000000-0005-0000-0000-00009F520000}"/>
    <cellStyle name="Normal 8 2 2 2 3 5 2 5" xfId="29734" xr:uid="{F70284CD-38CA-4A1A-A4C5-84E1D83E6CC0}"/>
    <cellStyle name="Normal 8 2 2 2 3 5 3" xfId="6502" xr:uid="{00000000-0005-0000-0000-0000A0520000}"/>
    <cellStyle name="Normal 8 2 2 2 3 5 3 2" xfId="23372" xr:uid="{00000000-0005-0000-0000-0000A1520000}"/>
    <cellStyle name="Normal 8 2 2 2 3 5 3 2 2" xfId="40240" xr:uid="{9D3B3ADC-954E-4B5D-A26A-0101F042F1D5}"/>
    <cellStyle name="Normal 8 2 2 2 3 5 3 3" xfId="14937" xr:uid="{00000000-0005-0000-0000-0000A2520000}"/>
    <cellStyle name="Normal 8 2 2 2 3 5 3 4" xfId="31806" xr:uid="{4FFE9C39-4B52-434A-9347-7870BB7FF71D}"/>
    <cellStyle name="Normal 8 2 2 2 3 5 4" xfId="19154" xr:uid="{00000000-0005-0000-0000-0000A3520000}"/>
    <cellStyle name="Normal 8 2 2 2 3 5 4 2" xfId="36023" xr:uid="{08B8169E-B319-4BA7-9064-5FB288A7CF40}"/>
    <cellStyle name="Normal 8 2 2 2 3 5 5" xfId="10719" xr:uid="{00000000-0005-0000-0000-0000A4520000}"/>
    <cellStyle name="Normal 8 2 2 2 3 5 6" xfId="27589" xr:uid="{50F7D917-BB59-49DB-8122-16766343E2B3}"/>
    <cellStyle name="Normal 8 2 2 2 3 6" xfId="2631" xr:uid="{00000000-0005-0000-0000-0000A5520000}"/>
    <cellStyle name="Normal 8 2 2 2 3 6 2" xfId="6915" xr:uid="{00000000-0005-0000-0000-0000A6520000}"/>
    <cellStyle name="Normal 8 2 2 2 3 6 2 2" xfId="23785" xr:uid="{00000000-0005-0000-0000-0000A7520000}"/>
    <cellStyle name="Normal 8 2 2 2 3 6 2 2 2" xfId="40653" xr:uid="{89F8569F-2CF7-421D-AC03-063F4EC1D377}"/>
    <cellStyle name="Normal 8 2 2 2 3 6 2 3" xfId="15350" xr:uid="{00000000-0005-0000-0000-0000A8520000}"/>
    <cellStyle name="Normal 8 2 2 2 3 6 2 4" xfId="32219" xr:uid="{99786784-90DA-47D1-9421-0B560D7C19FA}"/>
    <cellStyle name="Normal 8 2 2 2 3 6 3" xfId="19567" xr:uid="{00000000-0005-0000-0000-0000A9520000}"/>
    <cellStyle name="Normal 8 2 2 2 3 6 3 2" xfId="36436" xr:uid="{66B05F51-CD58-4773-9390-1F65A2355FBA}"/>
    <cellStyle name="Normal 8 2 2 2 3 6 4" xfId="11132" xr:uid="{00000000-0005-0000-0000-0000AA520000}"/>
    <cellStyle name="Normal 8 2 2 2 3 6 5" xfId="28002" xr:uid="{2901B077-C347-4934-AF86-6D80F647244F}"/>
    <cellStyle name="Normal 8 2 2 2 3 7" xfId="4850" xr:uid="{00000000-0005-0000-0000-0000AB520000}"/>
    <cellStyle name="Normal 8 2 2 2 3 7 2" xfId="21720" xr:uid="{00000000-0005-0000-0000-0000AC520000}"/>
    <cellStyle name="Normal 8 2 2 2 3 7 2 2" xfId="38588" xr:uid="{B1B94E08-E9A9-4996-9EE8-D9382B932780}"/>
    <cellStyle name="Normal 8 2 2 2 3 7 3" xfId="13285" xr:uid="{00000000-0005-0000-0000-0000AD520000}"/>
    <cellStyle name="Normal 8 2 2 2 3 7 4" xfId="30154" xr:uid="{EDE187C3-9A14-4147-999F-83FB6F517D2A}"/>
    <cellStyle name="Normal 8 2 2 2 3 8" xfId="17502" xr:uid="{00000000-0005-0000-0000-0000AE520000}"/>
    <cellStyle name="Normal 8 2 2 2 3 8 2" xfId="34371" xr:uid="{6CB51A5E-D8AC-4446-8F7C-A9B98BE2CC14}"/>
    <cellStyle name="Normal 8 2 2 2 3 9" xfId="9067" xr:uid="{00000000-0005-0000-0000-0000AF520000}"/>
    <cellStyle name="Normal 8 2 2 2 4" xfId="948" xr:uid="{00000000-0005-0000-0000-0000B0520000}"/>
    <cellStyle name="Normal 8 2 2 2 4 2" xfId="3182" xr:uid="{00000000-0005-0000-0000-0000B1520000}"/>
    <cellStyle name="Normal 8 2 2 2 4 2 2" xfId="7405" xr:uid="{00000000-0005-0000-0000-0000B2520000}"/>
    <cellStyle name="Normal 8 2 2 2 4 2 2 2" xfId="24275" xr:uid="{00000000-0005-0000-0000-0000B3520000}"/>
    <cellStyle name="Normal 8 2 2 2 4 2 2 2 2" xfId="41143" xr:uid="{565ACFAE-EA25-431E-B83A-B8C9C18D1544}"/>
    <cellStyle name="Normal 8 2 2 2 4 2 2 3" xfId="15840" xr:uid="{00000000-0005-0000-0000-0000B4520000}"/>
    <cellStyle name="Normal 8 2 2 2 4 2 2 4" xfId="32709" xr:uid="{1BB06A90-EE38-4708-AB34-48D986C32C30}"/>
    <cellStyle name="Normal 8 2 2 2 4 2 3" xfId="20057" xr:uid="{00000000-0005-0000-0000-0000B5520000}"/>
    <cellStyle name="Normal 8 2 2 2 4 2 3 2" xfId="36926" xr:uid="{878DC1E2-D336-424B-93A2-BA4DE1CA7473}"/>
    <cellStyle name="Normal 8 2 2 2 4 2 4" xfId="11622" xr:uid="{00000000-0005-0000-0000-0000B6520000}"/>
    <cellStyle name="Normal 8 2 2 2 4 2 5" xfId="28492" xr:uid="{EFFEDDF6-49A9-41B6-9261-082E7C077751}"/>
    <cellStyle name="Normal 8 2 2 2 4 3" xfId="5260" xr:uid="{00000000-0005-0000-0000-0000B7520000}"/>
    <cellStyle name="Normal 8 2 2 2 4 3 2" xfId="22130" xr:uid="{00000000-0005-0000-0000-0000B8520000}"/>
    <cellStyle name="Normal 8 2 2 2 4 3 2 2" xfId="38998" xr:uid="{38611BE6-AAD0-47B1-B929-124E85498328}"/>
    <cellStyle name="Normal 8 2 2 2 4 3 3" xfId="13695" xr:uid="{00000000-0005-0000-0000-0000B9520000}"/>
    <cellStyle name="Normal 8 2 2 2 4 3 4" xfId="30564" xr:uid="{FCFF25E4-6E4C-4EB6-B1A6-9EEA8D8E601A}"/>
    <cellStyle name="Normal 8 2 2 2 4 4" xfId="17912" xr:uid="{00000000-0005-0000-0000-0000BA520000}"/>
    <cellStyle name="Normal 8 2 2 2 4 4 2" xfId="34781" xr:uid="{2E5011E6-FA6D-46A5-A92D-9AE1D96BE5BC}"/>
    <cellStyle name="Normal 8 2 2 2 4 5" xfId="9477" xr:uid="{00000000-0005-0000-0000-0000BB520000}"/>
    <cellStyle name="Normal 8 2 2 2 4 6" xfId="26347" xr:uid="{04AADE98-D4A2-4AEA-B15A-176B1376C84F}"/>
    <cellStyle name="Normal 8 2 2 2 5" xfId="1365" xr:uid="{00000000-0005-0000-0000-0000BC520000}"/>
    <cellStyle name="Normal 8 2 2 2 5 2" xfId="3595" xr:uid="{00000000-0005-0000-0000-0000BD520000}"/>
    <cellStyle name="Normal 8 2 2 2 5 2 2" xfId="7818" xr:uid="{00000000-0005-0000-0000-0000BE520000}"/>
    <cellStyle name="Normal 8 2 2 2 5 2 2 2" xfId="24688" xr:uid="{00000000-0005-0000-0000-0000BF520000}"/>
    <cellStyle name="Normal 8 2 2 2 5 2 2 2 2" xfId="41556" xr:uid="{B54F5F85-D4B0-4EC7-9191-227F8324EA96}"/>
    <cellStyle name="Normal 8 2 2 2 5 2 2 3" xfId="16253" xr:uid="{00000000-0005-0000-0000-0000C0520000}"/>
    <cellStyle name="Normal 8 2 2 2 5 2 2 4" xfId="33122" xr:uid="{EE956A40-2200-4DCA-A1AF-BE20ABB299AE}"/>
    <cellStyle name="Normal 8 2 2 2 5 2 3" xfId="20470" xr:uid="{00000000-0005-0000-0000-0000C1520000}"/>
    <cellStyle name="Normal 8 2 2 2 5 2 3 2" xfId="37339" xr:uid="{CCF0A439-540A-44A7-9B60-EEC192CF0356}"/>
    <cellStyle name="Normal 8 2 2 2 5 2 4" xfId="12035" xr:uid="{00000000-0005-0000-0000-0000C2520000}"/>
    <cellStyle name="Normal 8 2 2 2 5 2 5" xfId="28905" xr:uid="{D6780AA5-298F-46B1-BB00-3EE1CC82DE79}"/>
    <cellStyle name="Normal 8 2 2 2 5 3" xfId="5673" xr:uid="{00000000-0005-0000-0000-0000C3520000}"/>
    <cellStyle name="Normal 8 2 2 2 5 3 2" xfId="22543" xr:uid="{00000000-0005-0000-0000-0000C4520000}"/>
    <cellStyle name="Normal 8 2 2 2 5 3 2 2" xfId="39411" xr:uid="{7280F143-900A-4A64-8634-0EB43D26EE61}"/>
    <cellStyle name="Normal 8 2 2 2 5 3 3" xfId="14108" xr:uid="{00000000-0005-0000-0000-0000C5520000}"/>
    <cellStyle name="Normal 8 2 2 2 5 3 4" xfId="30977" xr:uid="{B36E1B04-65EF-48D7-9531-AC607F96801B}"/>
    <cellStyle name="Normal 8 2 2 2 5 4" xfId="18325" xr:uid="{00000000-0005-0000-0000-0000C6520000}"/>
    <cellStyle name="Normal 8 2 2 2 5 4 2" xfId="35194" xr:uid="{010096A5-BC1C-4248-9D69-30CC5B430692}"/>
    <cellStyle name="Normal 8 2 2 2 5 5" xfId="9890" xr:uid="{00000000-0005-0000-0000-0000C7520000}"/>
    <cellStyle name="Normal 8 2 2 2 5 6" xfId="26760" xr:uid="{F13962B2-0EDB-4EB6-B08E-3F7B95C3B2E1}"/>
    <cellStyle name="Normal 8 2 2 2 6" xfId="1778" xr:uid="{00000000-0005-0000-0000-0000C8520000}"/>
    <cellStyle name="Normal 8 2 2 2 6 2" xfId="4008" xr:uid="{00000000-0005-0000-0000-0000C9520000}"/>
    <cellStyle name="Normal 8 2 2 2 6 2 2" xfId="8231" xr:uid="{00000000-0005-0000-0000-0000CA520000}"/>
    <cellStyle name="Normal 8 2 2 2 6 2 2 2" xfId="25101" xr:uid="{00000000-0005-0000-0000-0000CB520000}"/>
    <cellStyle name="Normal 8 2 2 2 6 2 2 2 2" xfId="41969" xr:uid="{D5C5A71E-79A7-48B2-B522-C164093498AD}"/>
    <cellStyle name="Normal 8 2 2 2 6 2 2 3" xfId="16666" xr:uid="{00000000-0005-0000-0000-0000CC520000}"/>
    <cellStyle name="Normal 8 2 2 2 6 2 2 4" xfId="33535" xr:uid="{304247A1-EB9F-45CB-9F2F-EFA5E24C2507}"/>
    <cellStyle name="Normal 8 2 2 2 6 2 3" xfId="20883" xr:uid="{00000000-0005-0000-0000-0000CD520000}"/>
    <cellStyle name="Normal 8 2 2 2 6 2 3 2" xfId="37752" xr:uid="{269DA9EF-D1D0-4285-9EAB-5B7356225B78}"/>
    <cellStyle name="Normal 8 2 2 2 6 2 4" xfId="12448" xr:uid="{00000000-0005-0000-0000-0000CE520000}"/>
    <cellStyle name="Normal 8 2 2 2 6 2 5" xfId="29318" xr:uid="{7CD21DB5-286E-4AB6-90DC-33BBB310FA2F}"/>
    <cellStyle name="Normal 8 2 2 2 6 3" xfId="6086" xr:uid="{00000000-0005-0000-0000-0000CF520000}"/>
    <cellStyle name="Normal 8 2 2 2 6 3 2" xfId="22956" xr:uid="{00000000-0005-0000-0000-0000D0520000}"/>
    <cellStyle name="Normal 8 2 2 2 6 3 2 2" xfId="39824" xr:uid="{74AAE452-30B1-4257-998C-FCBB5BE9B410}"/>
    <cellStyle name="Normal 8 2 2 2 6 3 3" xfId="14521" xr:uid="{00000000-0005-0000-0000-0000D1520000}"/>
    <cellStyle name="Normal 8 2 2 2 6 3 4" xfId="31390" xr:uid="{5CE325F1-C8A5-462C-8BE7-1F6F82FD6961}"/>
    <cellStyle name="Normal 8 2 2 2 6 4" xfId="18738" xr:uid="{00000000-0005-0000-0000-0000D2520000}"/>
    <cellStyle name="Normal 8 2 2 2 6 4 2" xfId="35607" xr:uid="{5A7B94A9-D114-4913-A800-70195003912B}"/>
    <cellStyle name="Normal 8 2 2 2 6 5" xfId="10303" xr:uid="{00000000-0005-0000-0000-0000D3520000}"/>
    <cellStyle name="Normal 8 2 2 2 6 6" xfId="27173" xr:uid="{434F0B5B-0DDD-4FED-A6AB-16D007BEE520}"/>
    <cellStyle name="Normal 8 2 2 2 7" xfId="2192" xr:uid="{00000000-0005-0000-0000-0000D4520000}"/>
    <cellStyle name="Normal 8 2 2 2 7 2" xfId="4421" xr:uid="{00000000-0005-0000-0000-0000D5520000}"/>
    <cellStyle name="Normal 8 2 2 2 7 2 2" xfId="8644" xr:uid="{00000000-0005-0000-0000-0000D6520000}"/>
    <cellStyle name="Normal 8 2 2 2 7 2 2 2" xfId="25514" xr:uid="{00000000-0005-0000-0000-0000D7520000}"/>
    <cellStyle name="Normal 8 2 2 2 7 2 2 2 2" xfId="42382" xr:uid="{705CF4DE-76B9-48A2-9C93-A32ACF7892B4}"/>
    <cellStyle name="Normal 8 2 2 2 7 2 2 3" xfId="17079" xr:uid="{00000000-0005-0000-0000-0000D8520000}"/>
    <cellStyle name="Normal 8 2 2 2 7 2 2 4" xfId="33948" xr:uid="{4D29E497-4147-4A0C-8662-305ACC5DFC0B}"/>
    <cellStyle name="Normal 8 2 2 2 7 2 3" xfId="21296" xr:uid="{00000000-0005-0000-0000-0000D9520000}"/>
    <cellStyle name="Normal 8 2 2 2 7 2 3 2" xfId="38165" xr:uid="{1297B633-7A8E-4F10-81C7-2E859D15C190}"/>
    <cellStyle name="Normal 8 2 2 2 7 2 4" xfId="12861" xr:uid="{00000000-0005-0000-0000-0000DA520000}"/>
    <cellStyle name="Normal 8 2 2 2 7 2 5" xfId="29731" xr:uid="{33F2CCF8-E77C-406F-BA2B-28CD76224955}"/>
    <cellStyle name="Normal 8 2 2 2 7 3" xfId="6499" xr:uid="{00000000-0005-0000-0000-0000DB520000}"/>
    <cellStyle name="Normal 8 2 2 2 7 3 2" xfId="23369" xr:uid="{00000000-0005-0000-0000-0000DC520000}"/>
    <cellStyle name="Normal 8 2 2 2 7 3 2 2" xfId="40237" xr:uid="{544BEB58-B6E3-4E0B-9E09-258CADF66449}"/>
    <cellStyle name="Normal 8 2 2 2 7 3 3" xfId="14934" xr:uid="{00000000-0005-0000-0000-0000DD520000}"/>
    <cellStyle name="Normal 8 2 2 2 7 3 4" xfId="31803" xr:uid="{587DCB7D-DC57-4733-97AB-681FFB7CC4BE}"/>
    <cellStyle name="Normal 8 2 2 2 7 4" xfId="19151" xr:uid="{00000000-0005-0000-0000-0000DE520000}"/>
    <cellStyle name="Normal 8 2 2 2 7 4 2" xfId="36020" xr:uid="{3E2C1BC4-DE1C-4F50-9722-F937D4A478F2}"/>
    <cellStyle name="Normal 8 2 2 2 7 5" xfId="10716" xr:uid="{00000000-0005-0000-0000-0000DF520000}"/>
    <cellStyle name="Normal 8 2 2 2 7 6" xfId="27586" xr:uid="{55C3ED0F-E579-45A2-A953-DA0836F0AC20}"/>
    <cellStyle name="Normal 8 2 2 2 8" xfId="2628" xr:uid="{00000000-0005-0000-0000-0000E0520000}"/>
    <cellStyle name="Normal 8 2 2 2 8 2" xfId="6912" xr:uid="{00000000-0005-0000-0000-0000E1520000}"/>
    <cellStyle name="Normal 8 2 2 2 8 2 2" xfId="23782" xr:uid="{00000000-0005-0000-0000-0000E2520000}"/>
    <cellStyle name="Normal 8 2 2 2 8 2 2 2" xfId="40650" xr:uid="{3FFBBB46-3C9B-40AA-B1DB-4900FCE26428}"/>
    <cellStyle name="Normal 8 2 2 2 8 2 3" xfId="15347" xr:uid="{00000000-0005-0000-0000-0000E3520000}"/>
    <cellStyle name="Normal 8 2 2 2 8 2 4" xfId="32216" xr:uid="{52B91209-441D-4ED0-AA54-D2B59785ED01}"/>
    <cellStyle name="Normal 8 2 2 2 8 3" xfId="19564" xr:uid="{00000000-0005-0000-0000-0000E4520000}"/>
    <cellStyle name="Normal 8 2 2 2 8 3 2" xfId="36433" xr:uid="{E018ED85-B571-442B-9BB0-71130F23A2CE}"/>
    <cellStyle name="Normal 8 2 2 2 8 4" xfId="11129" xr:uid="{00000000-0005-0000-0000-0000E5520000}"/>
    <cellStyle name="Normal 8 2 2 2 8 5" xfId="27999" xr:uid="{D3508C03-5C91-4757-929B-35F52C86882C}"/>
    <cellStyle name="Normal 8 2 2 2 9" xfId="4847" xr:uid="{00000000-0005-0000-0000-0000E6520000}"/>
    <cellStyle name="Normal 8 2 2 2 9 2" xfId="21717" xr:uid="{00000000-0005-0000-0000-0000E7520000}"/>
    <cellStyle name="Normal 8 2 2 2 9 2 2" xfId="38585" xr:uid="{B31DCB60-0280-4993-BFD6-D567182422EF}"/>
    <cellStyle name="Normal 8 2 2 2 9 3" xfId="13282" xr:uid="{00000000-0005-0000-0000-0000E8520000}"/>
    <cellStyle name="Normal 8 2 2 2 9 4" xfId="30151" xr:uid="{971B7AFF-6758-4E20-98AE-394D36A2B09B}"/>
    <cellStyle name="Normal 8 2 2 3" xfId="485" xr:uid="{00000000-0005-0000-0000-0000E9520000}"/>
    <cellStyle name="Normal 8 2 2 3 10" xfId="9068" xr:uid="{00000000-0005-0000-0000-0000EA520000}"/>
    <cellStyle name="Normal 8 2 2 3 11" xfId="25938" xr:uid="{09C4CD24-343F-4F5D-96CF-7C70B5DA2FEC}"/>
    <cellStyle name="Normal 8 2 2 3 2" xfId="486" xr:uid="{00000000-0005-0000-0000-0000EB520000}"/>
    <cellStyle name="Normal 8 2 2 3 2 10" xfId="25939" xr:uid="{3A63132C-8492-48E5-A680-53B861288B97}"/>
    <cellStyle name="Normal 8 2 2 3 2 2" xfId="953" xr:uid="{00000000-0005-0000-0000-0000EC520000}"/>
    <cellStyle name="Normal 8 2 2 3 2 2 2" xfId="3187" xr:uid="{00000000-0005-0000-0000-0000ED520000}"/>
    <cellStyle name="Normal 8 2 2 3 2 2 2 2" xfId="7410" xr:uid="{00000000-0005-0000-0000-0000EE520000}"/>
    <cellStyle name="Normal 8 2 2 3 2 2 2 2 2" xfId="24280" xr:uid="{00000000-0005-0000-0000-0000EF520000}"/>
    <cellStyle name="Normal 8 2 2 3 2 2 2 2 2 2" xfId="41148" xr:uid="{D0112D9E-95FF-42B3-BCB5-346943DE28C1}"/>
    <cellStyle name="Normal 8 2 2 3 2 2 2 2 3" xfId="15845" xr:uid="{00000000-0005-0000-0000-0000F0520000}"/>
    <cellStyle name="Normal 8 2 2 3 2 2 2 2 4" xfId="32714" xr:uid="{1BE52D8D-DFAD-4D66-AC02-76FDA9D4222C}"/>
    <cellStyle name="Normal 8 2 2 3 2 2 2 3" xfId="20062" xr:uid="{00000000-0005-0000-0000-0000F1520000}"/>
    <cellStyle name="Normal 8 2 2 3 2 2 2 3 2" xfId="36931" xr:uid="{E48FAA85-1850-420A-B76D-A60DD9D91F44}"/>
    <cellStyle name="Normal 8 2 2 3 2 2 2 4" xfId="11627" xr:uid="{00000000-0005-0000-0000-0000F2520000}"/>
    <cellStyle name="Normal 8 2 2 3 2 2 2 5" xfId="28497" xr:uid="{FBA956D5-73BF-4EFD-8781-40E594529989}"/>
    <cellStyle name="Normal 8 2 2 3 2 2 3" xfId="5265" xr:uid="{00000000-0005-0000-0000-0000F3520000}"/>
    <cellStyle name="Normal 8 2 2 3 2 2 3 2" xfId="22135" xr:uid="{00000000-0005-0000-0000-0000F4520000}"/>
    <cellStyle name="Normal 8 2 2 3 2 2 3 2 2" xfId="39003" xr:uid="{EE67B1BF-DD80-49EA-989F-914692D35574}"/>
    <cellStyle name="Normal 8 2 2 3 2 2 3 3" xfId="13700" xr:uid="{00000000-0005-0000-0000-0000F5520000}"/>
    <cellStyle name="Normal 8 2 2 3 2 2 3 4" xfId="30569" xr:uid="{EB938AFB-9D04-42E3-99B8-D88306387BB7}"/>
    <cellStyle name="Normal 8 2 2 3 2 2 4" xfId="17917" xr:uid="{00000000-0005-0000-0000-0000F6520000}"/>
    <cellStyle name="Normal 8 2 2 3 2 2 4 2" xfId="34786" xr:uid="{BA56C051-CFFA-44BA-9026-5F409C1B3999}"/>
    <cellStyle name="Normal 8 2 2 3 2 2 5" xfId="9482" xr:uid="{00000000-0005-0000-0000-0000F7520000}"/>
    <cellStyle name="Normal 8 2 2 3 2 2 6" xfId="26352" xr:uid="{A54F5729-171A-46BE-B5AE-1ADE70E2B072}"/>
    <cellStyle name="Normal 8 2 2 3 2 3" xfId="1370" xr:uid="{00000000-0005-0000-0000-0000F8520000}"/>
    <cellStyle name="Normal 8 2 2 3 2 3 2" xfId="3600" xr:uid="{00000000-0005-0000-0000-0000F9520000}"/>
    <cellStyle name="Normal 8 2 2 3 2 3 2 2" xfId="7823" xr:uid="{00000000-0005-0000-0000-0000FA520000}"/>
    <cellStyle name="Normal 8 2 2 3 2 3 2 2 2" xfId="24693" xr:uid="{00000000-0005-0000-0000-0000FB520000}"/>
    <cellStyle name="Normal 8 2 2 3 2 3 2 2 2 2" xfId="41561" xr:uid="{6063F196-9B75-444F-8B3A-738758F67862}"/>
    <cellStyle name="Normal 8 2 2 3 2 3 2 2 3" xfId="16258" xr:uid="{00000000-0005-0000-0000-0000FC520000}"/>
    <cellStyle name="Normal 8 2 2 3 2 3 2 2 4" xfId="33127" xr:uid="{B3FCA635-AFB8-4683-9690-889BCC7FFF46}"/>
    <cellStyle name="Normal 8 2 2 3 2 3 2 3" xfId="20475" xr:uid="{00000000-0005-0000-0000-0000FD520000}"/>
    <cellStyle name="Normal 8 2 2 3 2 3 2 3 2" xfId="37344" xr:uid="{B9C8A04D-F166-47AE-A997-2CF4E711C6C0}"/>
    <cellStyle name="Normal 8 2 2 3 2 3 2 4" xfId="12040" xr:uid="{00000000-0005-0000-0000-0000FE520000}"/>
    <cellStyle name="Normal 8 2 2 3 2 3 2 5" xfId="28910" xr:uid="{910ADA32-8790-4A2E-8E23-AEB597725894}"/>
    <cellStyle name="Normal 8 2 2 3 2 3 3" xfId="5678" xr:uid="{00000000-0005-0000-0000-0000FF520000}"/>
    <cellStyle name="Normal 8 2 2 3 2 3 3 2" xfId="22548" xr:uid="{00000000-0005-0000-0000-000000530000}"/>
    <cellStyle name="Normal 8 2 2 3 2 3 3 2 2" xfId="39416" xr:uid="{FC7C4BB6-495E-492B-8A59-CE47D32D2E16}"/>
    <cellStyle name="Normal 8 2 2 3 2 3 3 3" xfId="14113" xr:uid="{00000000-0005-0000-0000-000001530000}"/>
    <cellStyle name="Normal 8 2 2 3 2 3 3 4" xfId="30982" xr:uid="{9F638180-7643-4064-AC88-0248333DA005}"/>
    <cellStyle name="Normal 8 2 2 3 2 3 4" xfId="18330" xr:uid="{00000000-0005-0000-0000-000002530000}"/>
    <cellStyle name="Normal 8 2 2 3 2 3 4 2" xfId="35199" xr:uid="{B8C05CB7-FA06-4B61-BD4D-C60D4FFA89A7}"/>
    <cellStyle name="Normal 8 2 2 3 2 3 5" xfId="9895" xr:uid="{00000000-0005-0000-0000-000003530000}"/>
    <cellStyle name="Normal 8 2 2 3 2 3 6" xfId="26765" xr:uid="{E22DAFD3-D11D-417D-97C5-2C09F6474FA8}"/>
    <cellStyle name="Normal 8 2 2 3 2 4" xfId="1783" xr:uid="{00000000-0005-0000-0000-000004530000}"/>
    <cellStyle name="Normal 8 2 2 3 2 4 2" xfId="4013" xr:uid="{00000000-0005-0000-0000-000005530000}"/>
    <cellStyle name="Normal 8 2 2 3 2 4 2 2" xfId="8236" xr:uid="{00000000-0005-0000-0000-000006530000}"/>
    <cellStyle name="Normal 8 2 2 3 2 4 2 2 2" xfId="25106" xr:uid="{00000000-0005-0000-0000-000007530000}"/>
    <cellStyle name="Normal 8 2 2 3 2 4 2 2 2 2" xfId="41974" xr:uid="{6B20FF41-C56D-4558-936D-E169D23D412D}"/>
    <cellStyle name="Normal 8 2 2 3 2 4 2 2 3" xfId="16671" xr:uid="{00000000-0005-0000-0000-000008530000}"/>
    <cellStyle name="Normal 8 2 2 3 2 4 2 2 4" xfId="33540" xr:uid="{AE3FB856-CBD0-4D53-B829-62BD0DB9E2CE}"/>
    <cellStyle name="Normal 8 2 2 3 2 4 2 3" xfId="20888" xr:uid="{00000000-0005-0000-0000-000009530000}"/>
    <cellStyle name="Normal 8 2 2 3 2 4 2 3 2" xfId="37757" xr:uid="{CDBCED45-0D84-4EF6-89BD-5886102A375B}"/>
    <cellStyle name="Normal 8 2 2 3 2 4 2 4" xfId="12453" xr:uid="{00000000-0005-0000-0000-00000A530000}"/>
    <cellStyle name="Normal 8 2 2 3 2 4 2 5" xfId="29323" xr:uid="{7C1E4D8C-1184-4CDE-8233-11C63F3A2459}"/>
    <cellStyle name="Normal 8 2 2 3 2 4 3" xfId="6091" xr:uid="{00000000-0005-0000-0000-00000B530000}"/>
    <cellStyle name="Normal 8 2 2 3 2 4 3 2" xfId="22961" xr:uid="{00000000-0005-0000-0000-00000C530000}"/>
    <cellStyle name="Normal 8 2 2 3 2 4 3 2 2" xfId="39829" xr:uid="{29125CE2-9925-4AA7-A1A8-F75708CAA64B}"/>
    <cellStyle name="Normal 8 2 2 3 2 4 3 3" xfId="14526" xr:uid="{00000000-0005-0000-0000-00000D530000}"/>
    <cellStyle name="Normal 8 2 2 3 2 4 3 4" xfId="31395" xr:uid="{0D78C9D3-DFC8-4EB0-9941-4B4125D304A0}"/>
    <cellStyle name="Normal 8 2 2 3 2 4 4" xfId="18743" xr:uid="{00000000-0005-0000-0000-00000E530000}"/>
    <cellStyle name="Normal 8 2 2 3 2 4 4 2" xfId="35612" xr:uid="{A83CFB10-F864-4343-A286-161A0685E829}"/>
    <cellStyle name="Normal 8 2 2 3 2 4 5" xfId="10308" xr:uid="{00000000-0005-0000-0000-00000F530000}"/>
    <cellStyle name="Normal 8 2 2 3 2 4 6" xfId="27178" xr:uid="{F4B8DFCF-9610-431E-97F4-D67E67300CC9}"/>
    <cellStyle name="Normal 8 2 2 3 2 5" xfId="2197" xr:uid="{00000000-0005-0000-0000-000010530000}"/>
    <cellStyle name="Normal 8 2 2 3 2 5 2" xfId="4426" xr:uid="{00000000-0005-0000-0000-000011530000}"/>
    <cellStyle name="Normal 8 2 2 3 2 5 2 2" xfId="8649" xr:uid="{00000000-0005-0000-0000-000012530000}"/>
    <cellStyle name="Normal 8 2 2 3 2 5 2 2 2" xfId="25519" xr:uid="{00000000-0005-0000-0000-000013530000}"/>
    <cellStyle name="Normal 8 2 2 3 2 5 2 2 2 2" xfId="42387" xr:uid="{916EEE59-660F-45EB-8736-1B6008FA92D8}"/>
    <cellStyle name="Normal 8 2 2 3 2 5 2 2 3" xfId="17084" xr:uid="{00000000-0005-0000-0000-000014530000}"/>
    <cellStyle name="Normal 8 2 2 3 2 5 2 2 4" xfId="33953" xr:uid="{BE0E71DA-57BD-42D3-A494-86A6B70F7DDC}"/>
    <cellStyle name="Normal 8 2 2 3 2 5 2 3" xfId="21301" xr:uid="{00000000-0005-0000-0000-000015530000}"/>
    <cellStyle name="Normal 8 2 2 3 2 5 2 3 2" xfId="38170" xr:uid="{BA86E4C8-582B-466F-A12B-76A70B30CAF8}"/>
    <cellStyle name="Normal 8 2 2 3 2 5 2 4" xfId="12866" xr:uid="{00000000-0005-0000-0000-000016530000}"/>
    <cellStyle name="Normal 8 2 2 3 2 5 2 5" xfId="29736" xr:uid="{393FEC6F-1253-448A-A353-85E5E774BBB1}"/>
    <cellStyle name="Normal 8 2 2 3 2 5 3" xfId="6504" xr:uid="{00000000-0005-0000-0000-000017530000}"/>
    <cellStyle name="Normal 8 2 2 3 2 5 3 2" xfId="23374" xr:uid="{00000000-0005-0000-0000-000018530000}"/>
    <cellStyle name="Normal 8 2 2 3 2 5 3 2 2" xfId="40242" xr:uid="{A5CC4505-6D09-4423-A3A2-8B8E914E2992}"/>
    <cellStyle name="Normal 8 2 2 3 2 5 3 3" xfId="14939" xr:uid="{00000000-0005-0000-0000-000019530000}"/>
    <cellStyle name="Normal 8 2 2 3 2 5 3 4" xfId="31808" xr:uid="{2DBD52BA-04E5-43C3-801C-D4D18A826897}"/>
    <cellStyle name="Normal 8 2 2 3 2 5 4" xfId="19156" xr:uid="{00000000-0005-0000-0000-00001A530000}"/>
    <cellStyle name="Normal 8 2 2 3 2 5 4 2" xfId="36025" xr:uid="{0081CA63-7B06-448E-951D-219ACC6ED3F6}"/>
    <cellStyle name="Normal 8 2 2 3 2 5 5" xfId="10721" xr:uid="{00000000-0005-0000-0000-00001B530000}"/>
    <cellStyle name="Normal 8 2 2 3 2 5 6" xfId="27591" xr:uid="{F0EFBFE6-FE45-4A56-A514-4E0642AD44A7}"/>
    <cellStyle name="Normal 8 2 2 3 2 6" xfId="2633" xr:uid="{00000000-0005-0000-0000-00001C530000}"/>
    <cellStyle name="Normal 8 2 2 3 2 6 2" xfId="6917" xr:uid="{00000000-0005-0000-0000-00001D530000}"/>
    <cellStyle name="Normal 8 2 2 3 2 6 2 2" xfId="23787" xr:uid="{00000000-0005-0000-0000-00001E530000}"/>
    <cellStyle name="Normal 8 2 2 3 2 6 2 2 2" xfId="40655" xr:uid="{9AC3E280-CBB8-4B41-B1BE-9CFAB2766BAD}"/>
    <cellStyle name="Normal 8 2 2 3 2 6 2 3" xfId="15352" xr:uid="{00000000-0005-0000-0000-00001F530000}"/>
    <cellStyle name="Normal 8 2 2 3 2 6 2 4" xfId="32221" xr:uid="{A969DCEB-0D04-40B9-8938-414907A36423}"/>
    <cellStyle name="Normal 8 2 2 3 2 6 3" xfId="19569" xr:uid="{00000000-0005-0000-0000-000020530000}"/>
    <cellStyle name="Normal 8 2 2 3 2 6 3 2" xfId="36438" xr:uid="{91311D97-F36A-428C-AC22-93862CA5426A}"/>
    <cellStyle name="Normal 8 2 2 3 2 6 4" xfId="11134" xr:uid="{00000000-0005-0000-0000-000021530000}"/>
    <cellStyle name="Normal 8 2 2 3 2 6 5" xfId="28004" xr:uid="{6C1F0964-4DF8-41C6-956B-05EB081EAFEA}"/>
    <cellStyle name="Normal 8 2 2 3 2 7" xfId="4852" xr:uid="{00000000-0005-0000-0000-000022530000}"/>
    <cellStyle name="Normal 8 2 2 3 2 7 2" xfId="21722" xr:uid="{00000000-0005-0000-0000-000023530000}"/>
    <cellStyle name="Normal 8 2 2 3 2 7 2 2" xfId="38590" xr:uid="{435F4DDF-710A-4695-A789-978D6910786D}"/>
    <cellStyle name="Normal 8 2 2 3 2 7 3" xfId="13287" xr:uid="{00000000-0005-0000-0000-000024530000}"/>
    <cellStyle name="Normal 8 2 2 3 2 7 4" xfId="30156" xr:uid="{10620848-6BBC-4A3D-A15C-E055F84E873B}"/>
    <cellStyle name="Normal 8 2 2 3 2 8" xfId="17504" xr:uid="{00000000-0005-0000-0000-000025530000}"/>
    <cellStyle name="Normal 8 2 2 3 2 8 2" xfId="34373" xr:uid="{4936C040-D5E7-4D19-B2A6-E346EE022877}"/>
    <cellStyle name="Normal 8 2 2 3 2 9" xfId="9069" xr:uid="{00000000-0005-0000-0000-000026530000}"/>
    <cellStyle name="Normal 8 2 2 3 3" xfId="952" xr:uid="{00000000-0005-0000-0000-000027530000}"/>
    <cellStyle name="Normal 8 2 2 3 3 2" xfId="3186" xr:uid="{00000000-0005-0000-0000-000028530000}"/>
    <cellStyle name="Normal 8 2 2 3 3 2 2" xfId="7409" xr:uid="{00000000-0005-0000-0000-000029530000}"/>
    <cellStyle name="Normal 8 2 2 3 3 2 2 2" xfId="24279" xr:uid="{00000000-0005-0000-0000-00002A530000}"/>
    <cellStyle name="Normal 8 2 2 3 3 2 2 2 2" xfId="41147" xr:uid="{E8A04BAD-48F8-43FA-B3ED-AAF940D73CDD}"/>
    <cellStyle name="Normal 8 2 2 3 3 2 2 3" xfId="15844" xr:uid="{00000000-0005-0000-0000-00002B530000}"/>
    <cellStyle name="Normal 8 2 2 3 3 2 2 4" xfId="32713" xr:uid="{B78A3FF2-BF1F-4BB2-9224-513F3F4A341D}"/>
    <cellStyle name="Normal 8 2 2 3 3 2 3" xfId="20061" xr:uid="{00000000-0005-0000-0000-00002C530000}"/>
    <cellStyle name="Normal 8 2 2 3 3 2 3 2" xfId="36930" xr:uid="{05F3287A-F9DB-49A7-9B77-74DA4D948FAD}"/>
    <cellStyle name="Normal 8 2 2 3 3 2 4" xfId="11626" xr:uid="{00000000-0005-0000-0000-00002D530000}"/>
    <cellStyle name="Normal 8 2 2 3 3 2 5" xfId="28496" xr:uid="{135B5318-CD77-4597-A8F7-A73BCFE1FE41}"/>
    <cellStyle name="Normal 8 2 2 3 3 3" xfId="5264" xr:uid="{00000000-0005-0000-0000-00002E530000}"/>
    <cellStyle name="Normal 8 2 2 3 3 3 2" xfId="22134" xr:uid="{00000000-0005-0000-0000-00002F530000}"/>
    <cellStyle name="Normal 8 2 2 3 3 3 2 2" xfId="39002" xr:uid="{9EC91D48-F4DD-473D-806F-04FBFC5CD3CC}"/>
    <cellStyle name="Normal 8 2 2 3 3 3 3" xfId="13699" xr:uid="{00000000-0005-0000-0000-000030530000}"/>
    <cellStyle name="Normal 8 2 2 3 3 3 4" xfId="30568" xr:uid="{86C82EDC-4D51-45AE-A673-C3E47ECA7B42}"/>
    <cellStyle name="Normal 8 2 2 3 3 4" xfId="17916" xr:uid="{00000000-0005-0000-0000-000031530000}"/>
    <cellStyle name="Normal 8 2 2 3 3 4 2" xfId="34785" xr:uid="{0891EA82-5A00-4E92-8A69-67229F59200D}"/>
    <cellStyle name="Normal 8 2 2 3 3 5" xfId="9481" xr:uid="{00000000-0005-0000-0000-000032530000}"/>
    <cellStyle name="Normal 8 2 2 3 3 6" xfId="26351" xr:uid="{47DA81F9-93AD-4C6D-BE62-1835F3D5A57B}"/>
    <cellStyle name="Normal 8 2 2 3 4" xfId="1369" xr:uid="{00000000-0005-0000-0000-000033530000}"/>
    <cellStyle name="Normal 8 2 2 3 4 2" xfId="3599" xr:uid="{00000000-0005-0000-0000-000034530000}"/>
    <cellStyle name="Normal 8 2 2 3 4 2 2" xfId="7822" xr:uid="{00000000-0005-0000-0000-000035530000}"/>
    <cellStyle name="Normal 8 2 2 3 4 2 2 2" xfId="24692" xr:uid="{00000000-0005-0000-0000-000036530000}"/>
    <cellStyle name="Normal 8 2 2 3 4 2 2 2 2" xfId="41560" xr:uid="{03608AEF-07B5-4585-94FB-2321C4B60FE9}"/>
    <cellStyle name="Normal 8 2 2 3 4 2 2 3" xfId="16257" xr:uid="{00000000-0005-0000-0000-000037530000}"/>
    <cellStyle name="Normal 8 2 2 3 4 2 2 4" xfId="33126" xr:uid="{8C5A64E6-31B2-43DE-B0A7-5D297EDF9944}"/>
    <cellStyle name="Normal 8 2 2 3 4 2 3" xfId="20474" xr:uid="{00000000-0005-0000-0000-000038530000}"/>
    <cellStyle name="Normal 8 2 2 3 4 2 3 2" xfId="37343" xr:uid="{04874220-243F-4CDA-B7E2-64B74F0751AC}"/>
    <cellStyle name="Normal 8 2 2 3 4 2 4" xfId="12039" xr:uid="{00000000-0005-0000-0000-000039530000}"/>
    <cellStyle name="Normal 8 2 2 3 4 2 5" xfId="28909" xr:uid="{18800F1B-7B9F-4026-99F5-EC3C2440DF36}"/>
    <cellStyle name="Normal 8 2 2 3 4 3" xfId="5677" xr:uid="{00000000-0005-0000-0000-00003A530000}"/>
    <cellStyle name="Normal 8 2 2 3 4 3 2" xfId="22547" xr:uid="{00000000-0005-0000-0000-00003B530000}"/>
    <cellStyle name="Normal 8 2 2 3 4 3 2 2" xfId="39415" xr:uid="{E8B028F3-D7B2-400D-981C-576DD884CC12}"/>
    <cellStyle name="Normal 8 2 2 3 4 3 3" xfId="14112" xr:uid="{00000000-0005-0000-0000-00003C530000}"/>
    <cellStyle name="Normal 8 2 2 3 4 3 4" xfId="30981" xr:uid="{CB385D86-CFBD-40B6-A0C7-E1E035036EFB}"/>
    <cellStyle name="Normal 8 2 2 3 4 4" xfId="18329" xr:uid="{00000000-0005-0000-0000-00003D530000}"/>
    <cellStyle name="Normal 8 2 2 3 4 4 2" xfId="35198" xr:uid="{3A69A387-126D-4478-B380-0C79259B66D2}"/>
    <cellStyle name="Normal 8 2 2 3 4 5" xfId="9894" xr:uid="{00000000-0005-0000-0000-00003E530000}"/>
    <cellStyle name="Normal 8 2 2 3 4 6" xfId="26764" xr:uid="{1AA8F7E7-A0D2-476D-A7CA-DB81B779916B}"/>
    <cellStyle name="Normal 8 2 2 3 5" xfId="1782" xr:uid="{00000000-0005-0000-0000-00003F530000}"/>
    <cellStyle name="Normal 8 2 2 3 5 2" xfId="4012" xr:uid="{00000000-0005-0000-0000-000040530000}"/>
    <cellStyle name="Normal 8 2 2 3 5 2 2" xfId="8235" xr:uid="{00000000-0005-0000-0000-000041530000}"/>
    <cellStyle name="Normal 8 2 2 3 5 2 2 2" xfId="25105" xr:uid="{00000000-0005-0000-0000-000042530000}"/>
    <cellStyle name="Normal 8 2 2 3 5 2 2 2 2" xfId="41973" xr:uid="{2F2B8F64-CD2C-4B0A-A4F5-CC7BA600F3A8}"/>
    <cellStyle name="Normal 8 2 2 3 5 2 2 3" xfId="16670" xr:uid="{00000000-0005-0000-0000-000043530000}"/>
    <cellStyle name="Normal 8 2 2 3 5 2 2 4" xfId="33539" xr:uid="{305FA88C-FF14-41B5-9EB7-61D0C9C0C410}"/>
    <cellStyle name="Normal 8 2 2 3 5 2 3" xfId="20887" xr:uid="{00000000-0005-0000-0000-000044530000}"/>
    <cellStyle name="Normal 8 2 2 3 5 2 3 2" xfId="37756" xr:uid="{4A52515E-6C1E-4D0E-B7B6-F4555C23151C}"/>
    <cellStyle name="Normal 8 2 2 3 5 2 4" xfId="12452" xr:uid="{00000000-0005-0000-0000-000045530000}"/>
    <cellStyle name="Normal 8 2 2 3 5 2 5" xfId="29322" xr:uid="{56C38EEF-79F4-4DB5-887D-AB3A367A14BD}"/>
    <cellStyle name="Normal 8 2 2 3 5 3" xfId="6090" xr:uid="{00000000-0005-0000-0000-000046530000}"/>
    <cellStyle name="Normal 8 2 2 3 5 3 2" xfId="22960" xr:uid="{00000000-0005-0000-0000-000047530000}"/>
    <cellStyle name="Normal 8 2 2 3 5 3 2 2" xfId="39828" xr:uid="{E4D0DB71-E953-4DC4-97DA-B515C380FE14}"/>
    <cellStyle name="Normal 8 2 2 3 5 3 3" xfId="14525" xr:uid="{00000000-0005-0000-0000-000048530000}"/>
    <cellStyle name="Normal 8 2 2 3 5 3 4" xfId="31394" xr:uid="{94F29868-A9BC-4852-9E38-520420823C4E}"/>
    <cellStyle name="Normal 8 2 2 3 5 4" xfId="18742" xr:uid="{00000000-0005-0000-0000-000049530000}"/>
    <cellStyle name="Normal 8 2 2 3 5 4 2" xfId="35611" xr:uid="{242880AC-0218-43C6-A768-7667671CB581}"/>
    <cellStyle name="Normal 8 2 2 3 5 5" xfId="10307" xr:uid="{00000000-0005-0000-0000-00004A530000}"/>
    <cellStyle name="Normal 8 2 2 3 5 6" xfId="27177" xr:uid="{B7D4CE4B-9FD4-423B-B575-56C04004DCE3}"/>
    <cellStyle name="Normal 8 2 2 3 6" xfId="2196" xr:uid="{00000000-0005-0000-0000-00004B530000}"/>
    <cellStyle name="Normal 8 2 2 3 6 2" xfId="4425" xr:uid="{00000000-0005-0000-0000-00004C530000}"/>
    <cellStyle name="Normal 8 2 2 3 6 2 2" xfId="8648" xr:uid="{00000000-0005-0000-0000-00004D530000}"/>
    <cellStyle name="Normal 8 2 2 3 6 2 2 2" xfId="25518" xr:uid="{00000000-0005-0000-0000-00004E530000}"/>
    <cellStyle name="Normal 8 2 2 3 6 2 2 2 2" xfId="42386" xr:uid="{D7FC0A97-F284-4075-9B75-829492A70686}"/>
    <cellStyle name="Normal 8 2 2 3 6 2 2 3" xfId="17083" xr:uid="{00000000-0005-0000-0000-00004F530000}"/>
    <cellStyle name="Normal 8 2 2 3 6 2 2 4" xfId="33952" xr:uid="{D5284A86-6D99-46D5-9D4D-9E3AD5902148}"/>
    <cellStyle name="Normal 8 2 2 3 6 2 3" xfId="21300" xr:uid="{00000000-0005-0000-0000-000050530000}"/>
    <cellStyle name="Normal 8 2 2 3 6 2 3 2" xfId="38169" xr:uid="{06ED4199-EC68-4821-8E22-EA7A59A06546}"/>
    <cellStyle name="Normal 8 2 2 3 6 2 4" xfId="12865" xr:uid="{00000000-0005-0000-0000-000051530000}"/>
    <cellStyle name="Normal 8 2 2 3 6 2 5" xfId="29735" xr:uid="{03A3E684-3B8E-4B00-B82A-10E39E2D74E1}"/>
    <cellStyle name="Normal 8 2 2 3 6 3" xfId="6503" xr:uid="{00000000-0005-0000-0000-000052530000}"/>
    <cellStyle name="Normal 8 2 2 3 6 3 2" xfId="23373" xr:uid="{00000000-0005-0000-0000-000053530000}"/>
    <cellStyle name="Normal 8 2 2 3 6 3 2 2" xfId="40241" xr:uid="{DDF85D9C-9DAF-479F-AE41-DA2B6F13B939}"/>
    <cellStyle name="Normal 8 2 2 3 6 3 3" xfId="14938" xr:uid="{00000000-0005-0000-0000-000054530000}"/>
    <cellStyle name="Normal 8 2 2 3 6 3 4" xfId="31807" xr:uid="{C6EA21C8-7BA9-4B78-B613-D37F29A41F07}"/>
    <cellStyle name="Normal 8 2 2 3 6 4" xfId="19155" xr:uid="{00000000-0005-0000-0000-000055530000}"/>
    <cellStyle name="Normal 8 2 2 3 6 4 2" xfId="36024" xr:uid="{90EBFB07-D2B2-43A9-8716-C46D0500D12F}"/>
    <cellStyle name="Normal 8 2 2 3 6 5" xfId="10720" xr:uid="{00000000-0005-0000-0000-000056530000}"/>
    <cellStyle name="Normal 8 2 2 3 6 6" xfId="27590" xr:uid="{E6298552-CC4D-468C-82A3-DC65BA2D573F}"/>
    <cellStyle name="Normal 8 2 2 3 7" xfId="2632" xr:uid="{00000000-0005-0000-0000-000057530000}"/>
    <cellStyle name="Normal 8 2 2 3 7 2" xfId="6916" xr:uid="{00000000-0005-0000-0000-000058530000}"/>
    <cellStyle name="Normal 8 2 2 3 7 2 2" xfId="23786" xr:uid="{00000000-0005-0000-0000-000059530000}"/>
    <cellStyle name="Normal 8 2 2 3 7 2 2 2" xfId="40654" xr:uid="{85A9A5F2-E2C5-454C-8026-A81A70345BAE}"/>
    <cellStyle name="Normal 8 2 2 3 7 2 3" xfId="15351" xr:uid="{00000000-0005-0000-0000-00005A530000}"/>
    <cellStyle name="Normal 8 2 2 3 7 2 4" xfId="32220" xr:uid="{13952F8B-2E7C-497D-A01C-C8DE28F13C24}"/>
    <cellStyle name="Normal 8 2 2 3 7 3" xfId="19568" xr:uid="{00000000-0005-0000-0000-00005B530000}"/>
    <cellStyle name="Normal 8 2 2 3 7 3 2" xfId="36437" xr:uid="{91939381-544B-4194-98C6-50BDCC646316}"/>
    <cellStyle name="Normal 8 2 2 3 7 4" xfId="11133" xr:uid="{00000000-0005-0000-0000-00005C530000}"/>
    <cellStyle name="Normal 8 2 2 3 7 5" xfId="28003" xr:uid="{76DBC8DD-8254-4020-ACD5-8C8E72D2F60F}"/>
    <cellStyle name="Normal 8 2 2 3 8" xfId="4851" xr:uid="{00000000-0005-0000-0000-00005D530000}"/>
    <cellStyle name="Normal 8 2 2 3 8 2" xfId="21721" xr:uid="{00000000-0005-0000-0000-00005E530000}"/>
    <cellStyle name="Normal 8 2 2 3 8 2 2" xfId="38589" xr:uid="{070ECD15-AED7-476D-97C1-6B623087E827}"/>
    <cellStyle name="Normal 8 2 2 3 8 3" xfId="13286" xr:uid="{00000000-0005-0000-0000-00005F530000}"/>
    <cellStyle name="Normal 8 2 2 3 8 4" xfId="30155" xr:uid="{51411B60-0A3A-4AF1-A664-6EC45F68E586}"/>
    <cellStyle name="Normal 8 2 2 3 9" xfId="17503" xr:uid="{00000000-0005-0000-0000-000060530000}"/>
    <cellStyle name="Normal 8 2 2 3 9 2" xfId="34372" xr:uid="{92B18429-D7EC-4858-A703-A8E9AFB371D5}"/>
    <cellStyle name="Normal 8 2 2 4" xfId="487" xr:uid="{00000000-0005-0000-0000-000061530000}"/>
    <cellStyle name="Normal 8 2 2 4 10" xfId="25940" xr:uid="{985F9933-C561-4680-9DF1-6D05C04C5006}"/>
    <cellStyle name="Normal 8 2 2 4 2" xfId="954" xr:uid="{00000000-0005-0000-0000-000062530000}"/>
    <cellStyle name="Normal 8 2 2 4 2 2" xfId="3188" xr:uid="{00000000-0005-0000-0000-000063530000}"/>
    <cellStyle name="Normal 8 2 2 4 2 2 2" xfId="7411" xr:uid="{00000000-0005-0000-0000-000064530000}"/>
    <cellStyle name="Normal 8 2 2 4 2 2 2 2" xfId="24281" xr:uid="{00000000-0005-0000-0000-000065530000}"/>
    <cellStyle name="Normal 8 2 2 4 2 2 2 2 2" xfId="41149" xr:uid="{70B1F04A-9A54-4FB0-8C4C-22027C9CA29C}"/>
    <cellStyle name="Normal 8 2 2 4 2 2 2 3" xfId="15846" xr:uid="{00000000-0005-0000-0000-000066530000}"/>
    <cellStyle name="Normal 8 2 2 4 2 2 2 4" xfId="32715" xr:uid="{BB3BB732-66C9-441F-A9B8-91410B8A118B}"/>
    <cellStyle name="Normal 8 2 2 4 2 2 3" xfId="20063" xr:uid="{00000000-0005-0000-0000-000067530000}"/>
    <cellStyle name="Normal 8 2 2 4 2 2 3 2" xfId="36932" xr:uid="{0E38752E-9F6F-4CB6-AA9B-34F055680B1B}"/>
    <cellStyle name="Normal 8 2 2 4 2 2 4" xfId="11628" xr:uid="{00000000-0005-0000-0000-000068530000}"/>
    <cellStyle name="Normal 8 2 2 4 2 2 5" xfId="28498" xr:uid="{9FA87C35-9A6F-4C57-9A23-1398E9F20662}"/>
    <cellStyle name="Normal 8 2 2 4 2 3" xfId="5266" xr:uid="{00000000-0005-0000-0000-000069530000}"/>
    <cellStyle name="Normal 8 2 2 4 2 3 2" xfId="22136" xr:uid="{00000000-0005-0000-0000-00006A530000}"/>
    <cellStyle name="Normal 8 2 2 4 2 3 2 2" xfId="39004" xr:uid="{59A2A6E7-6880-49E1-8F45-A04655CD0606}"/>
    <cellStyle name="Normal 8 2 2 4 2 3 3" xfId="13701" xr:uid="{00000000-0005-0000-0000-00006B530000}"/>
    <cellStyle name="Normal 8 2 2 4 2 3 4" xfId="30570" xr:uid="{D47E7EA2-0438-426F-B563-601BCDE9A7CF}"/>
    <cellStyle name="Normal 8 2 2 4 2 4" xfId="17918" xr:uid="{00000000-0005-0000-0000-00006C530000}"/>
    <cellStyle name="Normal 8 2 2 4 2 4 2" xfId="34787" xr:uid="{CF82DF84-6863-4DEB-B633-135D42AFE2BC}"/>
    <cellStyle name="Normal 8 2 2 4 2 5" xfId="9483" xr:uid="{00000000-0005-0000-0000-00006D530000}"/>
    <cellStyle name="Normal 8 2 2 4 2 6" xfId="26353" xr:uid="{2846B26D-3956-47A2-A645-9364A0B412CB}"/>
    <cellStyle name="Normal 8 2 2 4 3" xfId="1371" xr:uid="{00000000-0005-0000-0000-00006E530000}"/>
    <cellStyle name="Normal 8 2 2 4 3 2" xfId="3601" xr:uid="{00000000-0005-0000-0000-00006F530000}"/>
    <cellStyle name="Normal 8 2 2 4 3 2 2" xfId="7824" xr:uid="{00000000-0005-0000-0000-000070530000}"/>
    <cellStyle name="Normal 8 2 2 4 3 2 2 2" xfId="24694" xr:uid="{00000000-0005-0000-0000-000071530000}"/>
    <cellStyle name="Normal 8 2 2 4 3 2 2 2 2" xfId="41562" xr:uid="{394CD39D-9691-46B6-938B-86278FE6C706}"/>
    <cellStyle name="Normal 8 2 2 4 3 2 2 3" xfId="16259" xr:uid="{00000000-0005-0000-0000-000072530000}"/>
    <cellStyle name="Normal 8 2 2 4 3 2 2 4" xfId="33128" xr:uid="{8100012B-D443-45AE-83CD-48F52F8DFE74}"/>
    <cellStyle name="Normal 8 2 2 4 3 2 3" xfId="20476" xr:uid="{00000000-0005-0000-0000-000073530000}"/>
    <cellStyle name="Normal 8 2 2 4 3 2 3 2" xfId="37345" xr:uid="{ADA32A86-70BD-4760-963E-DA5A8E3E281F}"/>
    <cellStyle name="Normal 8 2 2 4 3 2 4" xfId="12041" xr:uid="{00000000-0005-0000-0000-000074530000}"/>
    <cellStyle name="Normal 8 2 2 4 3 2 5" xfId="28911" xr:uid="{8C6CD425-08E4-4ED6-B2AF-63ED08384AD9}"/>
    <cellStyle name="Normal 8 2 2 4 3 3" xfId="5679" xr:uid="{00000000-0005-0000-0000-000075530000}"/>
    <cellStyle name="Normal 8 2 2 4 3 3 2" xfId="22549" xr:uid="{00000000-0005-0000-0000-000076530000}"/>
    <cellStyle name="Normal 8 2 2 4 3 3 2 2" xfId="39417" xr:uid="{83C08EE7-69DB-4D0A-AFDC-325A35BEA1F6}"/>
    <cellStyle name="Normal 8 2 2 4 3 3 3" xfId="14114" xr:uid="{00000000-0005-0000-0000-000077530000}"/>
    <cellStyle name="Normal 8 2 2 4 3 3 4" xfId="30983" xr:uid="{8C028B0B-BA80-4757-962E-1D08FA3F8940}"/>
    <cellStyle name="Normal 8 2 2 4 3 4" xfId="18331" xr:uid="{00000000-0005-0000-0000-000078530000}"/>
    <cellStyle name="Normal 8 2 2 4 3 4 2" xfId="35200" xr:uid="{F69BB1B5-CFAB-40AD-959B-45E993A8B395}"/>
    <cellStyle name="Normal 8 2 2 4 3 5" xfId="9896" xr:uid="{00000000-0005-0000-0000-000079530000}"/>
    <cellStyle name="Normal 8 2 2 4 3 6" xfId="26766" xr:uid="{0A458D7A-CA58-4022-AAC1-0837095E8889}"/>
    <cellStyle name="Normal 8 2 2 4 4" xfId="1784" xr:uid="{00000000-0005-0000-0000-00007A530000}"/>
    <cellStyle name="Normal 8 2 2 4 4 2" xfId="4014" xr:uid="{00000000-0005-0000-0000-00007B530000}"/>
    <cellStyle name="Normal 8 2 2 4 4 2 2" xfId="8237" xr:uid="{00000000-0005-0000-0000-00007C530000}"/>
    <cellStyle name="Normal 8 2 2 4 4 2 2 2" xfId="25107" xr:uid="{00000000-0005-0000-0000-00007D530000}"/>
    <cellStyle name="Normal 8 2 2 4 4 2 2 2 2" xfId="41975" xr:uid="{18C726C9-347A-450E-A63F-3CAF658EB504}"/>
    <cellStyle name="Normal 8 2 2 4 4 2 2 3" xfId="16672" xr:uid="{00000000-0005-0000-0000-00007E530000}"/>
    <cellStyle name="Normal 8 2 2 4 4 2 2 4" xfId="33541" xr:uid="{44EA24C1-A6FD-4A5D-8DD6-6B7EA07516B3}"/>
    <cellStyle name="Normal 8 2 2 4 4 2 3" xfId="20889" xr:uid="{00000000-0005-0000-0000-00007F530000}"/>
    <cellStyle name="Normal 8 2 2 4 4 2 3 2" xfId="37758" xr:uid="{2C29D515-17FE-4710-9DF8-028B0E6BE641}"/>
    <cellStyle name="Normal 8 2 2 4 4 2 4" xfId="12454" xr:uid="{00000000-0005-0000-0000-000080530000}"/>
    <cellStyle name="Normal 8 2 2 4 4 2 5" xfId="29324" xr:uid="{99B15D30-435C-41C4-8F11-0D85FBAFAB71}"/>
    <cellStyle name="Normal 8 2 2 4 4 3" xfId="6092" xr:uid="{00000000-0005-0000-0000-000081530000}"/>
    <cellStyle name="Normal 8 2 2 4 4 3 2" xfId="22962" xr:uid="{00000000-0005-0000-0000-000082530000}"/>
    <cellStyle name="Normal 8 2 2 4 4 3 2 2" xfId="39830" xr:uid="{B8D833C3-7B76-463C-BAAF-AE3E3D3D7BA1}"/>
    <cellStyle name="Normal 8 2 2 4 4 3 3" xfId="14527" xr:uid="{00000000-0005-0000-0000-000083530000}"/>
    <cellStyle name="Normal 8 2 2 4 4 3 4" xfId="31396" xr:uid="{01789137-B8DE-4704-905D-DFDAEC55E2A9}"/>
    <cellStyle name="Normal 8 2 2 4 4 4" xfId="18744" xr:uid="{00000000-0005-0000-0000-000084530000}"/>
    <cellStyle name="Normal 8 2 2 4 4 4 2" xfId="35613" xr:uid="{E69491DB-9176-44C1-AF0D-CE2AC67C2C58}"/>
    <cellStyle name="Normal 8 2 2 4 4 5" xfId="10309" xr:uid="{00000000-0005-0000-0000-000085530000}"/>
    <cellStyle name="Normal 8 2 2 4 4 6" xfId="27179" xr:uid="{6B71A943-D4CB-47E6-80D7-A1FD77C6320F}"/>
    <cellStyle name="Normal 8 2 2 4 5" xfId="2198" xr:uid="{00000000-0005-0000-0000-000086530000}"/>
    <cellStyle name="Normal 8 2 2 4 5 2" xfId="4427" xr:uid="{00000000-0005-0000-0000-000087530000}"/>
    <cellStyle name="Normal 8 2 2 4 5 2 2" xfId="8650" xr:uid="{00000000-0005-0000-0000-000088530000}"/>
    <cellStyle name="Normal 8 2 2 4 5 2 2 2" xfId="25520" xr:uid="{00000000-0005-0000-0000-000089530000}"/>
    <cellStyle name="Normal 8 2 2 4 5 2 2 2 2" xfId="42388" xr:uid="{3707531D-1A68-44CF-B88B-0DD4A5099C09}"/>
    <cellStyle name="Normal 8 2 2 4 5 2 2 3" xfId="17085" xr:uid="{00000000-0005-0000-0000-00008A530000}"/>
    <cellStyle name="Normal 8 2 2 4 5 2 2 4" xfId="33954" xr:uid="{EDD954D3-2A29-4A07-8DA4-E0763D067D0B}"/>
    <cellStyle name="Normal 8 2 2 4 5 2 3" xfId="21302" xr:uid="{00000000-0005-0000-0000-00008B530000}"/>
    <cellStyle name="Normal 8 2 2 4 5 2 3 2" xfId="38171" xr:uid="{D6575922-A981-414B-9900-C67F2F4359C1}"/>
    <cellStyle name="Normal 8 2 2 4 5 2 4" xfId="12867" xr:uid="{00000000-0005-0000-0000-00008C530000}"/>
    <cellStyle name="Normal 8 2 2 4 5 2 5" xfId="29737" xr:uid="{89DC6AEB-65AA-4D63-B81A-089AA9631F60}"/>
    <cellStyle name="Normal 8 2 2 4 5 3" xfId="6505" xr:uid="{00000000-0005-0000-0000-00008D530000}"/>
    <cellStyle name="Normal 8 2 2 4 5 3 2" xfId="23375" xr:uid="{00000000-0005-0000-0000-00008E530000}"/>
    <cellStyle name="Normal 8 2 2 4 5 3 2 2" xfId="40243" xr:uid="{9ECC695B-3215-48F7-A607-56045422EE6B}"/>
    <cellStyle name="Normal 8 2 2 4 5 3 3" xfId="14940" xr:uid="{00000000-0005-0000-0000-00008F530000}"/>
    <cellStyle name="Normal 8 2 2 4 5 3 4" xfId="31809" xr:uid="{30CF4857-9CA6-4900-8F26-F0C8B6DFAAFA}"/>
    <cellStyle name="Normal 8 2 2 4 5 4" xfId="19157" xr:uid="{00000000-0005-0000-0000-000090530000}"/>
    <cellStyle name="Normal 8 2 2 4 5 4 2" xfId="36026" xr:uid="{1CA0A4DB-5822-4A0B-98A0-250C9551C3FD}"/>
    <cellStyle name="Normal 8 2 2 4 5 5" xfId="10722" xr:uid="{00000000-0005-0000-0000-000091530000}"/>
    <cellStyle name="Normal 8 2 2 4 5 6" xfId="27592" xr:uid="{70EE4569-5DFB-4833-A613-6497DD7DA368}"/>
    <cellStyle name="Normal 8 2 2 4 6" xfId="2634" xr:uid="{00000000-0005-0000-0000-000092530000}"/>
    <cellStyle name="Normal 8 2 2 4 6 2" xfId="6918" xr:uid="{00000000-0005-0000-0000-000093530000}"/>
    <cellStyle name="Normal 8 2 2 4 6 2 2" xfId="23788" xr:uid="{00000000-0005-0000-0000-000094530000}"/>
    <cellStyle name="Normal 8 2 2 4 6 2 2 2" xfId="40656" xr:uid="{C36F9DAE-C874-479A-903D-C93A02292B5E}"/>
    <cellStyle name="Normal 8 2 2 4 6 2 3" xfId="15353" xr:uid="{00000000-0005-0000-0000-000095530000}"/>
    <cellStyle name="Normal 8 2 2 4 6 2 4" xfId="32222" xr:uid="{E17FDA8A-6019-45E7-8FF9-C8AF6B00A50F}"/>
    <cellStyle name="Normal 8 2 2 4 6 3" xfId="19570" xr:uid="{00000000-0005-0000-0000-000096530000}"/>
    <cellStyle name="Normal 8 2 2 4 6 3 2" xfId="36439" xr:uid="{4E318BF3-3BC3-4730-8B8C-444CE92D0BD9}"/>
    <cellStyle name="Normal 8 2 2 4 6 4" xfId="11135" xr:uid="{00000000-0005-0000-0000-000097530000}"/>
    <cellStyle name="Normal 8 2 2 4 6 5" xfId="28005" xr:uid="{A271D43E-3A1A-43A0-AF03-BFC94FE97E16}"/>
    <cellStyle name="Normal 8 2 2 4 7" xfId="4853" xr:uid="{00000000-0005-0000-0000-000098530000}"/>
    <cellStyle name="Normal 8 2 2 4 7 2" xfId="21723" xr:uid="{00000000-0005-0000-0000-000099530000}"/>
    <cellStyle name="Normal 8 2 2 4 7 2 2" xfId="38591" xr:uid="{EC7FB302-0921-4EF7-913C-CD1B4503CFB7}"/>
    <cellStyle name="Normal 8 2 2 4 7 3" xfId="13288" xr:uid="{00000000-0005-0000-0000-00009A530000}"/>
    <cellStyle name="Normal 8 2 2 4 7 4" xfId="30157" xr:uid="{FA1C83BE-80BE-483E-B6D6-96ADF0BA418F}"/>
    <cellStyle name="Normal 8 2 2 4 8" xfId="17505" xr:uid="{00000000-0005-0000-0000-00009B530000}"/>
    <cellStyle name="Normal 8 2 2 4 8 2" xfId="34374" xr:uid="{B51B3237-4DF6-47EC-9D37-0BA269B21FF8}"/>
    <cellStyle name="Normal 8 2 2 4 9" xfId="9070" xr:uid="{00000000-0005-0000-0000-00009C530000}"/>
    <cellStyle name="Normal 8 2 2 5" xfId="947" xr:uid="{00000000-0005-0000-0000-00009D530000}"/>
    <cellStyle name="Normal 8 2 2 5 2" xfId="3181" xr:uid="{00000000-0005-0000-0000-00009E530000}"/>
    <cellStyle name="Normal 8 2 2 5 2 2" xfId="7404" xr:uid="{00000000-0005-0000-0000-00009F530000}"/>
    <cellStyle name="Normal 8 2 2 5 2 2 2" xfId="24274" xr:uid="{00000000-0005-0000-0000-0000A0530000}"/>
    <cellStyle name="Normal 8 2 2 5 2 2 2 2" xfId="41142" xr:uid="{67AB82F1-778D-4E24-B569-51717A52A446}"/>
    <cellStyle name="Normal 8 2 2 5 2 2 3" xfId="15839" xr:uid="{00000000-0005-0000-0000-0000A1530000}"/>
    <cellStyle name="Normal 8 2 2 5 2 2 4" xfId="32708" xr:uid="{B9ECD8F5-4AC3-4309-B8CF-DD502840D1C1}"/>
    <cellStyle name="Normal 8 2 2 5 2 3" xfId="20056" xr:uid="{00000000-0005-0000-0000-0000A2530000}"/>
    <cellStyle name="Normal 8 2 2 5 2 3 2" xfId="36925" xr:uid="{B360708D-729B-4CB8-A4EB-62567856D930}"/>
    <cellStyle name="Normal 8 2 2 5 2 4" xfId="11621" xr:uid="{00000000-0005-0000-0000-0000A3530000}"/>
    <cellStyle name="Normal 8 2 2 5 2 5" xfId="28491" xr:uid="{2555F770-9073-4A3F-BA81-78A8E4ED7303}"/>
    <cellStyle name="Normal 8 2 2 5 3" xfId="5259" xr:uid="{00000000-0005-0000-0000-0000A4530000}"/>
    <cellStyle name="Normal 8 2 2 5 3 2" xfId="22129" xr:uid="{00000000-0005-0000-0000-0000A5530000}"/>
    <cellStyle name="Normal 8 2 2 5 3 2 2" xfId="38997" xr:uid="{4298FF30-9002-4A73-91A4-64B00CD7666C}"/>
    <cellStyle name="Normal 8 2 2 5 3 3" xfId="13694" xr:uid="{00000000-0005-0000-0000-0000A6530000}"/>
    <cellStyle name="Normal 8 2 2 5 3 4" xfId="30563" xr:uid="{B9BFCC09-0781-4EF9-A418-C735381AB89E}"/>
    <cellStyle name="Normal 8 2 2 5 4" xfId="17911" xr:uid="{00000000-0005-0000-0000-0000A7530000}"/>
    <cellStyle name="Normal 8 2 2 5 4 2" xfId="34780" xr:uid="{122FC702-46A5-4C5B-B616-C23741B08CA2}"/>
    <cellStyle name="Normal 8 2 2 5 5" xfId="9476" xr:uid="{00000000-0005-0000-0000-0000A8530000}"/>
    <cellStyle name="Normal 8 2 2 5 6" xfId="26346" xr:uid="{0B9DE9F3-69B7-4787-83BD-533B02E89F70}"/>
    <cellStyle name="Normal 8 2 2 6" xfId="1364" xr:uid="{00000000-0005-0000-0000-0000A9530000}"/>
    <cellStyle name="Normal 8 2 2 6 2" xfId="3594" xr:uid="{00000000-0005-0000-0000-0000AA530000}"/>
    <cellStyle name="Normal 8 2 2 6 2 2" xfId="7817" xr:uid="{00000000-0005-0000-0000-0000AB530000}"/>
    <cellStyle name="Normal 8 2 2 6 2 2 2" xfId="24687" xr:uid="{00000000-0005-0000-0000-0000AC530000}"/>
    <cellStyle name="Normal 8 2 2 6 2 2 2 2" xfId="41555" xr:uid="{105012C4-9141-4293-A19C-2606F9D2C419}"/>
    <cellStyle name="Normal 8 2 2 6 2 2 3" xfId="16252" xr:uid="{00000000-0005-0000-0000-0000AD530000}"/>
    <cellStyle name="Normal 8 2 2 6 2 2 4" xfId="33121" xr:uid="{30F398E3-AB02-482C-91BC-A54CEE926EF6}"/>
    <cellStyle name="Normal 8 2 2 6 2 3" xfId="20469" xr:uid="{00000000-0005-0000-0000-0000AE530000}"/>
    <cellStyle name="Normal 8 2 2 6 2 3 2" xfId="37338" xr:uid="{2D12C9D0-7FB9-484C-A154-C2D7DEADA891}"/>
    <cellStyle name="Normal 8 2 2 6 2 4" xfId="12034" xr:uid="{00000000-0005-0000-0000-0000AF530000}"/>
    <cellStyle name="Normal 8 2 2 6 2 5" xfId="28904" xr:uid="{910B0340-9171-4B2E-8241-5F0346D2BB11}"/>
    <cellStyle name="Normal 8 2 2 6 3" xfId="5672" xr:uid="{00000000-0005-0000-0000-0000B0530000}"/>
    <cellStyle name="Normal 8 2 2 6 3 2" xfId="22542" xr:uid="{00000000-0005-0000-0000-0000B1530000}"/>
    <cellStyle name="Normal 8 2 2 6 3 2 2" xfId="39410" xr:uid="{07E4548C-3998-4059-8D69-5DE0E198951F}"/>
    <cellStyle name="Normal 8 2 2 6 3 3" xfId="14107" xr:uid="{00000000-0005-0000-0000-0000B2530000}"/>
    <cellStyle name="Normal 8 2 2 6 3 4" xfId="30976" xr:uid="{2AF4A72A-D825-41D2-9240-9397C6BB7651}"/>
    <cellStyle name="Normal 8 2 2 6 4" xfId="18324" xr:uid="{00000000-0005-0000-0000-0000B3530000}"/>
    <cellStyle name="Normal 8 2 2 6 4 2" xfId="35193" xr:uid="{A91DB369-6568-41BB-8A6F-F8BF3DAC38E8}"/>
    <cellStyle name="Normal 8 2 2 6 5" xfId="9889" xr:uid="{00000000-0005-0000-0000-0000B4530000}"/>
    <cellStyle name="Normal 8 2 2 6 6" xfId="26759" xr:uid="{DF6558CF-C6BA-4431-9172-E829FA16312B}"/>
    <cellStyle name="Normal 8 2 2 7" xfId="1777" xr:uid="{00000000-0005-0000-0000-0000B5530000}"/>
    <cellStyle name="Normal 8 2 2 7 2" xfId="4007" xr:uid="{00000000-0005-0000-0000-0000B6530000}"/>
    <cellStyle name="Normal 8 2 2 7 2 2" xfId="8230" xr:uid="{00000000-0005-0000-0000-0000B7530000}"/>
    <cellStyle name="Normal 8 2 2 7 2 2 2" xfId="25100" xr:uid="{00000000-0005-0000-0000-0000B8530000}"/>
    <cellStyle name="Normal 8 2 2 7 2 2 2 2" xfId="41968" xr:uid="{74B271B7-7CBB-4CED-95E6-2289CDBBB686}"/>
    <cellStyle name="Normal 8 2 2 7 2 2 3" xfId="16665" xr:uid="{00000000-0005-0000-0000-0000B9530000}"/>
    <cellStyle name="Normal 8 2 2 7 2 2 4" xfId="33534" xr:uid="{FD5A8EC8-C383-41C4-B113-73E616F461BB}"/>
    <cellStyle name="Normal 8 2 2 7 2 3" xfId="20882" xr:uid="{00000000-0005-0000-0000-0000BA530000}"/>
    <cellStyle name="Normal 8 2 2 7 2 3 2" xfId="37751" xr:uid="{70569007-B056-4EBC-ADC9-3A979AB242F4}"/>
    <cellStyle name="Normal 8 2 2 7 2 4" xfId="12447" xr:uid="{00000000-0005-0000-0000-0000BB530000}"/>
    <cellStyle name="Normal 8 2 2 7 2 5" xfId="29317" xr:uid="{D332D26C-7B6F-4538-A8C6-1B6C8DCFFC95}"/>
    <cellStyle name="Normal 8 2 2 7 3" xfId="6085" xr:uid="{00000000-0005-0000-0000-0000BC530000}"/>
    <cellStyle name="Normal 8 2 2 7 3 2" xfId="22955" xr:uid="{00000000-0005-0000-0000-0000BD530000}"/>
    <cellStyle name="Normal 8 2 2 7 3 2 2" xfId="39823" xr:uid="{1E604690-AD90-4A8B-8939-855729D9A005}"/>
    <cellStyle name="Normal 8 2 2 7 3 3" xfId="14520" xr:uid="{00000000-0005-0000-0000-0000BE530000}"/>
    <cellStyle name="Normal 8 2 2 7 3 4" xfId="31389" xr:uid="{402127AB-7443-449D-98C2-83571511B19F}"/>
    <cellStyle name="Normal 8 2 2 7 4" xfId="18737" xr:uid="{00000000-0005-0000-0000-0000BF530000}"/>
    <cellStyle name="Normal 8 2 2 7 4 2" xfId="35606" xr:uid="{790BB567-084D-44CD-8580-9FD6F5B04A96}"/>
    <cellStyle name="Normal 8 2 2 7 5" xfId="10302" xr:uid="{00000000-0005-0000-0000-0000C0530000}"/>
    <cellStyle name="Normal 8 2 2 7 6" xfId="27172" xr:uid="{16BA5190-EE39-4B97-A21B-5C5C18C21077}"/>
    <cellStyle name="Normal 8 2 2 8" xfId="2191" xr:uid="{00000000-0005-0000-0000-0000C1530000}"/>
    <cellStyle name="Normal 8 2 2 8 2" xfId="4420" xr:uid="{00000000-0005-0000-0000-0000C2530000}"/>
    <cellStyle name="Normal 8 2 2 8 2 2" xfId="8643" xr:uid="{00000000-0005-0000-0000-0000C3530000}"/>
    <cellStyle name="Normal 8 2 2 8 2 2 2" xfId="25513" xr:uid="{00000000-0005-0000-0000-0000C4530000}"/>
    <cellStyle name="Normal 8 2 2 8 2 2 2 2" xfId="42381" xr:uid="{7DA33EDD-9E25-46CB-A1F7-47D0BD791A37}"/>
    <cellStyle name="Normal 8 2 2 8 2 2 3" xfId="17078" xr:uid="{00000000-0005-0000-0000-0000C5530000}"/>
    <cellStyle name="Normal 8 2 2 8 2 2 4" xfId="33947" xr:uid="{6A1F8BD3-A06C-4E81-8FE9-4A82846861C9}"/>
    <cellStyle name="Normal 8 2 2 8 2 3" xfId="21295" xr:uid="{00000000-0005-0000-0000-0000C6530000}"/>
    <cellStyle name="Normal 8 2 2 8 2 3 2" xfId="38164" xr:uid="{441F59A7-CA33-40FA-A648-A8A309207527}"/>
    <cellStyle name="Normal 8 2 2 8 2 4" xfId="12860" xr:uid="{00000000-0005-0000-0000-0000C7530000}"/>
    <cellStyle name="Normal 8 2 2 8 2 5" xfId="29730" xr:uid="{BBD0AD4B-360E-4195-89B3-0480303EDC2D}"/>
    <cellStyle name="Normal 8 2 2 8 3" xfId="6498" xr:uid="{00000000-0005-0000-0000-0000C8530000}"/>
    <cellStyle name="Normal 8 2 2 8 3 2" xfId="23368" xr:uid="{00000000-0005-0000-0000-0000C9530000}"/>
    <cellStyle name="Normal 8 2 2 8 3 2 2" xfId="40236" xr:uid="{90AC0F9B-6A9D-488A-ADE4-047DBF164300}"/>
    <cellStyle name="Normal 8 2 2 8 3 3" xfId="14933" xr:uid="{00000000-0005-0000-0000-0000CA530000}"/>
    <cellStyle name="Normal 8 2 2 8 3 4" xfId="31802" xr:uid="{6D52FAD9-AA5E-4F15-AB73-D20319C0070D}"/>
    <cellStyle name="Normal 8 2 2 8 4" xfId="19150" xr:uid="{00000000-0005-0000-0000-0000CB530000}"/>
    <cellStyle name="Normal 8 2 2 8 4 2" xfId="36019" xr:uid="{F42478CB-A533-47AD-89D8-4CBC27C534D4}"/>
    <cellStyle name="Normal 8 2 2 8 5" xfId="10715" xr:uid="{00000000-0005-0000-0000-0000CC530000}"/>
    <cellStyle name="Normal 8 2 2 8 6" xfId="27585" xr:uid="{FED5CA38-2C53-4241-BF29-4C65866B2183}"/>
    <cellStyle name="Normal 8 2 2 9" xfId="2627" xr:uid="{00000000-0005-0000-0000-0000CD530000}"/>
    <cellStyle name="Normal 8 2 2 9 2" xfId="6911" xr:uid="{00000000-0005-0000-0000-0000CE530000}"/>
    <cellStyle name="Normal 8 2 2 9 2 2" xfId="23781" xr:uid="{00000000-0005-0000-0000-0000CF530000}"/>
    <cellStyle name="Normal 8 2 2 9 2 2 2" xfId="40649" xr:uid="{56C0F6A7-9AB1-4F6C-8DE4-E7BC1C952DFB}"/>
    <cellStyle name="Normal 8 2 2 9 2 3" xfId="15346" xr:uid="{00000000-0005-0000-0000-0000D0530000}"/>
    <cellStyle name="Normal 8 2 2 9 2 4" xfId="32215" xr:uid="{55CBA840-3A84-4B6E-BDC4-13F92CFC01D6}"/>
    <cellStyle name="Normal 8 2 2 9 3" xfId="19563" xr:uid="{00000000-0005-0000-0000-0000D1530000}"/>
    <cellStyle name="Normal 8 2 2 9 3 2" xfId="36432" xr:uid="{44A43079-7949-442C-9333-3CD5F9528811}"/>
    <cellStyle name="Normal 8 2 2 9 4" xfId="11128" xr:uid="{00000000-0005-0000-0000-0000D2530000}"/>
    <cellStyle name="Normal 8 2 2 9 5" xfId="27998" xr:uid="{CD395108-445B-433F-89EC-AE84AC273BCD}"/>
    <cellStyle name="Normal 8 2 3" xfId="488" xr:uid="{00000000-0005-0000-0000-0000D3530000}"/>
    <cellStyle name="Normal 8 2 3 10" xfId="17506" xr:uid="{00000000-0005-0000-0000-0000D4530000}"/>
    <cellStyle name="Normal 8 2 3 10 2" xfId="34375" xr:uid="{CB1BE7AF-6533-4FED-A9B5-B6E60E2BE5C4}"/>
    <cellStyle name="Normal 8 2 3 11" xfId="9071" xr:uid="{00000000-0005-0000-0000-0000D5530000}"/>
    <cellStyle name="Normal 8 2 3 12" xfId="25941" xr:uid="{126D6F60-2353-4A77-AAA4-AD8267E3D893}"/>
    <cellStyle name="Normal 8 2 3 2" xfId="489" xr:uid="{00000000-0005-0000-0000-0000D6530000}"/>
    <cellStyle name="Normal 8 2 3 2 10" xfId="9072" xr:uid="{00000000-0005-0000-0000-0000D7530000}"/>
    <cellStyle name="Normal 8 2 3 2 11" xfId="25942" xr:uid="{6209528C-9F7A-4250-A1B9-2FFC867F6070}"/>
    <cellStyle name="Normal 8 2 3 2 2" xfId="490" xr:uid="{00000000-0005-0000-0000-0000D8530000}"/>
    <cellStyle name="Normal 8 2 3 2 2 10" xfId="25943" xr:uid="{1F1F88A9-523B-429A-8E26-49C713A13C67}"/>
    <cellStyle name="Normal 8 2 3 2 2 2" xfId="957" xr:uid="{00000000-0005-0000-0000-0000D9530000}"/>
    <cellStyle name="Normal 8 2 3 2 2 2 2" xfId="3191" xr:uid="{00000000-0005-0000-0000-0000DA530000}"/>
    <cellStyle name="Normal 8 2 3 2 2 2 2 2" xfId="7414" xr:uid="{00000000-0005-0000-0000-0000DB530000}"/>
    <cellStyle name="Normal 8 2 3 2 2 2 2 2 2" xfId="24284" xr:uid="{00000000-0005-0000-0000-0000DC530000}"/>
    <cellStyle name="Normal 8 2 3 2 2 2 2 2 2 2" xfId="41152" xr:uid="{426C3E79-3CFD-4FC2-B4D1-9A66D065D98B}"/>
    <cellStyle name="Normal 8 2 3 2 2 2 2 2 3" xfId="15849" xr:uid="{00000000-0005-0000-0000-0000DD530000}"/>
    <cellStyle name="Normal 8 2 3 2 2 2 2 2 4" xfId="32718" xr:uid="{998C38B9-7831-4684-B517-BD79B2D29025}"/>
    <cellStyle name="Normal 8 2 3 2 2 2 2 3" xfId="20066" xr:uid="{00000000-0005-0000-0000-0000DE530000}"/>
    <cellStyle name="Normal 8 2 3 2 2 2 2 3 2" xfId="36935" xr:uid="{7B00E3BA-BAD7-4668-B1B7-4FE0D706BE95}"/>
    <cellStyle name="Normal 8 2 3 2 2 2 2 4" xfId="11631" xr:uid="{00000000-0005-0000-0000-0000DF530000}"/>
    <cellStyle name="Normal 8 2 3 2 2 2 2 5" xfId="28501" xr:uid="{2CFCC7E9-17D6-4E78-A10F-688F8E1ECB19}"/>
    <cellStyle name="Normal 8 2 3 2 2 2 3" xfId="5269" xr:uid="{00000000-0005-0000-0000-0000E0530000}"/>
    <cellStyle name="Normal 8 2 3 2 2 2 3 2" xfId="22139" xr:uid="{00000000-0005-0000-0000-0000E1530000}"/>
    <cellStyle name="Normal 8 2 3 2 2 2 3 2 2" xfId="39007" xr:uid="{6D53673F-498C-4669-A349-AE7450ED39CB}"/>
    <cellStyle name="Normal 8 2 3 2 2 2 3 3" xfId="13704" xr:uid="{00000000-0005-0000-0000-0000E2530000}"/>
    <cellStyle name="Normal 8 2 3 2 2 2 3 4" xfId="30573" xr:uid="{7873B35A-E39F-4D3C-910C-0114F4935300}"/>
    <cellStyle name="Normal 8 2 3 2 2 2 4" xfId="17921" xr:uid="{00000000-0005-0000-0000-0000E3530000}"/>
    <cellStyle name="Normal 8 2 3 2 2 2 4 2" xfId="34790" xr:uid="{13D24CD1-57FC-4287-9457-935BE4A6C4D2}"/>
    <cellStyle name="Normal 8 2 3 2 2 2 5" xfId="9486" xr:uid="{00000000-0005-0000-0000-0000E4530000}"/>
    <cellStyle name="Normal 8 2 3 2 2 2 6" xfId="26356" xr:uid="{06232D23-94A1-401F-A3E2-228F2E840FB3}"/>
    <cellStyle name="Normal 8 2 3 2 2 3" xfId="1374" xr:uid="{00000000-0005-0000-0000-0000E5530000}"/>
    <cellStyle name="Normal 8 2 3 2 2 3 2" xfId="3604" xr:uid="{00000000-0005-0000-0000-0000E6530000}"/>
    <cellStyle name="Normal 8 2 3 2 2 3 2 2" xfId="7827" xr:uid="{00000000-0005-0000-0000-0000E7530000}"/>
    <cellStyle name="Normal 8 2 3 2 2 3 2 2 2" xfId="24697" xr:uid="{00000000-0005-0000-0000-0000E8530000}"/>
    <cellStyle name="Normal 8 2 3 2 2 3 2 2 2 2" xfId="41565" xr:uid="{38A3FD32-AE68-4830-8532-E6F163AD3E9D}"/>
    <cellStyle name="Normal 8 2 3 2 2 3 2 2 3" xfId="16262" xr:uid="{00000000-0005-0000-0000-0000E9530000}"/>
    <cellStyle name="Normal 8 2 3 2 2 3 2 2 4" xfId="33131" xr:uid="{6986A0E0-8CAC-4F83-A820-F0D01F4EF38E}"/>
    <cellStyle name="Normal 8 2 3 2 2 3 2 3" xfId="20479" xr:uid="{00000000-0005-0000-0000-0000EA530000}"/>
    <cellStyle name="Normal 8 2 3 2 2 3 2 3 2" xfId="37348" xr:uid="{709B7F33-0B1D-4720-9EE1-8EBA14CB3336}"/>
    <cellStyle name="Normal 8 2 3 2 2 3 2 4" xfId="12044" xr:uid="{00000000-0005-0000-0000-0000EB530000}"/>
    <cellStyle name="Normal 8 2 3 2 2 3 2 5" xfId="28914" xr:uid="{3E54CB4D-20FE-4D49-9427-06C883FFA11C}"/>
    <cellStyle name="Normal 8 2 3 2 2 3 3" xfId="5682" xr:uid="{00000000-0005-0000-0000-0000EC530000}"/>
    <cellStyle name="Normal 8 2 3 2 2 3 3 2" xfId="22552" xr:uid="{00000000-0005-0000-0000-0000ED530000}"/>
    <cellStyle name="Normal 8 2 3 2 2 3 3 2 2" xfId="39420" xr:uid="{46446C4F-0279-4CD1-BA38-09BAD469C50A}"/>
    <cellStyle name="Normal 8 2 3 2 2 3 3 3" xfId="14117" xr:uid="{00000000-0005-0000-0000-0000EE530000}"/>
    <cellStyle name="Normal 8 2 3 2 2 3 3 4" xfId="30986" xr:uid="{5432B086-0F6C-4E38-B1FD-B1E618E3BAC6}"/>
    <cellStyle name="Normal 8 2 3 2 2 3 4" xfId="18334" xr:uid="{00000000-0005-0000-0000-0000EF530000}"/>
    <cellStyle name="Normal 8 2 3 2 2 3 4 2" xfId="35203" xr:uid="{1F57EEE7-3512-42CF-9A71-6B86235D7307}"/>
    <cellStyle name="Normal 8 2 3 2 2 3 5" xfId="9899" xr:uid="{00000000-0005-0000-0000-0000F0530000}"/>
    <cellStyle name="Normal 8 2 3 2 2 3 6" xfId="26769" xr:uid="{F22E2327-6CF5-4489-A45C-7E1121E666BE}"/>
    <cellStyle name="Normal 8 2 3 2 2 4" xfId="1787" xr:uid="{00000000-0005-0000-0000-0000F1530000}"/>
    <cellStyle name="Normal 8 2 3 2 2 4 2" xfId="4017" xr:uid="{00000000-0005-0000-0000-0000F2530000}"/>
    <cellStyle name="Normal 8 2 3 2 2 4 2 2" xfId="8240" xr:uid="{00000000-0005-0000-0000-0000F3530000}"/>
    <cellStyle name="Normal 8 2 3 2 2 4 2 2 2" xfId="25110" xr:uid="{00000000-0005-0000-0000-0000F4530000}"/>
    <cellStyle name="Normal 8 2 3 2 2 4 2 2 2 2" xfId="41978" xr:uid="{E2F9CE28-F8E3-4E4B-8112-B44694276C02}"/>
    <cellStyle name="Normal 8 2 3 2 2 4 2 2 3" xfId="16675" xr:uid="{00000000-0005-0000-0000-0000F5530000}"/>
    <cellStyle name="Normal 8 2 3 2 2 4 2 2 4" xfId="33544" xr:uid="{70037976-63F9-42E5-BF36-C0806D21BB16}"/>
    <cellStyle name="Normal 8 2 3 2 2 4 2 3" xfId="20892" xr:uid="{00000000-0005-0000-0000-0000F6530000}"/>
    <cellStyle name="Normal 8 2 3 2 2 4 2 3 2" xfId="37761" xr:uid="{94ED6B3F-1AB1-4582-B6F8-5FACBC931C56}"/>
    <cellStyle name="Normal 8 2 3 2 2 4 2 4" xfId="12457" xr:uid="{00000000-0005-0000-0000-0000F7530000}"/>
    <cellStyle name="Normal 8 2 3 2 2 4 2 5" xfId="29327" xr:uid="{50E27540-B15A-4BA8-9F1B-CFCEAF3E5D23}"/>
    <cellStyle name="Normal 8 2 3 2 2 4 3" xfId="6095" xr:uid="{00000000-0005-0000-0000-0000F8530000}"/>
    <cellStyle name="Normal 8 2 3 2 2 4 3 2" xfId="22965" xr:uid="{00000000-0005-0000-0000-0000F9530000}"/>
    <cellStyle name="Normal 8 2 3 2 2 4 3 2 2" xfId="39833" xr:uid="{28EEE7F4-CF61-468E-B202-B6E57BFC421F}"/>
    <cellStyle name="Normal 8 2 3 2 2 4 3 3" xfId="14530" xr:uid="{00000000-0005-0000-0000-0000FA530000}"/>
    <cellStyle name="Normal 8 2 3 2 2 4 3 4" xfId="31399" xr:uid="{E2D35017-E875-42E4-BDAF-0EB859AB29D3}"/>
    <cellStyle name="Normal 8 2 3 2 2 4 4" xfId="18747" xr:uid="{00000000-0005-0000-0000-0000FB530000}"/>
    <cellStyle name="Normal 8 2 3 2 2 4 4 2" xfId="35616" xr:uid="{67740ABF-4269-4465-B7B8-30807BF36C29}"/>
    <cellStyle name="Normal 8 2 3 2 2 4 5" xfId="10312" xr:uid="{00000000-0005-0000-0000-0000FC530000}"/>
    <cellStyle name="Normal 8 2 3 2 2 4 6" xfId="27182" xr:uid="{D1D00096-A3F4-4192-AFD5-D3246ECF0944}"/>
    <cellStyle name="Normal 8 2 3 2 2 5" xfId="2201" xr:uid="{00000000-0005-0000-0000-0000FD530000}"/>
    <cellStyle name="Normal 8 2 3 2 2 5 2" xfId="4430" xr:uid="{00000000-0005-0000-0000-0000FE530000}"/>
    <cellStyle name="Normal 8 2 3 2 2 5 2 2" xfId="8653" xr:uid="{00000000-0005-0000-0000-0000FF530000}"/>
    <cellStyle name="Normal 8 2 3 2 2 5 2 2 2" xfId="25523" xr:uid="{00000000-0005-0000-0000-000000540000}"/>
    <cellStyle name="Normal 8 2 3 2 2 5 2 2 2 2" xfId="42391" xr:uid="{42F3C589-056C-461C-A5EE-3C73FD754B7A}"/>
    <cellStyle name="Normal 8 2 3 2 2 5 2 2 3" xfId="17088" xr:uid="{00000000-0005-0000-0000-000001540000}"/>
    <cellStyle name="Normal 8 2 3 2 2 5 2 2 4" xfId="33957" xr:uid="{F0780E57-84BA-4CB0-9F1F-1DA9F6F62B8B}"/>
    <cellStyle name="Normal 8 2 3 2 2 5 2 3" xfId="21305" xr:uid="{00000000-0005-0000-0000-000002540000}"/>
    <cellStyle name="Normal 8 2 3 2 2 5 2 3 2" xfId="38174" xr:uid="{BE4749C8-73D8-4ECC-A54A-DE7D5ECCAA40}"/>
    <cellStyle name="Normal 8 2 3 2 2 5 2 4" xfId="12870" xr:uid="{00000000-0005-0000-0000-000003540000}"/>
    <cellStyle name="Normal 8 2 3 2 2 5 2 5" xfId="29740" xr:uid="{1F66F0C2-1E1F-4DD4-A16D-A8732F5AEEF5}"/>
    <cellStyle name="Normal 8 2 3 2 2 5 3" xfId="6508" xr:uid="{00000000-0005-0000-0000-000004540000}"/>
    <cellStyle name="Normal 8 2 3 2 2 5 3 2" xfId="23378" xr:uid="{00000000-0005-0000-0000-000005540000}"/>
    <cellStyle name="Normal 8 2 3 2 2 5 3 2 2" xfId="40246" xr:uid="{B1FC816D-A374-46EB-AA13-3391AB3E85A4}"/>
    <cellStyle name="Normal 8 2 3 2 2 5 3 3" xfId="14943" xr:uid="{00000000-0005-0000-0000-000006540000}"/>
    <cellStyle name="Normal 8 2 3 2 2 5 3 4" xfId="31812" xr:uid="{0F18C128-111F-4D62-97CF-9C08E35F75AE}"/>
    <cellStyle name="Normal 8 2 3 2 2 5 4" xfId="19160" xr:uid="{00000000-0005-0000-0000-000007540000}"/>
    <cellStyle name="Normal 8 2 3 2 2 5 4 2" xfId="36029" xr:uid="{65ED3981-D398-4BC4-A495-42AFA50D1394}"/>
    <cellStyle name="Normal 8 2 3 2 2 5 5" xfId="10725" xr:uid="{00000000-0005-0000-0000-000008540000}"/>
    <cellStyle name="Normal 8 2 3 2 2 5 6" xfId="27595" xr:uid="{3FABB4A4-A890-4BE1-82E2-2B7B4C4882D1}"/>
    <cellStyle name="Normal 8 2 3 2 2 6" xfId="2637" xr:uid="{00000000-0005-0000-0000-000009540000}"/>
    <cellStyle name="Normal 8 2 3 2 2 6 2" xfId="6921" xr:uid="{00000000-0005-0000-0000-00000A540000}"/>
    <cellStyle name="Normal 8 2 3 2 2 6 2 2" xfId="23791" xr:uid="{00000000-0005-0000-0000-00000B540000}"/>
    <cellStyle name="Normal 8 2 3 2 2 6 2 2 2" xfId="40659" xr:uid="{4B9E5462-D94B-459A-8671-E7185315EF93}"/>
    <cellStyle name="Normal 8 2 3 2 2 6 2 3" xfId="15356" xr:uid="{00000000-0005-0000-0000-00000C540000}"/>
    <cellStyle name="Normal 8 2 3 2 2 6 2 4" xfId="32225" xr:uid="{4FDE5AE0-0616-4196-BBFC-9FF69BC69DFC}"/>
    <cellStyle name="Normal 8 2 3 2 2 6 3" xfId="19573" xr:uid="{00000000-0005-0000-0000-00000D540000}"/>
    <cellStyle name="Normal 8 2 3 2 2 6 3 2" xfId="36442" xr:uid="{449E2A99-472E-46F0-B310-E8D8BE5D268C}"/>
    <cellStyle name="Normal 8 2 3 2 2 6 4" xfId="11138" xr:uid="{00000000-0005-0000-0000-00000E540000}"/>
    <cellStyle name="Normal 8 2 3 2 2 6 5" xfId="28008" xr:uid="{658D7D4F-1C8B-4F6D-8A81-C16C8C5CEFE3}"/>
    <cellStyle name="Normal 8 2 3 2 2 7" xfId="4856" xr:uid="{00000000-0005-0000-0000-00000F540000}"/>
    <cellStyle name="Normal 8 2 3 2 2 7 2" xfId="21726" xr:uid="{00000000-0005-0000-0000-000010540000}"/>
    <cellStyle name="Normal 8 2 3 2 2 7 2 2" xfId="38594" xr:uid="{58821199-D69D-4D76-A1DD-C9E3B056653D}"/>
    <cellStyle name="Normal 8 2 3 2 2 7 3" xfId="13291" xr:uid="{00000000-0005-0000-0000-000011540000}"/>
    <cellStyle name="Normal 8 2 3 2 2 7 4" xfId="30160" xr:uid="{118E79FB-F636-4D43-801B-2A5C92772AB8}"/>
    <cellStyle name="Normal 8 2 3 2 2 8" xfId="17508" xr:uid="{00000000-0005-0000-0000-000012540000}"/>
    <cellStyle name="Normal 8 2 3 2 2 8 2" xfId="34377" xr:uid="{0FD3C0ED-909C-4827-9DB3-1CF8625F3A85}"/>
    <cellStyle name="Normal 8 2 3 2 2 9" xfId="9073" xr:uid="{00000000-0005-0000-0000-000013540000}"/>
    <cellStyle name="Normal 8 2 3 2 3" xfId="956" xr:uid="{00000000-0005-0000-0000-000014540000}"/>
    <cellStyle name="Normal 8 2 3 2 3 2" xfId="3190" xr:uid="{00000000-0005-0000-0000-000015540000}"/>
    <cellStyle name="Normal 8 2 3 2 3 2 2" xfId="7413" xr:uid="{00000000-0005-0000-0000-000016540000}"/>
    <cellStyle name="Normal 8 2 3 2 3 2 2 2" xfId="24283" xr:uid="{00000000-0005-0000-0000-000017540000}"/>
    <cellStyle name="Normal 8 2 3 2 3 2 2 2 2" xfId="41151" xr:uid="{8B8B4019-823E-4048-9265-C9E1FE0DC0DA}"/>
    <cellStyle name="Normal 8 2 3 2 3 2 2 3" xfId="15848" xr:uid="{00000000-0005-0000-0000-000018540000}"/>
    <cellStyle name="Normal 8 2 3 2 3 2 2 4" xfId="32717" xr:uid="{D31F14EC-A4B8-4BCE-A8DB-EF153B9E0D99}"/>
    <cellStyle name="Normal 8 2 3 2 3 2 3" xfId="20065" xr:uid="{00000000-0005-0000-0000-000019540000}"/>
    <cellStyle name="Normal 8 2 3 2 3 2 3 2" xfId="36934" xr:uid="{A2286E78-13E0-4D21-8244-678E50036C1C}"/>
    <cellStyle name="Normal 8 2 3 2 3 2 4" xfId="11630" xr:uid="{00000000-0005-0000-0000-00001A540000}"/>
    <cellStyle name="Normal 8 2 3 2 3 2 5" xfId="28500" xr:uid="{C7737ACD-BAC0-452E-8867-76EC2E226787}"/>
    <cellStyle name="Normal 8 2 3 2 3 3" xfId="5268" xr:uid="{00000000-0005-0000-0000-00001B540000}"/>
    <cellStyle name="Normal 8 2 3 2 3 3 2" xfId="22138" xr:uid="{00000000-0005-0000-0000-00001C540000}"/>
    <cellStyle name="Normal 8 2 3 2 3 3 2 2" xfId="39006" xr:uid="{CBDE453C-C99E-4BB9-8FFD-89704577EDF6}"/>
    <cellStyle name="Normal 8 2 3 2 3 3 3" xfId="13703" xr:uid="{00000000-0005-0000-0000-00001D540000}"/>
    <cellStyle name="Normal 8 2 3 2 3 3 4" xfId="30572" xr:uid="{8E8F5AF6-FCFF-4C26-980B-E8109C3EA155}"/>
    <cellStyle name="Normal 8 2 3 2 3 4" xfId="17920" xr:uid="{00000000-0005-0000-0000-00001E540000}"/>
    <cellStyle name="Normal 8 2 3 2 3 4 2" xfId="34789" xr:uid="{54B92CA2-34FF-4F17-A43F-155BAB9405FC}"/>
    <cellStyle name="Normal 8 2 3 2 3 5" xfId="9485" xr:uid="{00000000-0005-0000-0000-00001F540000}"/>
    <cellStyle name="Normal 8 2 3 2 3 6" xfId="26355" xr:uid="{C7B2386F-0F25-478B-8C30-20A5E3533CEB}"/>
    <cellStyle name="Normal 8 2 3 2 4" xfId="1373" xr:uid="{00000000-0005-0000-0000-000020540000}"/>
    <cellStyle name="Normal 8 2 3 2 4 2" xfId="3603" xr:uid="{00000000-0005-0000-0000-000021540000}"/>
    <cellStyle name="Normal 8 2 3 2 4 2 2" xfId="7826" xr:uid="{00000000-0005-0000-0000-000022540000}"/>
    <cellStyle name="Normal 8 2 3 2 4 2 2 2" xfId="24696" xr:uid="{00000000-0005-0000-0000-000023540000}"/>
    <cellStyle name="Normal 8 2 3 2 4 2 2 2 2" xfId="41564" xr:uid="{19472FEE-385B-445A-8879-5E4BF6F3832D}"/>
    <cellStyle name="Normal 8 2 3 2 4 2 2 3" xfId="16261" xr:uid="{00000000-0005-0000-0000-000024540000}"/>
    <cellStyle name="Normal 8 2 3 2 4 2 2 4" xfId="33130" xr:uid="{7EC55BD9-B574-4D65-9266-A05603775A05}"/>
    <cellStyle name="Normal 8 2 3 2 4 2 3" xfId="20478" xr:uid="{00000000-0005-0000-0000-000025540000}"/>
    <cellStyle name="Normal 8 2 3 2 4 2 3 2" xfId="37347" xr:uid="{4FF73CDE-F0F1-44BB-ADDC-1E2B291D26AA}"/>
    <cellStyle name="Normal 8 2 3 2 4 2 4" xfId="12043" xr:uid="{00000000-0005-0000-0000-000026540000}"/>
    <cellStyle name="Normal 8 2 3 2 4 2 5" xfId="28913" xr:uid="{23242AA4-E2C1-477E-910E-B59B500F8290}"/>
    <cellStyle name="Normal 8 2 3 2 4 3" xfId="5681" xr:uid="{00000000-0005-0000-0000-000027540000}"/>
    <cellStyle name="Normal 8 2 3 2 4 3 2" xfId="22551" xr:uid="{00000000-0005-0000-0000-000028540000}"/>
    <cellStyle name="Normal 8 2 3 2 4 3 2 2" xfId="39419" xr:uid="{A151ED17-E7E9-479E-AECC-8929B3F91DDD}"/>
    <cellStyle name="Normal 8 2 3 2 4 3 3" xfId="14116" xr:uid="{00000000-0005-0000-0000-000029540000}"/>
    <cellStyle name="Normal 8 2 3 2 4 3 4" xfId="30985" xr:uid="{51C096CA-1691-45D4-B916-F65DA369824E}"/>
    <cellStyle name="Normal 8 2 3 2 4 4" xfId="18333" xr:uid="{00000000-0005-0000-0000-00002A540000}"/>
    <cellStyle name="Normal 8 2 3 2 4 4 2" xfId="35202" xr:uid="{233401C5-AD7E-402A-9253-951FB1174250}"/>
    <cellStyle name="Normal 8 2 3 2 4 5" xfId="9898" xr:uid="{00000000-0005-0000-0000-00002B540000}"/>
    <cellStyle name="Normal 8 2 3 2 4 6" xfId="26768" xr:uid="{E8FDE73B-A233-4FB6-B706-EB11D5CCEABA}"/>
    <cellStyle name="Normal 8 2 3 2 5" xfId="1786" xr:uid="{00000000-0005-0000-0000-00002C540000}"/>
    <cellStyle name="Normal 8 2 3 2 5 2" xfId="4016" xr:uid="{00000000-0005-0000-0000-00002D540000}"/>
    <cellStyle name="Normal 8 2 3 2 5 2 2" xfId="8239" xr:uid="{00000000-0005-0000-0000-00002E540000}"/>
    <cellStyle name="Normal 8 2 3 2 5 2 2 2" xfId="25109" xr:uid="{00000000-0005-0000-0000-00002F540000}"/>
    <cellStyle name="Normal 8 2 3 2 5 2 2 2 2" xfId="41977" xr:uid="{948813AE-B66D-41EF-A26F-435B40AFD22A}"/>
    <cellStyle name="Normal 8 2 3 2 5 2 2 3" xfId="16674" xr:uid="{00000000-0005-0000-0000-000030540000}"/>
    <cellStyle name="Normal 8 2 3 2 5 2 2 4" xfId="33543" xr:uid="{0F9B5207-A695-4B07-9DB3-A5C4806C9193}"/>
    <cellStyle name="Normal 8 2 3 2 5 2 3" xfId="20891" xr:uid="{00000000-0005-0000-0000-000031540000}"/>
    <cellStyle name="Normal 8 2 3 2 5 2 3 2" xfId="37760" xr:uid="{70E7D89C-7820-4DA6-B30B-AD7743CF2585}"/>
    <cellStyle name="Normal 8 2 3 2 5 2 4" xfId="12456" xr:uid="{00000000-0005-0000-0000-000032540000}"/>
    <cellStyle name="Normal 8 2 3 2 5 2 5" xfId="29326" xr:uid="{E9451BB0-B221-476B-BCDD-32BD971DF263}"/>
    <cellStyle name="Normal 8 2 3 2 5 3" xfId="6094" xr:uid="{00000000-0005-0000-0000-000033540000}"/>
    <cellStyle name="Normal 8 2 3 2 5 3 2" xfId="22964" xr:uid="{00000000-0005-0000-0000-000034540000}"/>
    <cellStyle name="Normal 8 2 3 2 5 3 2 2" xfId="39832" xr:uid="{BD995255-AA12-4DB5-B6FD-AC0FC48E199B}"/>
    <cellStyle name="Normal 8 2 3 2 5 3 3" xfId="14529" xr:uid="{00000000-0005-0000-0000-000035540000}"/>
    <cellStyle name="Normal 8 2 3 2 5 3 4" xfId="31398" xr:uid="{D3396439-888B-4E31-8A97-37F53A909716}"/>
    <cellStyle name="Normal 8 2 3 2 5 4" xfId="18746" xr:uid="{00000000-0005-0000-0000-000036540000}"/>
    <cellStyle name="Normal 8 2 3 2 5 4 2" xfId="35615" xr:uid="{CE871234-250B-46B5-BD38-FCF2A214D093}"/>
    <cellStyle name="Normal 8 2 3 2 5 5" xfId="10311" xr:uid="{00000000-0005-0000-0000-000037540000}"/>
    <cellStyle name="Normal 8 2 3 2 5 6" xfId="27181" xr:uid="{5DCBA9FE-CF27-4F08-9558-835E4C0E0453}"/>
    <cellStyle name="Normal 8 2 3 2 6" xfId="2200" xr:uid="{00000000-0005-0000-0000-000038540000}"/>
    <cellStyle name="Normal 8 2 3 2 6 2" xfId="4429" xr:uid="{00000000-0005-0000-0000-000039540000}"/>
    <cellStyle name="Normal 8 2 3 2 6 2 2" xfId="8652" xr:uid="{00000000-0005-0000-0000-00003A540000}"/>
    <cellStyle name="Normal 8 2 3 2 6 2 2 2" xfId="25522" xr:uid="{00000000-0005-0000-0000-00003B540000}"/>
    <cellStyle name="Normal 8 2 3 2 6 2 2 2 2" xfId="42390" xr:uid="{6620A474-36B7-419A-B530-754FB3F5E5F6}"/>
    <cellStyle name="Normal 8 2 3 2 6 2 2 3" xfId="17087" xr:uid="{00000000-0005-0000-0000-00003C540000}"/>
    <cellStyle name="Normal 8 2 3 2 6 2 2 4" xfId="33956" xr:uid="{4EBE8DAD-DA34-4604-8BE7-C24D9BEF549E}"/>
    <cellStyle name="Normal 8 2 3 2 6 2 3" xfId="21304" xr:uid="{00000000-0005-0000-0000-00003D540000}"/>
    <cellStyle name="Normal 8 2 3 2 6 2 3 2" xfId="38173" xr:uid="{0EBD4719-ED75-49C1-B0F1-ACEA644916FC}"/>
    <cellStyle name="Normal 8 2 3 2 6 2 4" xfId="12869" xr:uid="{00000000-0005-0000-0000-00003E540000}"/>
    <cellStyle name="Normal 8 2 3 2 6 2 5" xfId="29739" xr:uid="{5EFF705D-07D3-460C-B0C8-6337E661BF51}"/>
    <cellStyle name="Normal 8 2 3 2 6 3" xfId="6507" xr:uid="{00000000-0005-0000-0000-00003F540000}"/>
    <cellStyle name="Normal 8 2 3 2 6 3 2" xfId="23377" xr:uid="{00000000-0005-0000-0000-000040540000}"/>
    <cellStyle name="Normal 8 2 3 2 6 3 2 2" xfId="40245" xr:uid="{1D42B29D-6DE9-4E4C-8FCD-B1C7F17E60CF}"/>
    <cellStyle name="Normal 8 2 3 2 6 3 3" xfId="14942" xr:uid="{00000000-0005-0000-0000-000041540000}"/>
    <cellStyle name="Normal 8 2 3 2 6 3 4" xfId="31811" xr:uid="{CB92017B-9D02-4621-B3EB-79E148214871}"/>
    <cellStyle name="Normal 8 2 3 2 6 4" xfId="19159" xr:uid="{00000000-0005-0000-0000-000042540000}"/>
    <cellStyle name="Normal 8 2 3 2 6 4 2" xfId="36028" xr:uid="{ABF2BBF5-0757-47CB-80E6-56665F010AC8}"/>
    <cellStyle name="Normal 8 2 3 2 6 5" xfId="10724" xr:uid="{00000000-0005-0000-0000-000043540000}"/>
    <cellStyle name="Normal 8 2 3 2 6 6" xfId="27594" xr:uid="{3F65753F-9F1E-48A1-A42B-E9D60E29C8FD}"/>
    <cellStyle name="Normal 8 2 3 2 7" xfId="2636" xr:uid="{00000000-0005-0000-0000-000044540000}"/>
    <cellStyle name="Normal 8 2 3 2 7 2" xfId="6920" xr:uid="{00000000-0005-0000-0000-000045540000}"/>
    <cellStyle name="Normal 8 2 3 2 7 2 2" xfId="23790" xr:uid="{00000000-0005-0000-0000-000046540000}"/>
    <cellStyle name="Normal 8 2 3 2 7 2 2 2" xfId="40658" xr:uid="{E4D444F8-D419-4264-843F-6372EFC83845}"/>
    <cellStyle name="Normal 8 2 3 2 7 2 3" xfId="15355" xr:uid="{00000000-0005-0000-0000-000047540000}"/>
    <cellStyle name="Normal 8 2 3 2 7 2 4" xfId="32224" xr:uid="{05D554D0-7F46-4E0D-89B4-507E8BED12D1}"/>
    <cellStyle name="Normal 8 2 3 2 7 3" xfId="19572" xr:uid="{00000000-0005-0000-0000-000048540000}"/>
    <cellStyle name="Normal 8 2 3 2 7 3 2" xfId="36441" xr:uid="{64740326-D657-4B2B-A4B0-286B5B0B8D75}"/>
    <cellStyle name="Normal 8 2 3 2 7 4" xfId="11137" xr:uid="{00000000-0005-0000-0000-000049540000}"/>
    <cellStyle name="Normal 8 2 3 2 7 5" xfId="28007" xr:uid="{3CB8A73F-C4DA-4583-90CB-F551C26F6415}"/>
    <cellStyle name="Normal 8 2 3 2 8" xfId="4855" xr:uid="{00000000-0005-0000-0000-00004A540000}"/>
    <cellStyle name="Normal 8 2 3 2 8 2" xfId="21725" xr:uid="{00000000-0005-0000-0000-00004B540000}"/>
    <cellStyle name="Normal 8 2 3 2 8 2 2" xfId="38593" xr:uid="{2C36B539-E882-49F6-92BF-8978B8EAE96F}"/>
    <cellStyle name="Normal 8 2 3 2 8 3" xfId="13290" xr:uid="{00000000-0005-0000-0000-00004C540000}"/>
    <cellStyle name="Normal 8 2 3 2 8 4" xfId="30159" xr:uid="{3B42EDFF-03C8-4FCD-82C5-29C0CFDFC37C}"/>
    <cellStyle name="Normal 8 2 3 2 9" xfId="17507" xr:uid="{00000000-0005-0000-0000-00004D540000}"/>
    <cellStyle name="Normal 8 2 3 2 9 2" xfId="34376" xr:uid="{19EC869D-EB25-47FE-8402-13DBB3B62459}"/>
    <cellStyle name="Normal 8 2 3 3" xfId="491" xr:uid="{00000000-0005-0000-0000-00004E540000}"/>
    <cellStyle name="Normal 8 2 3 3 10" xfId="25944" xr:uid="{B4C02E9B-8FC9-4458-99B3-07FB6DA27006}"/>
    <cellStyle name="Normal 8 2 3 3 2" xfId="958" xr:uid="{00000000-0005-0000-0000-00004F540000}"/>
    <cellStyle name="Normal 8 2 3 3 2 2" xfId="3192" xr:uid="{00000000-0005-0000-0000-000050540000}"/>
    <cellStyle name="Normal 8 2 3 3 2 2 2" xfId="7415" xr:uid="{00000000-0005-0000-0000-000051540000}"/>
    <cellStyle name="Normal 8 2 3 3 2 2 2 2" xfId="24285" xr:uid="{00000000-0005-0000-0000-000052540000}"/>
    <cellStyle name="Normal 8 2 3 3 2 2 2 2 2" xfId="41153" xr:uid="{3D52BB65-75C6-42CF-93AA-5DBA84C22E77}"/>
    <cellStyle name="Normal 8 2 3 3 2 2 2 3" xfId="15850" xr:uid="{00000000-0005-0000-0000-000053540000}"/>
    <cellStyle name="Normal 8 2 3 3 2 2 2 4" xfId="32719" xr:uid="{622A7F52-694B-41C6-BB83-6EE2F4D033CA}"/>
    <cellStyle name="Normal 8 2 3 3 2 2 3" xfId="20067" xr:uid="{00000000-0005-0000-0000-000054540000}"/>
    <cellStyle name="Normal 8 2 3 3 2 2 3 2" xfId="36936" xr:uid="{BAD0FA3A-C7B2-4EB3-8410-D3B03A679AAF}"/>
    <cellStyle name="Normal 8 2 3 3 2 2 4" xfId="11632" xr:uid="{00000000-0005-0000-0000-000055540000}"/>
    <cellStyle name="Normal 8 2 3 3 2 2 5" xfId="28502" xr:uid="{B3BACCD4-1A3E-40E1-B511-1A09CD4B849B}"/>
    <cellStyle name="Normal 8 2 3 3 2 3" xfId="5270" xr:uid="{00000000-0005-0000-0000-000056540000}"/>
    <cellStyle name="Normal 8 2 3 3 2 3 2" xfId="22140" xr:uid="{00000000-0005-0000-0000-000057540000}"/>
    <cellStyle name="Normal 8 2 3 3 2 3 2 2" xfId="39008" xr:uid="{2030FB32-93CD-4A72-AA9E-A33EF7C73067}"/>
    <cellStyle name="Normal 8 2 3 3 2 3 3" xfId="13705" xr:uid="{00000000-0005-0000-0000-000058540000}"/>
    <cellStyle name="Normal 8 2 3 3 2 3 4" xfId="30574" xr:uid="{924A6E9C-0196-4C2F-BBCC-4B7EF3EED21B}"/>
    <cellStyle name="Normal 8 2 3 3 2 4" xfId="17922" xr:uid="{00000000-0005-0000-0000-000059540000}"/>
    <cellStyle name="Normal 8 2 3 3 2 4 2" xfId="34791" xr:uid="{BDC3AC49-267E-4CCC-995E-4028E645379A}"/>
    <cellStyle name="Normal 8 2 3 3 2 5" xfId="9487" xr:uid="{00000000-0005-0000-0000-00005A540000}"/>
    <cellStyle name="Normal 8 2 3 3 2 6" xfId="26357" xr:uid="{5E527AEF-C61E-405C-AB38-F033F968D3A3}"/>
    <cellStyle name="Normal 8 2 3 3 3" xfId="1375" xr:uid="{00000000-0005-0000-0000-00005B540000}"/>
    <cellStyle name="Normal 8 2 3 3 3 2" xfId="3605" xr:uid="{00000000-0005-0000-0000-00005C540000}"/>
    <cellStyle name="Normal 8 2 3 3 3 2 2" xfId="7828" xr:uid="{00000000-0005-0000-0000-00005D540000}"/>
    <cellStyle name="Normal 8 2 3 3 3 2 2 2" xfId="24698" xr:uid="{00000000-0005-0000-0000-00005E540000}"/>
    <cellStyle name="Normal 8 2 3 3 3 2 2 2 2" xfId="41566" xr:uid="{A16CF769-E51C-426C-A81D-931376892D78}"/>
    <cellStyle name="Normal 8 2 3 3 3 2 2 3" xfId="16263" xr:uid="{00000000-0005-0000-0000-00005F540000}"/>
    <cellStyle name="Normal 8 2 3 3 3 2 2 4" xfId="33132" xr:uid="{E5C35BBE-2B7C-4E92-AFC0-33E11557F6FF}"/>
    <cellStyle name="Normal 8 2 3 3 3 2 3" xfId="20480" xr:uid="{00000000-0005-0000-0000-000060540000}"/>
    <cellStyle name="Normal 8 2 3 3 3 2 3 2" xfId="37349" xr:uid="{2F35B833-4A43-40CD-BE28-45475C93DD01}"/>
    <cellStyle name="Normal 8 2 3 3 3 2 4" xfId="12045" xr:uid="{00000000-0005-0000-0000-000061540000}"/>
    <cellStyle name="Normal 8 2 3 3 3 2 5" xfId="28915" xr:uid="{07921443-C03E-42B9-83D2-80AAE4BF19AB}"/>
    <cellStyle name="Normal 8 2 3 3 3 3" xfId="5683" xr:uid="{00000000-0005-0000-0000-000062540000}"/>
    <cellStyle name="Normal 8 2 3 3 3 3 2" xfId="22553" xr:uid="{00000000-0005-0000-0000-000063540000}"/>
    <cellStyle name="Normal 8 2 3 3 3 3 2 2" xfId="39421" xr:uid="{E5090F2D-B444-44D9-8805-BF3C481A0DC3}"/>
    <cellStyle name="Normal 8 2 3 3 3 3 3" xfId="14118" xr:uid="{00000000-0005-0000-0000-000064540000}"/>
    <cellStyle name="Normal 8 2 3 3 3 3 4" xfId="30987" xr:uid="{83D53AC2-1C50-4760-AE9C-5E070C7AC22D}"/>
    <cellStyle name="Normal 8 2 3 3 3 4" xfId="18335" xr:uid="{00000000-0005-0000-0000-000065540000}"/>
    <cellStyle name="Normal 8 2 3 3 3 4 2" xfId="35204" xr:uid="{76888D7B-B502-45AC-878C-1A90DACA4900}"/>
    <cellStyle name="Normal 8 2 3 3 3 5" xfId="9900" xr:uid="{00000000-0005-0000-0000-000066540000}"/>
    <cellStyle name="Normal 8 2 3 3 3 6" xfId="26770" xr:uid="{01C13E65-2341-497F-8A3E-DEDC238F866E}"/>
    <cellStyle name="Normal 8 2 3 3 4" xfId="1788" xr:uid="{00000000-0005-0000-0000-000067540000}"/>
    <cellStyle name="Normal 8 2 3 3 4 2" xfId="4018" xr:uid="{00000000-0005-0000-0000-000068540000}"/>
    <cellStyle name="Normal 8 2 3 3 4 2 2" xfId="8241" xr:uid="{00000000-0005-0000-0000-000069540000}"/>
    <cellStyle name="Normal 8 2 3 3 4 2 2 2" xfId="25111" xr:uid="{00000000-0005-0000-0000-00006A540000}"/>
    <cellStyle name="Normal 8 2 3 3 4 2 2 2 2" xfId="41979" xr:uid="{E051B3D5-B4E1-469E-8486-6E589AAA057D}"/>
    <cellStyle name="Normal 8 2 3 3 4 2 2 3" xfId="16676" xr:uid="{00000000-0005-0000-0000-00006B540000}"/>
    <cellStyle name="Normal 8 2 3 3 4 2 2 4" xfId="33545" xr:uid="{098AAEA4-01B2-4F80-A210-DD71145DEEA0}"/>
    <cellStyle name="Normal 8 2 3 3 4 2 3" xfId="20893" xr:uid="{00000000-0005-0000-0000-00006C540000}"/>
    <cellStyle name="Normal 8 2 3 3 4 2 3 2" xfId="37762" xr:uid="{476664DA-EDF2-4E3A-9957-4F80D8740948}"/>
    <cellStyle name="Normal 8 2 3 3 4 2 4" xfId="12458" xr:uid="{00000000-0005-0000-0000-00006D540000}"/>
    <cellStyle name="Normal 8 2 3 3 4 2 5" xfId="29328" xr:uid="{B1852D35-40A4-4330-BD97-CC60939E1218}"/>
    <cellStyle name="Normal 8 2 3 3 4 3" xfId="6096" xr:uid="{00000000-0005-0000-0000-00006E540000}"/>
    <cellStyle name="Normal 8 2 3 3 4 3 2" xfId="22966" xr:uid="{00000000-0005-0000-0000-00006F540000}"/>
    <cellStyle name="Normal 8 2 3 3 4 3 2 2" xfId="39834" xr:uid="{59AC6D89-E693-4C9F-A3A1-D166FF4835D5}"/>
    <cellStyle name="Normal 8 2 3 3 4 3 3" xfId="14531" xr:uid="{00000000-0005-0000-0000-000070540000}"/>
    <cellStyle name="Normal 8 2 3 3 4 3 4" xfId="31400" xr:uid="{505E275B-6516-4A57-8AB3-E366D1449402}"/>
    <cellStyle name="Normal 8 2 3 3 4 4" xfId="18748" xr:uid="{00000000-0005-0000-0000-000071540000}"/>
    <cellStyle name="Normal 8 2 3 3 4 4 2" xfId="35617" xr:uid="{846896E3-E564-4883-88C9-A8B55A4BECE7}"/>
    <cellStyle name="Normal 8 2 3 3 4 5" xfId="10313" xr:uid="{00000000-0005-0000-0000-000072540000}"/>
    <cellStyle name="Normal 8 2 3 3 4 6" xfId="27183" xr:uid="{B7CC78BA-2514-4EAC-9344-F672E8950D75}"/>
    <cellStyle name="Normal 8 2 3 3 5" xfId="2202" xr:uid="{00000000-0005-0000-0000-000073540000}"/>
    <cellStyle name="Normal 8 2 3 3 5 2" xfId="4431" xr:uid="{00000000-0005-0000-0000-000074540000}"/>
    <cellStyle name="Normal 8 2 3 3 5 2 2" xfId="8654" xr:uid="{00000000-0005-0000-0000-000075540000}"/>
    <cellStyle name="Normal 8 2 3 3 5 2 2 2" xfId="25524" xr:uid="{00000000-0005-0000-0000-000076540000}"/>
    <cellStyle name="Normal 8 2 3 3 5 2 2 2 2" xfId="42392" xr:uid="{310A863E-8D38-4B25-936D-79ED4B115ED2}"/>
    <cellStyle name="Normal 8 2 3 3 5 2 2 3" xfId="17089" xr:uid="{00000000-0005-0000-0000-000077540000}"/>
    <cellStyle name="Normal 8 2 3 3 5 2 2 4" xfId="33958" xr:uid="{4FEAC87C-B123-4AC4-B028-AEBEBF6DE398}"/>
    <cellStyle name="Normal 8 2 3 3 5 2 3" xfId="21306" xr:uid="{00000000-0005-0000-0000-000078540000}"/>
    <cellStyle name="Normal 8 2 3 3 5 2 3 2" xfId="38175" xr:uid="{745305E8-8A95-4A3C-83F5-E14DDFDBFDF0}"/>
    <cellStyle name="Normal 8 2 3 3 5 2 4" xfId="12871" xr:uid="{00000000-0005-0000-0000-000079540000}"/>
    <cellStyle name="Normal 8 2 3 3 5 2 5" xfId="29741" xr:uid="{1E99C9AB-C1AD-452F-ADCA-3CF9F839EA82}"/>
    <cellStyle name="Normal 8 2 3 3 5 3" xfId="6509" xr:uid="{00000000-0005-0000-0000-00007A540000}"/>
    <cellStyle name="Normal 8 2 3 3 5 3 2" xfId="23379" xr:uid="{00000000-0005-0000-0000-00007B540000}"/>
    <cellStyle name="Normal 8 2 3 3 5 3 2 2" xfId="40247" xr:uid="{C3C6326C-5757-47C6-B3CC-0E0267F49EA6}"/>
    <cellStyle name="Normal 8 2 3 3 5 3 3" xfId="14944" xr:uid="{00000000-0005-0000-0000-00007C540000}"/>
    <cellStyle name="Normal 8 2 3 3 5 3 4" xfId="31813" xr:uid="{A51978EA-E653-4AA1-9252-457A082A0B17}"/>
    <cellStyle name="Normal 8 2 3 3 5 4" xfId="19161" xr:uid="{00000000-0005-0000-0000-00007D540000}"/>
    <cellStyle name="Normal 8 2 3 3 5 4 2" xfId="36030" xr:uid="{60D6A3C0-8914-47B9-A45B-0094405D527E}"/>
    <cellStyle name="Normal 8 2 3 3 5 5" xfId="10726" xr:uid="{00000000-0005-0000-0000-00007E540000}"/>
    <cellStyle name="Normal 8 2 3 3 5 6" xfId="27596" xr:uid="{63B01DD3-7464-4B06-8A96-15AA60FED2C0}"/>
    <cellStyle name="Normal 8 2 3 3 6" xfId="2638" xr:uid="{00000000-0005-0000-0000-00007F540000}"/>
    <cellStyle name="Normal 8 2 3 3 6 2" xfId="6922" xr:uid="{00000000-0005-0000-0000-000080540000}"/>
    <cellStyle name="Normal 8 2 3 3 6 2 2" xfId="23792" xr:uid="{00000000-0005-0000-0000-000081540000}"/>
    <cellStyle name="Normal 8 2 3 3 6 2 2 2" xfId="40660" xr:uid="{0EA88F73-D12F-4BAA-A70F-A53DBB0F98FA}"/>
    <cellStyle name="Normal 8 2 3 3 6 2 3" xfId="15357" xr:uid="{00000000-0005-0000-0000-000082540000}"/>
    <cellStyle name="Normal 8 2 3 3 6 2 4" xfId="32226" xr:uid="{A6E53CA8-6DEB-4676-AB70-1F7031E695D4}"/>
    <cellStyle name="Normal 8 2 3 3 6 3" xfId="19574" xr:uid="{00000000-0005-0000-0000-000083540000}"/>
    <cellStyle name="Normal 8 2 3 3 6 3 2" xfId="36443" xr:uid="{417F7A0E-4AD2-4486-BFE3-244E11A84C60}"/>
    <cellStyle name="Normal 8 2 3 3 6 4" xfId="11139" xr:uid="{00000000-0005-0000-0000-000084540000}"/>
    <cellStyle name="Normal 8 2 3 3 6 5" xfId="28009" xr:uid="{461C2B50-90B3-42EE-BA2E-B962A9A993AB}"/>
    <cellStyle name="Normal 8 2 3 3 7" xfId="4857" xr:uid="{00000000-0005-0000-0000-000085540000}"/>
    <cellStyle name="Normal 8 2 3 3 7 2" xfId="21727" xr:uid="{00000000-0005-0000-0000-000086540000}"/>
    <cellStyle name="Normal 8 2 3 3 7 2 2" xfId="38595" xr:uid="{2B0CDB83-6299-40C7-AB44-74C761CE1311}"/>
    <cellStyle name="Normal 8 2 3 3 7 3" xfId="13292" xr:uid="{00000000-0005-0000-0000-000087540000}"/>
    <cellStyle name="Normal 8 2 3 3 7 4" xfId="30161" xr:uid="{4DCF949B-81CB-4A4C-BC4F-03504F2BF9B9}"/>
    <cellStyle name="Normal 8 2 3 3 8" xfId="17509" xr:uid="{00000000-0005-0000-0000-000088540000}"/>
    <cellStyle name="Normal 8 2 3 3 8 2" xfId="34378" xr:uid="{C2B38DBF-D611-4C2D-9613-E6B5A53F1A15}"/>
    <cellStyle name="Normal 8 2 3 3 9" xfId="9074" xr:uid="{00000000-0005-0000-0000-000089540000}"/>
    <cellStyle name="Normal 8 2 3 4" xfId="955" xr:uid="{00000000-0005-0000-0000-00008A540000}"/>
    <cellStyle name="Normal 8 2 3 4 2" xfId="3189" xr:uid="{00000000-0005-0000-0000-00008B540000}"/>
    <cellStyle name="Normal 8 2 3 4 2 2" xfId="7412" xr:uid="{00000000-0005-0000-0000-00008C540000}"/>
    <cellStyle name="Normal 8 2 3 4 2 2 2" xfId="24282" xr:uid="{00000000-0005-0000-0000-00008D540000}"/>
    <cellStyle name="Normal 8 2 3 4 2 2 2 2" xfId="41150" xr:uid="{FC0AEADC-1CD5-4C88-849A-86CB117BBE24}"/>
    <cellStyle name="Normal 8 2 3 4 2 2 3" xfId="15847" xr:uid="{00000000-0005-0000-0000-00008E540000}"/>
    <cellStyle name="Normal 8 2 3 4 2 2 4" xfId="32716" xr:uid="{E495AC90-48A8-402A-B37D-3CBB65F289FE}"/>
    <cellStyle name="Normal 8 2 3 4 2 3" xfId="20064" xr:uid="{00000000-0005-0000-0000-00008F540000}"/>
    <cellStyle name="Normal 8 2 3 4 2 3 2" xfId="36933" xr:uid="{D7B17C7D-795F-461B-9488-FBEC9E87DE45}"/>
    <cellStyle name="Normal 8 2 3 4 2 4" xfId="11629" xr:uid="{00000000-0005-0000-0000-000090540000}"/>
    <cellStyle name="Normal 8 2 3 4 2 5" xfId="28499" xr:uid="{67182753-85DF-4556-A9FF-49FF1F0EDED1}"/>
    <cellStyle name="Normal 8 2 3 4 3" xfId="5267" xr:uid="{00000000-0005-0000-0000-000091540000}"/>
    <cellStyle name="Normal 8 2 3 4 3 2" xfId="22137" xr:uid="{00000000-0005-0000-0000-000092540000}"/>
    <cellStyle name="Normal 8 2 3 4 3 2 2" xfId="39005" xr:uid="{4977C1BF-1590-4A4A-9E3E-1F2D24EB304F}"/>
    <cellStyle name="Normal 8 2 3 4 3 3" xfId="13702" xr:uid="{00000000-0005-0000-0000-000093540000}"/>
    <cellStyle name="Normal 8 2 3 4 3 4" xfId="30571" xr:uid="{9B4DD980-379A-4241-B955-8F06A0C711A8}"/>
    <cellStyle name="Normal 8 2 3 4 4" xfId="17919" xr:uid="{00000000-0005-0000-0000-000094540000}"/>
    <cellStyle name="Normal 8 2 3 4 4 2" xfId="34788" xr:uid="{103C5764-C839-4487-98FD-C48D3F5FC576}"/>
    <cellStyle name="Normal 8 2 3 4 5" xfId="9484" xr:uid="{00000000-0005-0000-0000-000095540000}"/>
    <cellStyle name="Normal 8 2 3 4 6" xfId="26354" xr:uid="{6A8A079D-AF46-4066-9B69-9ABFC530DC1C}"/>
    <cellStyle name="Normal 8 2 3 5" xfId="1372" xr:uid="{00000000-0005-0000-0000-000096540000}"/>
    <cellStyle name="Normal 8 2 3 5 2" xfId="3602" xr:uid="{00000000-0005-0000-0000-000097540000}"/>
    <cellStyle name="Normal 8 2 3 5 2 2" xfId="7825" xr:uid="{00000000-0005-0000-0000-000098540000}"/>
    <cellStyle name="Normal 8 2 3 5 2 2 2" xfId="24695" xr:uid="{00000000-0005-0000-0000-000099540000}"/>
    <cellStyle name="Normal 8 2 3 5 2 2 2 2" xfId="41563" xr:uid="{DCE5FC5F-77C6-4BC8-865B-F70A36EEDB51}"/>
    <cellStyle name="Normal 8 2 3 5 2 2 3" xfId="16260" xr:uid="{00000000-0005-0000-0000-00009A540000}"/>
    <cellStyle name="Normal 8 2 3 5 2 2 4" xfId="33129" xr:uid="{293AEDAC-0CA7-4BDE-AF6E-334FF29D55E2}"/>
    <cellStyle name="Normal 8 2 3 5 2 3" xfId="20477" xr:uid="{00000000-0005-0000-0000-00009B540000}"/>
    <cellStyle name="Normal 8 2 3 5 2 3 2" xfId="37346" xr:uid="{72EBBCAC-710A-428C-9F4A-F1F764C7846F}"/>
    <cellStyle name="Normal 8 2 3 5 2 4" xfId="12042" xr:uid="{00000000-0005-0000-0000-00009C540000}"/>
    <cellStyle name="Normal 8 2 3 5 2 5" xfId="28912" xr:uid="{012B4542-8B63-40B9-8216-21417B0C6D27}"/>
    <cellStyle name="Normal 8 2 3 5 3" xfId="5680" xr:uid="{00000000-0005-0000-0000-00009D540000}"/>
    <cellStyle name="Normal 8 2 3 5 3 2" xfId="22550" xr:uid="{00000000-0005-0000-0000-00009E540000}"/>
    <cellStyle name="Normal 8 2 3 5 3 2 2" xfId="39418" xr:uid="{D02BA436-E936-4A80-B205-E796551558A4}"/>
    <cellStyle name="Normal 8 2 3 5 3 3" xfId="14115" xr:uid="{00000000-0005-0000-0000-00009F540000}"/>
    <cellStyle name="Normal 8 2 3 5 3 4" xfId="30984" xr:uid="{3768555A-DF16-4FE5-A480-7B82D5F3498E}"/>
    <cellStyle name="Normal 8 2 3 5 4" xfId="18332" xr:uid="{00000000-0005-0000-0000-0000A0540000}"/>
    <cellStyle name="Normal 8 2 3 5 4 2" xfId="35201" xr:uid="{92DD8996-5DE8-47A8-965D-A45E0DFCE985}"/>
    <cellStyle name="Normal 8 2 3 5 5" xfId="9897" xr:uid="{00000000-0005-0000-0000-0000A1540000}"/>
    <cellStyle name="Normal 8 2 3 5 6" xfId="26767" xr:uid="{506E518D-BBEF-460E-B9BD-ED20E41F74BF}"/>
    <cellStyle name="Normal 8 2 3 6" xfId="1785" xr:uid="{00000000-0005-0000-0000-0000A2540000}"/>
    <cellStyle name="Normal 8 2 3 6 2" xfId="4015" xr:uid="{00000000-0005-0000-0000-0000A3540000}"/>
    <cellStyle name="Normal 8 2 3 6 2 2" xfId="8238" xr:uid="{00000000-0005-0000-0000-0000A4540000}"/>
    <cellStyle name="Normal 8 2 3 6 2 2 2" xfId="25108" xr:uid="{00000000-0005-0000-0000-0000A5540000}"/>
    <cellStyle name="Normal 8 2 3 6 2 2 2 2" xfId="41976" xr:uid="{524F2A5A-D7C0-43A5-9671-FA5B89192992}"/>
    <cellStyle name="Normal 8 2 3 6 2 2 3" xfId="16673" xr:uid="{00000000-0005-0000-0000-0000A6540000}"/>
    <cellStyle name="Normal 8 2 3 6 2 2 4" xfId="33542" xr:uid="{F59C9146-3DC9-41C5-BA4C-DC47DE16C77E}"/>
    <cellStyle name="Normal 8 2 3 6 2 3" xfId="20890" xr:uid="{00000000-0005-0000-0000-0000A7540000}"/>
    <cellStyle name="Normal 8 2 3 6 2 3 2" xfId="37759" xr:uid="{D8CAA7E7-145C-4B7E-88D8-CA82F4A7297D}"/>
    <cellStyle name="Normal 8 2 3 6 2 4" xfId="12455" xr:uid="{00000000-0005-0000-0000-0000A8540000}"/>
    <cellStyle name="Normal 8 2 3 6 2 5" xfId="29325" xr:uid="{9105F5E2-1430-4C28-94CA-A6AEAB77FDF7}"/>
    <cellStyle name="Normal 8 2 3 6 3" xfId="6093" xr:uid="{00000000-0005-0000-0000-0000A9540000}"/>
    <cellStyle name="Normal 8 2 3 6 3 2" xfId="22963" xr:uid="{00000000-0005-0000-0000-0000AA540000}"/>
    <cellStyle name="Normal 8 2 3 6 3 2 2" xfId="39831" xr:uid="{B59D306F-787C-4853-B43C-0890D0279C64}"/>
    <cellStyle name="Normal 8 2 3 6 3 3" xfId="14528" xr:uid="{00000000-0005-0000-0000-0000AB540000}"/>
    <cellStyle name="Normal 8 2 3 6 3 4" xfId="31397" xr:uid="{AD196632-339D-4E95-9958-E71C2E2A47C8}"/>
    <cellStyle name="Normal 8 2 3 6 4" xfId="18745" xr:uid="{00000000-0005-0000-0000-0000AC540000}"/>
    <cellStyle name="Normal 8 2 3 6 4 2" xfId="35614" xr:uid="{C65C8672-5D46-48ED-923C-6003E900D939}"/>
    <cellStyle name="Normal 8 2 3 6 5" xfId="10310" xr:uid="{00000000-0005-0000-0000-0000AD540000}"/>
    <cellStyle name="Normal 8 2 3 6 6" xfId="27180" xr:uid="{3D210D2D-0448-4EB5-9B4D-90B720CDF701}"/>
    <cellStyle name="Normal 8 2 3 7" xfId="2199" xr:uid="{00000000-0005-0000-0000-0000AE540000}"/>
    <cellStyle name="Normal 8 2 3 7 2" xfId="4428" xr:uid="{00000000-0005-0000-0000-0000AF540000}"/>
    <cellStyle name="Normal 8 2 3 7 2 2" xfId="8651" xr:uid="{00000000-0005-0000-0000-0000B0540000}"/>
    <cellStyle name="Normal 8 2 3 7 2 2 2" xfId="25521" xr:uid="{00000000-0005-0000-0000-0000B1540000}"/>
    <cellStyle name="Normal 8 2 3 7 2 2 2 2" xfId="42389" xr:uid="{BBE765D5-8D6C-42DF-AE62-A04DED7D0352}"/>
    <cellStyle name="Normal 8 2 3 7 2 2 3" xfId="17086" xr:uid="{00000000-0005-0000-0000-0000B2540000}"/>
    <cellStyle name="Normal 8 2 3 7 2 2 4" xfId="33955" xr:uid="{995260A7-CEF7-4976-A6E7-FE73C9663D68}"/>
    <cellStyle name="Normal 8 2 3 7 2 3" xfId="21303" xr:uid="{00000000-0005-0000-0000-0000B3540000}"/>
    <cellStyle name="Normal 8 2 3 7 2 3 2" xfId="38172" xr:uid="{5D557A76-2EB2-4FDD-A3EB-BE11B8B1EBB3}"/>
    <cellStyle name="Normal 8 2 3 7 2 4" xfId="12868" xr:uid="{00000000-0005-0000-0000-0000B4540000}"/>
    <cellStyle name="Normal 8 2 3 7 2 5" xfId="29738" xr:uid="{65E176E9-C375-4FC5-B95A-92FB291D9C1A}"/>
    <cellStyle name="Normal 8 2 3 7 3" xfId="6506" xr:uid="{00000000-0005-0000-0000-0000B5540000}"/>
    <cellStyle name="Normal 8 2 3 7 3 2" xfId="23376" xr:uid="{00000000-0005-0000-0000-0000B6540000}"/>
    <cellStyle name="Normal 8 2 3 7 3 2 2" xfId="40244" xr:uid="{DFABA08E-0075-4F0B-B3A7-2BB1F77F9605}"/>
    <cellStyle name="Normal 8 2 3 7 3 3" xfId="14941" xr:uid="{00000000-0005-0000-0000-0000B7540000}"/>
    <cellStyle name="Normal 8 2 3 7 3 4" xfId="31810" xr:uid="{0B69C2AB-81BB-4000-A753-254426EA5F72}"/>
    <cellStyle name="Normal 8 2 3 7 4" xfId="19158" xr:uid="{00000000-0005-0000-0000-0000B8540000}"/>
    <cellStyle name="Normal 8 2 3 7 4 2" xfId="36027" xr:uid="{0BCA6FFE-0593-457C-8787-F4F1BF8CB701}"/>
    <cellStyle name="Normal 8 2 3 7 5" xfId="10723" xr:uid="{00000000-0005-0000-0000-0000B9540000}"/>
    <cellStyle name="Normal 8 2 3 7 6" xfId="27593" xr:uid="{7A6034FA-ED0E-4802-98B9-A55B5E050225}"/>
    <cellStyle name="Normal 8 2 3 8" xfId="2635" xr:uid="{00000000-0005-0000-0000-0000BA540000}"/>
    <cellStyle name="Normal 8 2 3 8 2" xfId="6919" xr:uid="{00000000-0005-0000-0000-0000BB540000}"/>
    <cellStyle name="Normal 8 2 3 8 2 2" xfId="23789" xr:uid="{00000000-0005-0000-0000-0000BC540000}"/>
    <cellStyle name="Normal 8 2 3 8 2 2 2" xfId="40657" xr:uid="{5F01471A-1BEC-44C4-A4E4-9E142F3893D5}"/>
    <cellStyle name="Normal 8 2 3 8 2 3" xfId="15354" xr:uid="{00000000-0005-0000-0000-0000BD540000}"/>
    <cellStyle name="Normal 8 2 3 8 2 4" xfId="32223" xr:uid="{31C1C1CB-8030-400C-8992-631E040F8965}"/>
    <cellStyle name="Normal 8 2 3 8 3" xfId="19571" xr:uid="{00000000-0005-0000-0000-0000BE540000}"/>
    <cellStyle name="Normal 8 2 3 8 3 2" xfId="36440" xr:uid="{358B1EEA-6A60-4895-8F92-AE97E2E65F64}"/>
    <cellStyle name="Normal 8 2 3 8 4" xfId="11136" xr:uid="{00000000-0005-0000-0000-0000BF540000}"/>
    <cellStyle name="Normal 8 2 3 8 5" xfId="28006" xr:uid="{8BF96252-59C9-410D-A302-E20FEBF21CAD}"/>
    <cellStyle name="Normal 8 2 3 9" xfId="4854" xr:uid="{00000000-0005-0000-0000-0000C0540000}"/>
    <cellStyle name="Normal 8 2 3 9 2" xfId="21724" xr:uid="{00000000-0005-0000-0000-0000C1540000}"/>
    <cellStyle name="Normal 8 2 3 9 2 2" xfId="38592" xr:uid="{267BBE37-A846-4328-AD85-D1C101F42988}"/>
    <cellStyle name="Normal 8 2 3 9 3" xfId="13289" xr:uid="{00000000-0005-0000-0000-0000C2540000}"/>
    <cellStyle name="Normal 8 2 3 9 4" xfId="30158" xr:uid="{0392C238-161A-4030-86B6-4448D5BB816B}"/>
    <cellStyle name="Normal 8 2 4" xfId="492" xr:uid="{00000000-0005-0000-0000-0000C3540000}"/>
    <cellStyle name="Normal 8 2 4 10" xfId="9075" xr:uid="{00000000-0005-0000-0000-0000C4540000}"/>
    <cellStyle name="Normal 8 2 4 11" xfId="25945" xr:uid="{445EA052-E6CD-4F77-91D6-9E2DF9913D10}"/>
    <cellStyle name="Normal 8 2 4 2" xfId="493" xr:uid="{00000000-0005-0000-0000-0000C5540000}"/>
    <cellStyle name="Normal 8 2 4 2 10" xfId="25946" xr:uid="{2FC83ECD-A358-47B6-A002-9F6BF9FACF67}"/>
    <cellStyle name="Normal 8 2 4 2 2" xfId="960" xr:uid="{00000000-0005-0000-0000-0000C6540000}"/>
    <cellStyle name="Normal 8 2 4 2 2 2" xfId="3194" xr:uid="{00000000-0005-0000-0000-0000C7540000}"/>
    <cellStyle name="Normal 8 2 4 2 2 2 2" xfId="7417" xr:uid="{00000000-0005-0000-0000-0000C8540000}"/>
    <cellStyle name="Normal 8 2 4 2 2 2 2 2" xfId="24287" xr:uid="{00000000-0005-0000-0000-0000C9540000}"/>
    <cellStyle name="Normal 8 2 4 2 2 2 2 2 2" xfId="41155" xr:uid="{AE205000-EC60-4464-80DB-684161E2B9E7}"/>
    <cellStyle name="Normal 8 2 4 2 2 2 2 3" xfId="15852" xr:uid="{00000000-0005-0000-0000-0000CA540000}"/>
    <cellStyle name="Normal 8 2 4 2 2 2 2 4" xfId="32721" xr:uid="{C5F8B9EF-CA38-4B4D-9562-A5CE03EE78A2}"/>
    <cellStyle name="Normal 8 2 4 2 2 2 3" xfId="20069" xr:uid="{00000000-0005-0000-0000-0000CB540000}"/>
    <cellStyle name="Normal 8 2 4 2 2 2 3 2" xfId="36938" xr:uid="{5FCCDB33-699A-4BE4-9529-78025E526205}"/>
    <cellStyle name="Normal 8 2 4 2 2 2 4" xfId="11634" xr:uid="{00000000-0005-0000-0000-0000CC540000}"/>
    <cellStyle name="Normal 8 2 4 2 2 2 5" xfId="28504" xr:uid="{F6E54211-482C-40AB-9EEB-5BC11C59A8CE}"/>
    <cellStyle name="Normal 8 2 4 2 2 3" xfId="5272" xr:uid="{00000000-0005-0000-0000-0000CD540000}"/>
    <cellStyle name="Normal 8 2 4 2 2 3 2" xfId="22142" xr:uid="{00000000-0005-0000-0000-0000CE540000}"/>
    <cellStyle name="Normal 8 2 4 2 2 3 2 2" xfId="39010" xr:uid="{55F96FFC-AA21-4989-ADC3-C6AFE29BE07F}"/>
    <cellStyle name="Normal 8 2 4 2 2 3 3" xfId="13707" xr:uid="{00000000-0005-0000-0000-0000CF540000}"/>
    <cellStyle name="Normal 8 2 4 2 2 3 4" xfId="30576" xr:uid="{BF98399F-8485-497D-A3EC-48E55FC9C78D}"/>
    <cellStyle name="Normal 8 2 4 2 2 4" xfId="17924" xr:uid="{00000000-0005-0000-0000-0000D0540000}"/>
    <cellStyle name="Normal 8 2 4 2 2 4 2" xfId="34793" xr:uid="{02AAA766-9AFB-4921-9ECF-F78BA993117C}"/>
    <cellStyle name="Normal 8 2 4 2 2 5" xfId="9489" xr:uid="{00000000-0005-0000-0000-0000D1540000}"/>
    <cellStyle name="Normal 8 2 4 2 2 6" xfId="26359" xr:uid="{3F7565D0-5AE7-4430-B4E2-D11EF987B937}"/>
    <cellStyle name="Normal 8 2 4 2 3" xfId="1377" xr:uid="{00000000-0005-0000-0000-0000D2540000}"/>
    <cellStyle name="Normal 8 2 4 2 3 2" xfId="3607" xr:uid="{00000000-0005-0000-0000-0000D3540000}"/>
    <cellStyle name="Normal 8 2 4 2 3 2 2" xfId="7830" xr:uid="{00000000-0005-0000-0000-0000D4540000}"/>
    <cellStyle name="Normal 8 2 4 2 3 2 2 2" xfId="24700" xr:uid="{00000000-0005-0000-0000-0000D5540000}"/>
    <cellStyle name="Normal 8 2 4 2 3 2 2 2 2" xfId="41568" xr:uid="{95692021-D440-471C-834E-DAF2C6E6DFA6}"/>
    <cellStyle name="Normal 8 2 4 2 3 2 2 3" xfId="16265" xr:uid="{00000000-0005-0000-0000-0000D6540000}"/>
    <cellStyle name="Normal 8 2 4 2 3 2 2 4" xfId="33134" xr:uid="{29286F48-931E-4D96-BE47-3BEC9B9B261C}"/>
    <cellStyle name="Normal 8 2 4 2 3 2 3" xfId="20482" xr:uid="{00000000-0005-0000-0000-0000D7540000}"/>
    <cellStyle name="Normal 8 2 4 2 3 2 3 2" xfId="37351" xr:uid="{11B7E20C-CD24-4AC9-9BB7-382CF8A4AE2B}"/>
    <cellStyle name="Normal 8 2 4 2 3 2 4" xfId="12047" xr:uid="{00000000-0005-0000-0000-0000D8540000}"/>
    <cellStyle name="Normal 8 2 4 2 3 2 5" xfId="28917" xr:uid="{B9C6B94A-C336-45C7-8FA5-4E4CBF33AB12}"/>
    <cellStyle name="Normal 8 2 4 2 3 3" xfId="5685" xr:uid="{00000000-0005-0000-0000-0000D9540000}"/>
    <cellStyle name="Normal 8 2 4 2 3 3 2" xfId="22555" xr:uid="{00000000-0005-0000-0000-0000DA540000}"/>
    <cellStyle name="Normal 8 2 4 2 3 3 2 2" xfId="39423" xr:uid="{0AFB18E0-3C6F-484D-9A9C-D6C36C14302B}"/>
    <cellStyle name="Normal 8 2 4 2 3 3 3" xfId="14120" xr:uid="{00000000-0005-0000-0000-0000DB540000}"/>
    <cellStyle name="Normal 8 2 4 2 3 3 4" xfId="30989" xr:uid="{B6D3A2E8-3149-4291-85E7-7FFCA4E6CD8B}"/>
    <cellStyle name="Normal 8 2 4 2 3 4" xfId="18337" xr:uid="{00000000-0005-0000-0000-0000DC540000}"/>
    <cellStyle name="Normal 8 2 4 2 3 4 2" xfId="35206" xr:uid="{EC871CC8-4410-4E52-B0F8-D6C1063108EC}"/>
    <cellStyle name="Normal 8 2 4 2 3 5" xfId="9902" xr:uid="{00000000-0005-0000-0000-0000DD540000}"/>
    <cellStyle name="Normal 8 2 4 2 3 6" xfId="26772" xr:uid="{A6ADA071-FD90-4C2B-857D-066CEFB49730}"/>
    <cellStyle name="Normal 8 2 4 2 4" xfId="1790" xr:uid="{00000000-0005-0000-0000-0000DE540000}"/>
    <cellStyle name="Normal 8 2 4 2 4 2" xfId="4020" xr:uid="{00000000-0005-0000-0000-0000DF540000}"/>
    <cellStyle name="Normal 8 2 4 2 4 2 2" xfId="8243" xr:uid="{00000000-0005-0000-0000-0000E0540000}"/>
    <cellStyle name="Normal 8 2 4 2 4 2 2 2" xfId="25113" xr:uid="{00000000-0005-0000-0000-0000E1540000}"/>
    <cellStyle name="Normal 8 2 4 2 4 2 2 2 2" xfId="41981" xr:uid="{284E576F-8986-40CB-807F-BA6FA2B23849}"/>
    <cellStyle name="Normal 8 2 4 2 4 2 2 3" xfId="16678" xr:uid="{00000000-0005-0000-0000-0000E2540000}"/>
    <cellStyle name="Normal 8 2 4 2 4 2 2 4" xfId="33547" xr:uid="{6F1053E8-EDB7-442A-8BFD-A0C20C1DCEF6}"/>
    <cellStyle name="Normal 8 2 4 2 4 2 3" xfId="20895" xr:uid="{00000000-0005-0000-0000-0000E3540000}"/>
    <cellStyle name="Normal 8 2 4 2 4 2 3 2" xfId="37764" xr:uid="{2A786B86-E392-4E93-B908-A971B74F4DB3}"/>
    <cellStyle name="Normal 8 2 4 2 4 2 4" xfId="12460" xr:uid="{00000000-0005-0000-0000-0000E4540000}"/>
    <cellStyle name="Normal 8 2 4 2 4 2 5" xfId="29330" xr:uid="{283FBEF9-1AD6-4682-96EC-F643507058CA}"/>
    <cellStyle name="Normal 8 2 4 2 4 3" xfId="6098" xr:uid="{00000000-0005-0000-0000-0000E5540000}"/>
    <cellStyle name="Normal 8 2 4 2 4 3 2" xfId="22968" xr:uid="{00000000-0005-0000-0000-0000E6540000}"/>
    <cellStyle name="Normal 8 2 4 2 4 3 2 2" xfId="39836" xr:uid="{13AD2DA9-0FE3-4FAA-B373-17CF8F6A69A8}"/>
    <cellStyle name="Normal 8 2 4 2 4 3 3" xfId="14533" xr:uid="{00000000-0005-0000-0000-0000E7540000}"/>
    <cellStyle name="Normal 8 2 4 2 4 3 4" xfId="31402" xr:uid="{D21C2FF1-B150-47A6-A249-3845DEF05918}"/>
    <cellStyle name="Normal 8 2 4 2 4 4" xfId="18750" xr:uid="{00000000-0005-0000-0000-0000E8540000}"/>
    <cellStyle name="Normal 8 2 4 2 4 4 2" xfId="35619" xr:uid="{F0A4EDDD-5325-4406-ADC0-089C68F96A73}"/>
    <cellStyle name="Normal 8 2 4 2 4 5" xfId="10315" xr:uid="{00000000-0005-0000-0000-0000E9540000}"/>
    <cellStyle name="Normal 8 2 4 2 4 6" xfId="27185" xr:uid="{5543C51A-1128-4291-A549-11ADAA69C697}"/>
    <cellStyle name="Normal 8 2 4 2 5" xfId="2204" xr:uid="{00000000-0005-0000-0000-0000EA540000}"/>
    <cellStyle name="Normal 8 2 4 2 5 2" xfId="4433" xr:uid="{00000000-0005-0000-0000-0000EB540000}"/>
    <cellStyle name="Normal 8 2 4 2 5 2 2" xfId="8656" xr:uid="{00000000-0005-0000-0000-0000EC540000}"/>
    <cellStyle name="Normal 8 2 4 2 5 2 2 2" xfId="25526" xr:uid="{00000000-0005-0000-0000-0000ED540000}"/>
    <cellStyle name="Normal 8 2 4 2 5 2 2 2 2" xfId="42394" xr:uid="{6A326DBF-0247-450D-ABB1-410EE1827DCE}"/>
    <cellStyle name="Normal 8 2 4 2 5 2 2 3" xfId="17091" xr:uid="{00000000-0005-0000-0000-0000EE540000}"/>
    <cellStyle name="Normal 8 2 4 2 5 2 2 4" xfId="33960" xr:uid="{4BEA202D-CC6D-4407-91C3-2E36C9F52379}"/>
    <cellStyle name="Normal 8 2 4 2 5 2 3" xfId="21308" xr:uid="{00000000-0005-0000-0000-0000EF540000}"/>
    <cellStyle name="Normal 8 2 4 2 5 2 3 2" xfId="38177" xr:uid="{F6CDD514-F2DC-4FFE-ABEA-383238B7C67A}"/>
    <cellStyle name="Normal 8 2 4 2 5 2 4" xfId="12873" xr:uid="{00000000-0005-0000-0000-0000F0540000}"/>
    <cellStyle name="Normal 8 2 4 2 5 2 5" xfId="29743" xr:uid="{209C0D47-F2C3-447A-8AE0-25D1622F56BE}"/>
    <cellStyle name="Normal 8 2 4 2 5 3" xfId="6511" xr:uid="{00000000-0005-0000-0000-0000F1540000}"/>
    <cellStyle name="Normal 8 2 4 2 5 3 2" xfId="23381" xr:uid="{00000000-0005-0000-0000-0000F2540000}"/>
    <cellStyle name="Normal 8 2 4 2 5 3 2 2" xfId="40249" xr:uid="{9E5FD8B2-FAD1-4A35-A9B9-D8E01134A4E7}"/>
    <cellStyle name="Normal 8 2 4 2 5 3 3" xfId="14946" xr:uid="{00000000-0005-0000-0000-0000F3540000}"/>
    <cellStyle name="Normal 8 2 4 2 5 3 4" xfId="31815" xr:uid="{95EB986A-2664-4B71-9D12-771A4E18D147}"/>
    <cellStyle name="Normal 8 2 4 2 5 4" xfId="19163" xr:uid="{00000000-0005-0000-0000-0000F4540000}"/>
    <cellStyle name="Normal 8 2 4 2 5 4 2" xfId="36032" xr:uid="{140DA8BE-1BAE-44BC-992D-10652F49B438}"/>
    <cellStyle name="Normal 8 2 4 2 5 5" xfId="10728" xr:uid="{00000000-0005-0000-0000-0000F5540000}"/>
    <cellStyle name="Normal 8 2 4 2 5 6" xfId="27598" xr:uid="{DC27267B-51F2-4CDA-A5EC-C5DA4ECBBF81}"/>
    <cellStyle name="Normal 8 2 4 2 6" xfId="2640" xr:uid="{00000000-0005-0000-0000-0000F6540000}"/>
    <cellStyle name="Normal 8 2 4 2 6 2" xfId="6924" xr:uid="{00000000-0005-0000-0000-0000F7540000}"/>
    <cellStyle name="Normal 8 2 4 2 6 2 2" xfId="23794" xr:uid="{00000000-0005-0000-0000-0000F8540000}"/>
    <cellStyle name="Normal 8 2 4 2 6 2 2 2" xfId="40662" xr:uid="{7A843DA6-E7D3-411C-95CF-EA801CCD7078}"/>
    <cellStyle name="Normal 8 2 4 2 6 2 3" xfId="15359" xr:uid="{00000000-0005-0000-0000-0000F9540000}"/>
    <cellStyle name="Normal 8 2 4 2 6 2 4" xfId="32228" xr:uid="{3B0E0FC8-E73A-4A12-9EEC-3B3845F5827D}"/>
    <cellStyle name="Normal 8 2 4 2 6 3" xfId="19576" xr:uid="{00000000-0005-0000-0000-0000FA540000}"/>
    <cellStyle name="Normal 8 2 4 2 6 3 2" xfId="36445" xr:uid="{07E71019-7618-4B3F-9873-1613E7A233BA}"/>
    <cellStyle name="Normal 8 2 4 2 6 4" xfId="11141" xr:uid="{00000000-0005-0000-0000-0000FB540000}"/>
    <cellStyle name="Normal 8 2 4 2 6 5" xfId="28011" xr:uid="{ACAD5345-A7E0-4A2D-AA1F-67A3EAF1AB71}"/>
    <cellStyle name="Normal 8 2 4 2 7" xfId="4859" xr:uid="{00000000-0005-0000-0000-0000FC540000}"/>
    <cellStyle name="Normal 8 2 4 2 7 2" xfId="21729" xr:uid="{00000000-0005-0000-0000-0000FD540000}"/>
    <cellStyle name="Normal 8 2 4 2 7 2 2" xfId="38597" xr:uid="{05FD0EA5-A8F9-4D4F-A771-DEFDE2C88738}"/>
    <cellStyle name="Normal 8 2 4 2 7 3" xfId="13294" xr:uid="{00000000-0005-0000-0000-0000FE540000}"/>
    <cellStyle name="Normal 8 2 4 2 7 4" xfId="30163" xr:uid="{9EFFC631-BDF0-442A-BAA1-024667DFBF4D}"/>
    <cellStyle name="Normal 8 2 4 2 8" xfId="17511" xr:uid="{00000000-0005-0000-0000-0000FF540000}"/>
    <cellStyle name="Normal 8 2 4 2 8 2" xfId="34380" xr:uid="{BB2C0E51-33B6-4CCE-8818-7047026C0B66}"/>
    <cellStyle name="Normal 8 2 4 2 9" xfId="9076" xr:uid="{00000000-0005-0000-0000-000000550000}"/>
    <cellStyle name="Normal 8 2 4 3" xfId="959" xr:uid="{00000000-0005-0000-0000-000001550000}"/>
    <cellStyle name="Normal 8 2 4 3 2" xfId="3193" xr:uid="{00000000-0005-0000-0000-000002550000}"/>
    <cellStyle name="Normal 8 2 4 3 2 2" xfId="7416" xr:uid="{00000000-0005-0000-0000-000003550000}"/>
    <cellStyle name="Normal 8 2 4 3 2 2 2" xfId="24286" xr:uid="{00000000-0005-0000-0000-000004550000}"/>
    <cellStyle name="Normal 8 2 4 3 2 2 2 2" xfId="41154" xr:uid="{4F9F599C-D834-45FF-AA79-C38779CF9D75}"/>
    <cellStyle name="Normal 8 2 4 3 2 2 3" xfId="15851" xr:uid="{00000000-0005-0000-0000-000005550000}"/>
    <cellStyle name="Normal 8 2 4 3 2 2 4" xfId="32720" xr:uid="{F5A69D4F-4C0C-4350-BB70-AB7F95C67C5E}"/>
    <cellStyle name="Normal 8 2 4 3 2 3" xfId="20068" xr:uid="{00000000-0005-0000-0000-000006550000}"/>
    <cellStyle name="Normal 8 2 4 3 2 3 2" xfId="36937" xr:uid="{ABAF76BD-4AA0-413C-B352-09E6DF2BE25E}"/>
    <cellStyle name="Normal 8 2 4 3 2 4" xfId="11633" xr:uid="{00000000-0005-0000-0000-000007550000}"/>
    <cellStyle name="Normal 8 2 4 3 2 5" xfId="28503" xr:uid="{02544160-21C3-4676-8718-A1D3A02ECD58}"/>
    <cellStyle name="Normal 8 2 4 3 3" xfId="5271" xr:uid="{00000000-0005-0000-0000-000008550000}"/>
    <cellStyle name="Normal 8 2 4 3 3 2" xfId="22141" xr:uid="{00000000-0005-0000-0000-000009550000}"/>
    <cellStyle name="Normal 8 2 4 3 3 2 2" xfId="39009" xr:uid="{BD895620-B70D-43BC-A8A9-D33C8A304734}"/>
    <cellStyle name="Normal 8 2 4 3 3 3" xfId="13706" xr:uid="{00000000-0005-0000-0000-00000A550000}"/>
    <cellStyle name="Normal 8 2 4 3 3 4" xfId="30575" xr:uid="{3ED68FB5-3187-410B-B7EF-9FDD2BB9DEDA}"/>
    <cellStyle name="Normal 8 2 4 3 4" xfId="17923" xr:uid="{00000000-0005-0000-0000-00000B550000}"/>
    <cellStyle name="Normal 8 2 4 3 4 2" xfId="34792" xr:uid="{C01A7714-D50F-4EB0-9F41-0D77D7095D28}"/>
    <cellStyle name="Normal 8 2 4 3 5" xfId="9488" xr:uid="{00000000-0005-0000-0000-00000C550000}"/>
    <cellStyle name="Normal 8 2 4 3 6" xfId="26358" xr:uid="{D01B89C8-09D3-404B-BF76-9F6F2B249262}"/>
    <cellStyle name="Normal 8 2 4 4" xfId="1376" xr:uid="{00000000-0005-0000-0000-00000D550000}"/>
    <cellStyle name="Normal 8 2 4 4 2" xfId="3606" xr:uid="{00000000-0005-0000-0000-00000E550000}"/>
    <cellStyle name="Normal 8 2 4 4 2 2" xfId="7829" xr:uid="{00000000-0005-0000-0000-00000F550000}"/>
    <cellStyle name="Normal 8 2 4 4 2 2 2" xfId="24699" xr:uid="{00000000-0005-0000-0000-000010550000}"/>
    <cellStyle name="Normal 8 2 4 4 2 2 2 2" xfId="41567" xr:uid="{7A5FA0CF-D165-4D16-AB66-3B28FF0C1DB5}"/>
    <cellStyle name="Normal 8 2 4 4 2 2 3" xfId="16264" xr:uid="{00000000-0005-0000-0000-000011550000}"/>
    <cellStyle name="Normal 8 2 4 4 2 2 4" xfId="33133" xr:uid="{6DDC650A-39B2-4287-8A3C-159FC7EDC264}"/>
    <cellStyle name="Normal 8 2 4 4 2 3" xfId="20481" xr:uid="{00000000-0005-0000-0000-000012550000}"/>
    <cellStyle name="Normal 8 2 4 4 2 3 2" xfId="37350" xr:uid="{9E920CB0-D56E-494D-9D35-C3C322738711}"/>
    <cellStyle name="Normal 8 2 4 4 2 4" xfId="12046" xr:uid="{00000000-0005-0000-0000-000013550000}"/>
    <cellStyle name="Normal 8 2 4 4 2 5" xfId="28916" xr:uid="{0C4F81F0-F850-4FF8-9926-8E7D38F06182}"/>
    <cellStyle name="Normal 8 2 4 4 3" xfId="5684" xr:uid="{00000000-0005-0000-0000-000014550000}"/>
    <cellStyle name="Normal 8 2 4 4 3 2" xfId="22554" xr:uid="{00000000-0005-0000-0000-000015550000}"/>
    <cellStyle name="Normal 8 2 4 4 3 2 2" xfId="39422" xr:uid="{40FCAF91-FA18-4158-947E-31E32BEE9D09}"/>
    <cellStyle name="Normal 8 2 4 4 3 3" xfId="14119" xr:uid="{00000000-0005-0000-0000-000016550000}"/>
    <cellStyle name="Normal 8 2 4 4 3 4" xfId="30988" xr:uid="{3CE2FE35-104D-4347-9455-928690711A5C}"/>
    <cellStyle name="Normal 8 2 4 4 4" xfId="18336" xr:uid="{00000000-0005-0000-0000-000017550000}"/>
    <cellStyle name="Normal 8 2 4 4 4 2" xfId="35205" xr:uid="{16DD433A-9963-4986-8086-F463032C0E91}"/>
    <cellStyle name="Normal 8 2 4 4 5" xfId="9901" xr:uid="{00000000-0005-0000-0000-000018550000}"/>
    <cellStyle name="Normal 8 2 4 4 6" xfId="26771" xr:uid="{7497F030-572B-43C4-AC80-EEDB3C171429}"/>
    <cellStyle name="Normal 8 2 4 5" xfId="1789" xr:uid="{00000000-0005-0000-0000-000019550000}"/>
    <cellStyle name="Normal 8 2 4 5 2" xfId="4019" xr:uid="{00000000-0005-0000-0000-00001A550000}"/>
    <cellStyle name="Normal 8 2 4 5 2 2" xfId="8242" xr:uid="{00000000-0005-0000-0000-00001B550000}"/>
    <cellStyle name="Normal 8 2 4 5 2 2 2" xfId="25112" xr:uid="{00000000-0005-0000-0000-00001C550000}"/>
    <cellStyle name="Normal 8 2 4 5 2 2 2 2" xfId="41980" xr:uid="{03E43654-5422-4AEF-B867-3D2AC6DC005E}"/>
    <cellStyle name="Normal 8 2 4 5 2 2 3" xfId="16677" xr:uid="{00000000-0005-0000-0000-00001D550000}"/>
    <cellStyle name="Normal 8 2 4 5 2 2 4" xfId="33546" xr:uid="{D175BC68-9A7F-428B-B52C-A189802E325B}"/>
    <cellStyle name="Normal 8 2 4 5 2 3" xfId="20894" xr:uid="{00000000-0005-0000-0000-00001E550000}"/>
    <cellStyle name="Normal 8 2 4 5 2 3 2" xfId="37763" xr:uid="{F8F89CDE-D94A-4C57-BA5D-FC3931C03340}"/>
    <cellStyle name="Normal 8 2 4 5 2 4" xfId="12459" xr:uid="{00000000-0005-0000-0000-00001F550000}"/>
    <cellStyle name="Normal 8 2 4 5 2 5" xfId="29329" xr:uid="{8F5C304D-00B7-4F20-AD63-CE67FA8785EA}"/>
    <cellStyle name="Normal 8 2 4 5 3" xfId="6097" xr:uid="{00000000-0005-0000-0000-000020550000}"/>
    <cellStyle name="Normal 8 2 4 5 3 2" xfId="22967" xr:uid="{00000000-0005-0000-0000-000021550000}"/>
    <cellStyle name="Normal 8 2 4 5 3 2 2" xfId="39835" xr:uid="{B3D78085-8921-4CB7-8E10-128F52DEC616}"/>
    <cellStyle name="Normal 8 2 4 5 3 3" xfId="14532" xr:uid="{00000000-0005-0000-0000-000022550000}"/>
    <cellStyle name="Normal 8 2 4 5 3 4" xfId="31401" xr:uid="{512F8966-4D71-4727-8566-069410941EE2}"/>
    <cellStyle name="Normal 8 2 4 5 4" xfId="18749" xr:uid="{00000000-0005-0000-0000-000023550000}"/>
    <cellStyle name="Normal 8 2 4 5 4 2" xfId="35618" xr:uid="{A558680C-A59B-410F-877D-BA4D423277F6}"/>
    <cellStyle name="Normal 8 2 4 5 5" xfId="10314" xr:uid="{00000000-0005-0000-0000-000024550000}"/>
    <cellStyle name="Normal 8 2 4 5 6" xfId="27184" xr:uid="{4134E2A4-340C-499E-948C-B4B26E3A60C0}"/>
    <cellStyle name="Normal 8 2 4 6" xfId="2203" xr:uid="{00000000-0005-0000-0000-000025550000}"/>
    <cellStyle name="Normal 8 2 4 6 2" xfId="4432" xr:uid="{00000000-0005-0000-0000-000026550000}"/>
    <cellStyle name="Normal 8 2 4 6 2 2" xfId="8655" xr:uid="{00000000-0005-0000-0000-000027550000}"/>
    <cellStyle name="Normal 8 2 4 6 2 2 2" xfId="25525" xr:uid="{00000000-0005-0000-0000-000028550000}"/>
    <cellStyle name="Normal 8 2 4 6 2 2 2 2" xfId="42393" xr:uid="{2D2DD7AB-675C-4E85-BF09-A1F2777B4C59}"/>
    <cellStyle name="Normal 8 2 4 6 2 2 3" xfId="17090" xr:uid="{00000000-0005-0000-0000-000029550000}"/>
    <cellStyle name="Normal 8 2 4 6 2 2 4" xfId="33959" xr:uid="{67F1969E-E00C-424C-AF88-D88AE2307933}"/>
    <cellStyle name="Normal 8 2 4 6 2 3" xfId="21307" xr:uid="{00000000-0005-0000-0000-00002A550000}"/>
    <cellStyle name="Normal 8 2 4 6 2 3 2" xfId="38176" xr:uid="{B07D0BAF-522E-4007-822F-5F0E92860978}"/>
    <cellStyle name="Normal 8 2 4 6 2 4" xfId="12872" xr:uid="{00000000-0005-0000-0000-00002B550000}"/>
    <cellStyle name="Normal 8 2 4 6 2 5" xfId="29742" xr:uid="{F69FA9AA-63C3-47B1-BCDC-48FCF7FF3630}"/>
    <cellStyle name="Normal 8 2 4 6 3" xfId="6510" xr:uid="{00000000-0005-0000-0000-00002C550000}"/>
    <cellStyle name="Normal 8 2 4 6 3 2" xfId="23380" xr:uid="{00000000-0005-0000-0000-00002D550000}"/>
    <cellStyle name="Normal 8 2 4 6 3 2 2" xfId="40248" xr:uid="{A4D4615D-4E0E-42B7-ABCF-E1819AC38FC8}"/>
    <cellStyle name="Normal 8 2 4 6 3 3" xfId="14945" xr:uid="{00000000-0005-0000-0000-00002E550000}"/>
    <cellStyle name="Normal 8 2 4 6 3 4" xfId="31814" xr:uid="{E0978489-739B-4958-BB27-2F328D488535}"/>
    <cellStyle name="Normal 8 2 4 6 4" xfId="19162" xr:uid="{00000000-0005-0000-0000-00002F550000}"/>
    <cellStyle name="Normal 8 2 4 6 4 2" xfId="36031" xr:uid="{A10C1283-9A24-4B66-B2B6-75313BB17A71}"/>
    <cellStyle name="Normal 8 2 4 6 5" xfId="10727" xr:uid="{00000000-0005-0000-0000-000030550000}"/>
    <cellStyle name="Normal 8 2 4 6 6" xfId="27597" xr:uid="{1CD051A0-13E8-454E-9C6A-1C5CAF8E219A}"/>
    <cellStyle name="Normal 8 2 4 7" xfId="2639" xr:uid="{00000000-0005-0000-0000-000031550000}"/>
    <cellStyle name="Normal 8 2 4 7 2" xfId="6923" xr:uid="{00000000-0005-0000-0000-000032550000}"/>
    <cellStyle name="Normal 8 2 4 7 2 2" xfId="23793" xr:uid="{00000000-0005-0000-0000-000033550000}"/>
    <cellStyle name="Normal 8 2 4 7 2 2 2" xfId="40661" xr:uid="{392E1681-FB28-40B4-B9CB-8202C85EB38A}"/>
    <cellStyle name="Normal 8 2 4 7 2 3" xfId="15358" xr:uid="{00000000-0005-0000-0000-000034550000}"/>
    <cellStyle name="Normal 8 2 4 7 2 4" xfId="32227" xr:uid="{6FF8706B-2556-44A0-A88A-4DBBCA851DB5}"/>
    <cellStyle name="Normal 8 2 4 7 3" xfId="19575" xr:uid="{00000000-0005-0000-0000-000035550000}"/>
    <cellStyle name="Normal 8 2 4 7 3 2" xfId="36444" xr:uid="{E43C70A7-F210-41F6-B576-665D8762A36E}"/>
    <cellStyle name="Normal 8 2 4 7 4" xfId="11140" xr:uid="{00000000-0005-0000-0000-000036550000}"/>
    <cellStyle name="Normal 8 2 4 7 5" xfId="28010" xr:uid="{FEE3AC5D-1F2D-4F6E-9CB9-FAC5353E3A0A}"/>
    <cellStyle name="Normal 8 2 4 8" xfId="4858" xr:uid="{00000000-0005-0000-0000-000037550000}"/>
    <cellStyle name="Normal 8 2 4 8 2" xfId="21728" xr:uid="{00000000-0005-0000-0000-000038550000}"/>
    <cellStyle name="Normal 8 2 4 8 2 2" xfId="38596" xr:uid="{5C8D857A-BA88-46CB-A0A8-640ED97047BC}"/>
    <cellStyle name="Normal 8 2 4 8 3" xfId="13293" xr:uid="{00000000-0005-0000-0000-000039550000}"/>
    <cellStyle name="Normal 8 2 4 8 4" xfId="30162" xr:uid="{DBB4D64B-0151-4AC5-A6D4-8A74BA4B26D4}"/>
    <cellStyle name="Normal 8 2 4 9" xfId="17510" xr:uid="{00000000-0005-0000-0000-00003A550000}"/>
    <cellStyle name="Normal 8 2 4 9 2" xfId="34379" xr:uid="{BAAA5540-30E6-47D2-9CE3-B6FD1A2E929B}"/>
    <cellStyle name="Normal 8 2 5" xfId="494" xr:uid="{00000000-0005-0000-0000-00003B550000}"/>
    <cellStyle name="Normal 8 2 5 10" xfId="25947" xr:uid="{1009CBBC-95AA-4451-976A-57A8EC8BD76D}"/>
    <cellStyle name="Normal 8 2 5 2" xfId="961" xr:uid="{00000000-0005-0000-0000-00003C550000}"/>
    <cellStyle name="Normal 8 2 5 2 2" xfId="3195" xr:uid="{00000000-0005-0000-0000-00003D550000}"/>
    <cellStyle name="Normal 8 2 5 2 2 2" xfId="7418" xr:uid="{00000000-0005-0000-0000-00003E550000}"/>
    <cellStyle name="Normal 8 2 5 2 2 2 2" xfId="24288" xr:uid="{00000000-0005-0000-0000-00003F550000}"/>
    <cellStyle name="Normal 8 2 5 2 2 2 2 2" xfId="41156" xr:uid="{F350F52A-E094-49FF-BE57-6218CD503740}"/>
    <cellStyle name="Normal 8 2 5 2 2 2 3" xfId="15853" xr:uid="{00000000-0005-0000-0000-000040550000}"/>
    <cellStyle name="Normal 8 2 5 2 2 2 4" xfId="32722" xr:uid="{0D6C6469-C5FF-41C0-A503-182E2D5D1FFE}"/>
    <cellStyle name="Normal 8 2 5 2 2 3" xfId="20070" xr:uid="{00000000-0005-0000-0000-000041550000}"/>
    <cellStyle name="Normal 8 2 5 2 2 3 2" xfId="36939" xr:uid="{5600BFA8-5280-4EC4-927E-16E475696CDF}"/>
    <cellStyle name="Normal 8 2 5 2 2 4" xfId="11635" xr:uid="{00000000-0005-0000-0000-000042550000}"/>
    <cellStyle name="Normal 8 2 5 2 2 5" xfId="28505" xr:uid="{3BD5AD0F-0AB5-4CA1-823A-737E8FBE9F51}"/>
    <cellStyle name="Normal 8 2 5 2 3" xfId="5273" xr:uid="{00000000-0005-0000-0000-000043550000}"/>
    <cellStyle name="Normal 8 2 5 2 3 2" xfId="22143" xr:uid="{00000000-0005-0000-0000-000044550000}"/>
    <cellStyle name="Normal 8 2 5 2 3 2 2" xfId="39011" xr:uid="{218747C3-F85E-4F87-A75C-DC9477A5F5F9}"/>
    <cellStyle name="Normal 8 2 5 2 3 3" xfId="13708" xr:uid="{00000000-0005-0000-0000-000045550000}"/>
    <cellStyle name="Normal 8 2 5 2 3 4" xfId="30577" xr:uid="{A930FCC5-BDD8-4CDC-8191-2800887400C1}"/>
    <cellStyle name="Normal 8 2 5 2 4" xfId="17925" xr:uid="{00000000-0005-0000-0000-000046550000}"/>
    <cellStyle name="Normal 8 2 5 2 4 2" xfId="34794" xr:uid="{F634B8BF-3B8F-4B43-9D70-DC721574D71A}"/>
    <cellStyle name="Normal 8 2 5 2 5" xfId="9490" xr:uid="{00000000-0005-0000-0000-000047550000}"/>
    <cellStyle name="Normal 8 2 5 2 6" xfId="26360" xr:uid="{43268BD7-15E9-4DA3-AB8F-69E40B55EBAF}"/>
    <cellStyle name="Normal 8 2 5 3" xfId="1378" xr:uid="{00000000-0005-0000-0000-000048550000}"/>
    <cellStyle name="Normal 8 2 5 3 2" xfId="3608" xr:uid="{00000000-0005-0000-0000-000049550000}"/>
    <cellStyle name="Normal 8 2 5 3 2 2" xfId="7831" xr:uid="{00000000-0005-0000-0000-00004A550000}"/>
    <cellStyle name="Normal 8 2 5 3 2 2 2" xfId="24701" xr:uid="{00000000-0005-0000-0000-00004B550000}"/>
    <cellStyle name="Normal 8 2 5 3 2 2 2 2" xfId="41569" xr:uid="{EEDCA468-50B7-4BD5-A23D-89BF7B63BE80}"/>
    <cellStyle name="Normal 8 2 5 3 2 2 3" xfId="16266" xr:uid="{00000000-0005-0000-0000-00004C550000}"/>
    <cellStyle name="Normal 8 2 5 3 2 2 4" xfId="33135" xr:uid="{B3A2C575-6EFC-40D4-9507-BB62FA91F70F}"/>
    <cellStyle name="Normal 8 2 5 3 2 3" xfId="20483" xr:uid="{00000000-0005-0000-0000-00004D550000}"/>
    <cellStyle name="Normal 8 2 5 3 2 3 2" xfId="37352" xr:uid="{5A90D1F2-0FB2-41A4-B11E-F24B6DF4EA74}"/>
    <cellStyle name="Normal 8 2 5 3 2 4" xfId="12048" xr:uid="{00000000-0005-0000-0000-00004E550000}"/>
    <cellStyle name="Normal 8 2 5 3 2 5" xfId="28918" xr:uid="{1DCEE408-EF02-42C0-9252-BD8E306FB3AF}"/>
    <cellStyle name="Normal 8 2 5 3 3" xfId="5686" xr:uid="{00000000-0005-0000-0000-00004F550000}"/>
    <cellStyle name="Normal 8 2 5 3 3 2" xfId="22556" xr:uid="{00000000-0005-0000-0000-000050550000}"/>
    <cellStyle name="Normal 8 2 5 3 3 2 2" xfId="39424" xr:uid="{E0AC74C2-980D-4C86-9759-0DEDA785AD96}"/>
    <cellStyle name="Normal 8 2 5 3 3 3" xfId="14121" xr:uid="{00000000-0005-0000-0000-000051550000}"/>
    <cellStyle name="Normal 8 2 5 3 3 4" xfId="30990" xr:uid="{56CBBE22-3BA2-473D-8467-31384232237C}"/>
    <cellStyle name="Normal 8 2 5 3 4" xfId="18338" xr:uid="{00000000-0005-0000-0000-000052550000}"/>
    <cellStyle name="Normal 8 2 5 3 4 2" xfId="35207" xr:uid="{09B88268-B8E2-4E78-8B60-35D8CE293790}"/>
    <cellStyle name="Normal 8 2 5 3 5" xfId="9903" xr:uid="{00000000-0005-0000-0000-000053550000}"/>
    <cellStyle name="Normal 8 2 5 3 6" xfId="26773" xr:uid="{4A717FC3-A158-4F5C-BF90-9C2BE59C1054}"/>
    <cellStyle name="Normal 8 2 5 4" xfId="1791" xr:uid="{00000000-0005-0000-0000-000054550000}"/>
    <cellStyle name="Normal 8 2 5 4 2" xfId="4021" xr:uid="{00000000-0005-0000-0000-000055550000}"/>
    <cellStyle name="Normal 8 2 5 4 2 2" xfId="8244" xr:uid="{00000000-0005-0000-0000-000056550000}"/>
    <cellStyle name="Normal 8 2 5 4 2 2 2" xfId="25114" xr:uid="{00000000-0005-0000-0000-000057550000}"/>
    <cellStyle name="Normal 8 2 5 4 2 2 2 2" xfId="41982" xr:uid="{9844BB0C-3620-4B43-839B-45D60525E612}"/>
    <cellStyle name="Normal 8 2 5 4 2 2 3" xfId="16679" xr:uid="{00000000-0005-0000-0000-000058550000}"/>
    <cellStyle name="Normal 8 2 5 4 2 2 4" xfId="33548" xr:uid="{2EF3D9E8-818F-4412-A281-9AA53C53B884}"/>
    <cellStyle name="Normal 8 2 5 4 2 3" xfId="20896" xr:uid="{00000000-0005-0000-0000-000059550000}"/>
    <cellStyle name="Normal 8 2 5 4 2 3 2" xfId="37765" xr:uid="{CE535C47-F6A3-466B-A651-39B1699F27C5}"/>
    <cellStyle name="Normal 8 2 5 4 2 4" xfId="12461" xr:uid="{00000000-0005-0000-0000-00005A550000}"/>
    <cellStyle name="Normal 8 2 5 4 2 5" xfId="29331" xr:uid="{4D2C2AA5-7394-426C-A3A0-2B7F99C3DC3D}"/>
    <cellStyle name="Normal 8 2 5 4 3" xfId="6099" xr:uid="{00000000-0005-0000-0000-00005B550000}"/>
    <cellStyle name="Normal 8 2 5 4 3 2" xfId="22969" xr:uid="{00000000-0005-0000-0000-00005C550000}"/>
    <cellStyle name="Normal 8 2 5 4 3 2 2" xfId="39837" xr:uid="{FCA447B4-6B9F-4A03-AE27-E1222EE8EFC6}"/>
    <cellStyle name="Normal 8 2 5 4 3 3" xfId="14534" xr:uid="{00000000-0005-0000-0000-00005D550000}"/>
    <cellStyle name="Normal 8 2 5 4 3 4" xfId="31403" xr:uid="{772858F6-A69E-4231-BB73-6913F3F409F9}"/>
    <cellStyle name="Normal 8 2 5 4 4" xfId="18751" xr:uid="{00000000-0005-0000-0000-00005E550000}"/>
    <cellStyle name="Normal 8 2 5 4 4 2" xfId="35620" xr:uid="{AB942F2F-0A41-4D92-BCD2-708C65916E24}"/>
    <cellStyle name="Normal 8 2 5 4 5" xfId="10316" xr:uid="{00000000-0005-0000-0000-00005F550000}"/>
    <cellStyle name="Normal 8 2 5 4 6" xfId="27186" xr:uid="{A7D9443C-C3C3-48F9-A50A-F412DD442A79}"/>
    <cellStyle name="Normal 8 2 5 5" xfId="2205" xr:uid="{00000000-0005-0000-0000-000060550000}"/>
    <cellStyle name="Normal 8 2 5 5 2" xfId="4434" xr:uid="{00000000-0005-0000-0000-000061550000}"/>
    <cellStyle name="Normal 8 2 5 5 2 2" xfId="8657" xr:uid="{00000000-0005-0000-0000-000062550000}"/>
    <cellStyle name="Normal 8 2 5 5 2 2 2" xfId="25527" xr:uid="{00000000-0005-0000-0000-000063550000}"/>
    <cellStyle name="Normal 8 2 5 5 2 2 2 2" xfId="42395" xr:uid="{14D9C631-A170-498D-8093-F375308D88CE}"/>
    <cellStyle name="Normal 8 2 5 5 2 2 3" xfId="17092" xr:uid="{00000000-0005-0000-0000-000064550000}"/>
    <cellStyle name="Normal 8 2 5 5 2 2 4" xfId="33961" xr:uid="{6A8231CB-09C9-40E2-8A4B-B5AFCA25BE1A}"/>
    <cellStyle name="Normal 8 2 5 5 2 3" xfId="21309" xr:uid="{00000000-0005-0000-0000-000065550000}"/>
    <cellStyle name="Normal 8 2 5 5 2 3 2" xfId="38178" xr:uid="{CFD91094-6E0D-49D6-B083-E7CD458AA87F}"/>
    <cellStyle name="Normal 8 2 5 5 2 4" xfId="12874" xr:uid="{00000000-0005-0000-0000-000066550000}"/>
    <cellStyle name="Normal 8 2 5 5 2 5" xfId="29744" xr:uid="{06409164-9818-4C81-8E03-43D3AC57576E}"/>
    <cellStyle name="Normal 8 2 5 5 3" xfId="6512" xr:uid="{00000000-0005-0000-0000-000067550000}"/>
    <cellStyle name="Normal 8 2 5 5 3 2" xfId="23382" xr:uid="{00000000-0005-0000-0000-000068550000}"/>
    <cellStyle name="Normal 8 2 5 5 3 2 2" xfId="40250" xr:uid="{BD902B17-963C-4E60-A62A-76FE9D56C923}"/>
    <cellStyle name="Normal 8 2 5 5 3 3" xfId="14947" xr:uid="{00000000-0005-0000-0000-000069550000}"/>
    <cellStyle name="Normal 8 2 5 5 3 4" xfId="31816" xr:uid="{F30BE416-B744-41DF-96B3-FE426E2BF1DB}"/>
    <cellStyle name="Normal 8 2 5 5 4" xfId="19164" xr:uid="{00000000-0005-0000-0000-00006A550000}"/>
    <cellStyle name="Normal 8 2 5 5 4 2" xfId="36033" xr:uid="{472723D4-30B4-4684-9E0D-9587D7092031}"/>
    <cellStyle name="Normal 8 2 5 5 5" xfId="10729" xr:uid="{00000000-0005-0000-0000-00006B550000}"/>
    <cellStyle name="Normal 8 2 5 5 6" xfId="27599" xr:uid="{1ACD05A4-D0EC-4550-8EC5-B4272BF34FC0}"/>
    <cellStyle name="Normal 8 2 5 6" xfId="2641" xr:uid="{00000000-0005-0000-0000-00006C550000}"/>
    <cellStyle name="Normal 8 2 5 6 2" xfId="6925" xr:uid="{00000000-0005-0000-0000-00006D550000}"/>
    <cellStyle name="Normal 8 2 5 6 2 2" xfId="23795" xr:uid="{00000000-0005-0000-0000-00006E550000}"/>
    <cellStyle name="Normal 8 2 5 6 2 2 2" xfId="40663" xr:uid="{931C0986-1668-4FE3-82F0-5C0CED1EABFD}"/>
    <cellStyle name="Normal 8 2 5 6 2 3" xfId="15360" xr:uid="{00000000-0005-0000-0000-00006F550000}"/>
    <cellStyle name="Normal 8 2 5 6 2 4" xfId="32229" xr:uid="{D1AB653E-6127-405D-AB22-294B31C33178}"/>
    <cellStyle name="Normal 8 2 5 6 3" xfId="19577" xr:uid="{00000000-0005-0000-0000-000070550000}"/>
    <cellStyle name="Normal 8 2 5 6 3 2" xfId="36446" xr:uid="{3A296603-E5E1-4C00-A7FB-80D1A7EBFF9C}"/>
    <cellStyle name="Normal 8 2 5 6 4" xfId="11142" xr:uid="{00000000-0005-0000-0000-000071550000}"/>
    <cellStyle name="Normal 8 2 5 6 5" xfId="28012" xr:uid="{2874332C-9ACE-4AE2-AB14-9D93AB9227E3}"/>
    <cellStyle name="Normal 8 2 5 7" xfId="4860" xr:uid="{00000000-0005-0000-0000-000072550000}"/>
    <cellStyle name="Normal 8 2 5 7 2" xfId="21730" xr:uid="{00000000-0005-0000-0000-000073550000}"/>
    <cellStyle name="Normal 8 2 5 7 2 2" xfId="38598" xr:uid="{44DEBBA6-22B9-4BBD-B892-A2F2EFE35AD7}"/>
    <cellStyle name="Normal 8 2 5 7 3" xfId="13295" xr:uid="{00000000-0005-0000-0000-000074550000}"/>
    <cellStyle name="Normal 8 2 5 7 4" xfId="30164" xr:uid="{6B1354DA-B55F-4778-AFC5-4A4994E6EA66}"/>
    <cellStyle name="Normal 8 2 5 8" xfId="17512" xr:uid="{00000000-0005-0000-0000-000075550000}"/>
    <cellStyle name="Normal 8 2 5 8 2" xfId="34381" xr:uid="{BB462BC6-E5B7-4BB8-A306-EFC63927122A}"/>
    <cellStyle name="Normal 8 2 5 9" xfId="9077" xr:uid="{00000000-0005-0000-0000-000076550000}"/>
    <cellStyle name="Normal 8 2 6" xfId="946" xr:uid="{00000000-0005-0000-0000-000077550000}"/>
    <cellStyle name="Normal 8 2 6 2" xfId="3180" xr:uid="{00000000-0005-0000-0000-000078550000}"/>
    <cellStyle name="Normal 8 2 6 2 2" xfId="7403" xr:uid="{00000000-0005-0000-0000-000079550000}"/>
    <cellStyle name="Normal 8 2 6 2 2 2" xfId="24273" xr:uid="{00000000-0005-0000-0000-00007A550000}"/>
    <cellStyle name="Normal 8 2 6 2 2 2 2" xfId="41141" xr:uid="{8AE81863-86EE-4A10-9202-D79B75A8D2A2}"/>
    <cellStyle name="Normal 8 2 6 2 2 3" xfId="15838" xr:uid="{00000000-0005-0000-0000-00007B550000}"/>
    <cellStyle name="Normal 8 2 6 2 2 4" xfId="32707" xr:uid="{6E0CAEFE-E820-402D-A41D-D6570BC7A441}"/>
    <cellStyle name="Normal 8 2 6 2 3" xfId="20055" xr:uid="{00000000-0005-0000-0000-00007C550000}"/>
    <cellStyle name="Normal 8 2 6 2 3 2" xfId="36924" xr:uid="{33D0286C-0DE3-42A1-BCE8-C6AE0E2E2945}"/>
    <cellStyle name="Normal 8 2 6 2 4" xfId="11620" xr:uid="{00000000-0005-0000-0000-00007D550000}"/>
    <cellStyle name="Normal 8 2 6 2 5" xfId="28490" xr:uid="{0CEEE560-451E-46F2-B501-F79A14CE3E3F}"/>
    <cellStyle name="Normal 8 2 6 3" xfId="5258" xr:uid="{00000000-0005-0000-0000-00007E550000}"/>
    <cellStyle name="Normal 8 2 6 3 2" xfId="22128" xr:uid="{00000000-0005-0000-0000-00007F550000}"/>
    <cellStyle name="Normal 8 2 6 3 2 2" xfId="38996" xr:uid="{6F46DF3B-218A-43BD-84E0-9C27506A63B0}"/>
    <cellStyle name="Normal 8 2 6 3 3" xfId="13693" xr:uid="{00000000-0005-0000-0000-000080550000}"/>
    <cellStyle name="Normal 8 2 6 3 4" xfId="30562" xr:uid="{4AC12C7A-5C3B-421A-88FD-9A038E6B2C9D}"/>
    <cellStyle name="Normal 8 2 6 4" xfId="17910" xr:uid="{00000000-0005-0000-0000-000081550000}"/>
    <cellStyle name="Normal 8 2 6 4 2" xfId="34779" xr:uid="{FA509566-FDBB-44AE-B9BB-0E8B04353AE8}"/>
    <cellStyle name="Normal 8 2 6 5" xfId="9475" xr:uid="{00000000-0005-0000-0000-000082550000}"/>
    <cellStyle name="Normal 8 2 6 6" xfId="26345" xr:uid="{763353D0-8EC4-46F4-AD5E-869ADB57776C}"/>
    <cellStyle name="Normal 8 2 7" xfId="1363" xr:uid="{00000000-0005-0000-0000-000083550000}"/>
    <cellStyle name="Normal 8 2 7 2" xfId="3593" xr:uid="{00000000-0005-0000-0000-000084550000}"/>
    <cellStyle name="Normal 8 2 7 2 2" xfId="7816" xr:uid="{00000000-0005-0000-0000-000085550000}"/>
    <cellStyle name="Normal 8 2 7 2 2 2" xfId="24686" xr:uid="{00000000-0005-0000-0000-000086550000}"/>
    <cellStyle name="Normal 8 2 7 2 2 2 2" xfId="41554" xr:uid="{FC187818-C780-48A4-B772-E2D1E9EBCD1D}"/>
    <cellStyle name="Normal 8 2 7 2 2 3" xfId="16251" xr:uid="{00000000-0005-0000-0000-000087550000}"/>
    <cellStyle name="Normal 8 2 7 2 2 4" xfId="33120" xr:uid="{1AEA34C9-7504-4889-AC53-E67FEDEC787D}"/>
    <cellStyle name="Normal 8 2 7 2 3" xfId="20468" xr:uid="{00000000-0005-0000-0000-000088550000}"/>
    <cellStyle name="Normal 8 2 7 2 3 2" xfId="37337" xr:uid="{E09A7B9D-3866-438A-9540-478012A108DC}"/>
    <cellStyle name="Normal 8 2 7 2 4" xfId="12033" xr:uid="{00000000-0005-0000-0000-000089550000}"/>
    <cellStyle name="Normal 8 2 7 2 5" xfId="28903" xr:uid="{DD353C80-BFDC-4D4A-8C05-733A97C50498}"/>
    <cellStyle name="Normal 8 2 7 3" xfId="5671" xr:uid="{00000000-0005-0000-0000-00008A550000}"/>
    <cellStyle name="Normal 8 2 7 3 2" xfId="22541" xr:uid="{00000000-0005-0000-0000-00008B550000}"/>
    <cellStyle name="Normal 8 2 7 3 2 2" xfId="39409" xr:uid="{7CDE040A-041D-49B2-A9AC-73DB035B473F}"/>
    <cellStyle name="Normal 8 2 7 3 3" xfId="14106" xr:uid="{00000000-0005-0000-0000-00008C550000}"/>
    <cellStyle name="Normal 8 2 7 3 4" xfId="30975" xr:uid="{101F5041-03EB-4FF2-B989-F70EB39C0152}"/>
    <cellStyle name="Normal 8 2 7 4" xfId="18323" xr:uid="{00000000-0005-0000-0000-00008D550000}"/>
    <cellStyle name="Normal 8 2 7 4 2" xfId="35192" xr:uid="{6FDD97D6-7675-49DC-8E34-B82A5A3CB067}"/>
    <cellStyle name="Normal 8 2 7 5" xfId="9888" xr:uid="{00000000-0005-0000-0000-00008E550000}"/>
    <cellStyle name="Normal 8 2 7 6" xfId="26758" xr:uid="{978CBD13-136D-4310-A1E3-0CC13FD5DABA}"/>
    <cellStyle name="Normal 8 2 8" xfId="1776" xr:uid="{00000000-0005-0000-0000-00008F550000}"/>
    <cellStyle name="Normal 8 2 8 2" xfId="4006" xr:uid="{00000000-0005-0000-0000-000090550000}"/>
    <cellStyle name="Normal 8 2 8 2 2" xfId="8229" xr:uid="{00000000-0005-0000-0000-000091550000}"/>
    <cellStyle name="Normal 8 2 8 2 2 2" xfId="25099" xr:uid="{00000000-0005-0000-0000-000092550000}"/>
    <cellStyle name="Normal 8 2 8 2 2 2 2" xfId="41967" xr:uid="{D12DF7FB-36EA-4DAA-ABCC-8D081A4B449A}"/>
    <cellStyle name="Normal 8 2 8 2 2 3" xfId="16664" xr:uid="{00000000-0005-0000-0000-000093550000}"/>
    <cellStyle name="Normal 8 2 8 2 2 4" xfId="33533" xr:uid="{84A0C336-D801-42DE-A346-0D18F9E8672B}"/>
    <cellStyle name="Normal 8 2 8 2 3" xfId="20881" xr:uid="{00000000-0005-0000-0000-000094550000}"/>
    <cellStyle name="Normal 8 2 8 2 3 2" xfId="37750" xr:uid="{F8BE911E-0B25-4C9F-A09E-9153AF876590}"/>
    <cellStyle name="Normal 8 2 8 2 4" xfId="12446" xr:uid="{00000000-0005-0000-0000-000095550000}"/>
    <cellStyle name="Normal 8 2 8 2 5" xfId="29316" xr:uid="{6C05EAA4-1D42-46D5-8909-1AF667B38275}"/>
    <cellStyle name="Normal 8 2 8 3" xfId="6084" xr:uid="{00000000-0005-0000-0000-000096550000}"/>
    <cellStyle name="Normal 8 2 8 3 2" xfId="22954" xr:uid="{00000000-0005-0000-0000-000097550000}"/>
    <cellStyle name="Normal 8 2 8 3 2 2" xfId="39822" xr:uid="{1BC1AFA5-57D7-4478-A7F7-D0118C434C88}"/>
    <cellStyle name="Normal 8 2 8 3 3" xfId="14519" xr:uid="{00000000-0005-0000-0000-000098550000}"/>
    <cellStyle name="Normal 8 2 8 3 4" xfId="31388" xr:uid="{EA4C834C-8516-4EA1-AE0F-3D0444B6EA44}"/>
    <cellStyle name="Normal 8 2 8 4" xfId="18736" xr:uid="{00000000-0005-0000-0000-000099550000}"/>
    <cellStyle name="Normal 8 2 8 4 2" xfId="35605" xr:uid="{60E71F2E-1066-4406-8BB4-A18EA21FCA18}"/>
    <cellStyle name="Normal 8 2 8 5" xfId="10301" xr:uid="{00000000-0005-0000-0000-00009A550000}"/>
    <cellStyle name="Normal 8 2 8 6" xfId="27171" xr:uid="{34829B11-B7F6-487A-9EDC-E8FC368C2302}"/>
    <cellStyle name="Normal 8 2 9" xfId="2190" xr:uid="{00000000-0005-0000-0000-00009B550000}"/>
    <cellStyle name="Normal 8 2 9 2" xfId="4419" xr:uid="{00000000-0005-0000-0000-00009C550000}"/>
    <cellStyle name="Normal 8 2 9 2 2" xfId="8642" xr:uid="{00000000-0005-0000-0000-00009D550000}"/>
    <cellStyle name="Normal 8 2 9 2 2 2" xfId="25512" xr:uid="{00000000-0005-0000-0000-00009E550000}"/>
    <cellStyle name="Normal 8 2 9 2 2 2 2" xfId="42380" xr:uid="{8D4A037D-E5D2-4CB8-A42E-A88CAAB75626}"/>
    <cellStyle name="Normal 8 2 9 2 2 3" xfId="17077" xr:uid="{00000000-0005-0000-0000-00009F550000}"/>
    <cellStyle name="Normal 8 2 9 2 2 4" xfId="33946" xr:uid="{602E27CB-2C69-4DDF-9F72-812844EF7613}"/>
    <cellStyle name="Normal 8 2 9 2 3" xfId="21294" xr:uid="{00000000-0005-0000-0000-0000A0550000}"/>
    <cellStyle name="Normal 8 2 9 2 3 2" xfId="38163" xr:uid="{27C82D90-7D11-4FA0-997F-87B71C844F90}"/>
    <cellStyle name="Normal 8 2 9 2 4" xfId="12859" xr:uid="{00000000-0005-0000-0000-0000A1550000}"/>
    <cellStyle name="Normal 8 2 9 2 5" xfId="29729" xr:uid="{F898BE29-D7A2-49EF-857B-B1C0D3E532CA}"/>
    <cellStyle name="Normal 8 2 9 3" xfId="6497" xr:uid="{00000000-0005-0000-0000-0000A2550000}"/>
    <cellStyle name="Normal 8 2 9 3 2" xfId="23367" xr:uid="{00000000-0005-0000-0000-0000A3550000}"/>
    <cellStyle name="Normal 8 2 9 3 2 2" xfId="40235" xr:uid="{ACE84914-E36D-4A90-8A1D-70AEF2F44174}"/>
    <cellStyle name="Normal 8 2 9 3 3" xfId="14932" xr:uid="{00000000-0005-0000-0000-0000A4550000}"/>
    <cellStyle name="Normal 8 2 9 3 4" xfId="31801" xr:uid="{B30D8055-6330-4425-973E-18D9DABB7CC3}"/>
    <cellStyle name="Normal 8 2 9 4" xfId="19149" xr:uid="{00000000-0005-0000-0000-0000A5550000}"/>
    <cellStyle name="Normal 8 2 9 4 2" xfId="36018" xr:uid="{1338241E-5416-4337-B284-19759A54CDB4}"/>
    <cellStyle name="Normal 8 2 9 5" xfId="10714" xr:uid="{00000000-0005-0000-0000-0000A6550000}"/>
    <cellStyle name="Normal 8 2 9 6" xfId="27584" xr:uid="{43A4DB9C-B0D9-45B5-8C16-52EFD6EA3D2F}"/>
    <cellStyle name="Normal 8 3" xfId="495" xr:uid="{00000000-0005-0000-0000-0000A7550000}"/>
    <cellStyle name="Normal 8 3 10" xfId="4861" xr:uid="{00000000-0005-0000-0000-0000A8550000}"/>
    <cellStyle name="Normal 8 3 10 2" xfId="21731" xr:uid="{00000000-0005-0000-0000-0000A9550000}"/>
    <cellStyle name="Normal 8 3 10 2 2" xfId="38599" xr:uid="{828AF127-FB0E-44B5-92F9-D7F5CC8A7802}"/>
    <cellStyle name="Normal 8 3 10 3" xfId="13296" xr:uid="{00000000-0005-0000-0000-0000AA550000}"/>
    <cellStyle name="Normal 8 3 10 4" xfId="30165" xr:uid="{CA8D2DC3-93C7-4112-BAAF-79DC0F8D85E1}"/>
    <cellStyle name="Normal 8 3 11" xfId="17513" xr:uid="{00000000-0005-0000-0000-0000AB550000}"/>
    <cellStyle name="Normal 8 3 11 2" xfId="34382" xr:uid="{F090F78A-63EA-4EFD-B6F4-D112009F1709}"/>
    <cellStyle name="Normal 8 3 12" xfId="9078" xr:uid="{00000000-0005-0000-0000-0000AC550000}"/>
    <cellStyle name="Normal 8 3 13" xfId="25948" xr:uid="{5C856DBA-1A89-46B5-A4BE-A249BEDDEEA2}"/>
    <cellStyle name="Normal 8 3 2" xfId="496" xr:uid="{00000000-0005-0000-0000-0000AD550000}"/>
    <cellStyle name="Normal 8 3 2 10" xfId="17514" xr:uid="{00000000-0005-0000-0000-0000AE550000}"/>
    <cellStyle name="Normal 8 3 2 10 2" xfId="34383" xr:uid="{35C92A62-0AC8-42B7-B1B5-4A6209124508}"/>
    <cellStyle name="Normal 8 3 2 11" xfId="9079" xr:uid="{00000000-0005-0000-0000-0000AF550000}"/>
    <cellStyle name="Normal 8 3 2 12" xfId="25949" xr:uid="{7739D3E4-25E8-4100-B752-8FAB8E4BD6DF}"/>
    <cellStyle name="Normal 8 3 2 2" xfId="497" xr:uid="{00000000-0005-0000-0000-0000B0550000}"/>
    <cellStyle name="Normal 8 3 2 2 10" xfId="9080" xr:uid="{00000000-0005-0000-0000-0000B1550000}"/>
    <cellStyle name="Normal 8 3 2 2 11" xfId="25950" xr:uid="{A6F02848-C8BF-4888-B83C-A785E68F8FFE}"/>
    <cellStyle name="Normal 8 3 2 2 2" xfId="498" xr:uid="{00000000-0005-0000-0000-0000B2550000}"/>
    <cellStyle name="Normal 8 3 2 2 2 10" xfId="25951" xr:uid="{E770DC2D-7AB9-4E5C-A7AD-C81B977FB06C}"/>
    <cellStyle name="Normal 8 3 2 2 2 2" xfId="965" xr:uid="{00000000-0005-0000-0000-0000B3550000}"/>
    <cellStyle name="Normal 8 3 2 2 2 2 2" xfId="3199" xr:uid="{00000000-0005-0000-0000-0000B4550000}"/>
    <cellStyle name="Normal 8 3 2 2 2 2 2 2" xfId="7422" xr:uid="{00000000-0005-0000-0000-0000B5550000}"/>
    <cellStyle name="Normal 8 3 2 2 2 2 2 2 2" xfId="24292" xr:uid="{00000000-0005-0000-0000-0000B6550000}"/>
    <cellStyle name="Normal 8 3 2 2 2 2 2 2 2 2" xfId="41160" xr:uid="{CC8255BB-19DD-4CF6-8E79-1628995D3467}"/>
    <cellStyle name="Normal 8 3 2 2 2 2 2 2 3" xfId="15857" xr:uid="{00000000-0005-0000-0000-0000B7550000}"/>
    <cellStyle name="Normal 8 3 2 2 2 2 2 2 4" xfId="32726" xr:uid="{2B4160B6-64D6-4148-AA65-99443961A50C}"/>
    <cellStyle name="Normal 8 3 2 2 2 2 2 3" xfId="20074" xr:uid="{00000000-0005-0000-0000-0000B8550000}"/>
    <cellStyle name="Normal 8 3 2 2 2 2 2 3 2" xfId="36943" xr:uid="{D80AF82B-DB52-4F39-A5AB-1799A68E2413}"/>
    <cellStyle name="Normal 8 3 2 2 2 2 2 4" xfId="11639" xr:uid="{00000000-0005-0000-0000-0000B9550000}"/>
    <cellStyle name="Normal 8 3 2 2 2 2 2 5" xfId="28509" xr:uid="{8D4D8EE6-3E60-4B13-90B2-4D5DD4D9D8F9}"/>
    <cellStyle name="Normal 8 3 2 2 2 2 3" xfId="5277" xr:uid="{00000000-0005-0000-0000-0000BA550000}"/>
    <cellStyle name="Normal 8 3 2 2 2 2 3 2" xfId="22147" xr:uid="{00000000-0005-0000-0000-0000BB550000}"/>
    <cellStyle name="Normal 8 3 2 2 2 2 3 2 2" xfId="39015" xr:uid="{54D35D26-31ED-4B04-A92A-A83F23A42744}"/>
    <cellStyle name="Normal 8 3 2 2 2 2 3 3" xfId="13712" xr:uid="{00000000-0005-0000-0000-0000BC550000}"/>
    <cellStyle name="Normal 8 3 2 2 2 2 3 4" xfId="30581" xr:uid="{46237F99-1799-4864-BBBC-3FB234DA8924}"/>
    <cellStyle name="Normal 8 3 2 2 2 2 4" xfId="17929" xr:uid="{00000000-0005-0000-0000-0000BD550000}"/>
    <cellStyle name="Normal 8 3 2 2 2 2 4 2" xfId="34798" xr:uid="{25E6D759-7D7E-42F5-92A6-182B1519349E}"/>
    <cellStyle name="Normal 8 3 2 2 2 2 5" xfId="9494" xr:uid="{00000000-0005-0000-0000-0000BE550000}"/>
    <cellStyle name="Normal 8 3 2 2 2 2 6" xfId="26364" xr:uid="{6870B088-C049-46ED-B265-76F47715FF1C}"/>
    <cellStyle name="Normal 8 3 2 2 2 3" xfId="1382" xr:uid="{00000000-0005-0000-0000-0000BF550000}"/>
    <cellStyle name="Normal 8 3 2 2 2 3 2" xfId="3612" xr:uid="{00000000-0005-0000-0000-0000C0550000}"/>
    <cellStyle name="Normal 8 3 2 2 2 3 2 2" xfId="7835" xr:uid="{00000000-0005-0000-0000-0000C1550000}"/>
    <cellStyle name="Normal 8 3 2 2 2 3 2 2 2" xfId="24705" xr:uid="{00000000-0005-0000-0000-0000C2550000}"/>
    <cellStyle name="Normal 8 3 2 2 2 3 2 2 2 2" xfId="41573" xr:uid="{47F58FE4-4728-42B8-803B-047A4EBA18A6}"/>
    <cellStyle name="Normal 8 3 2 2 2 3 2 2 3" xfId="16270" xr:uid="{00000000-0005-0000-0000-0000C3550000}"/>
    <cellStyle name="Normal 8 3 2 2 2 3 2 2 4" xfId="33139" xr:uid="{D11C4FA0-653D-4573-B2FC-98B305476604}"/>
    <cellStyle name="Normal 8 3 2 2 2 3 2 3" xfId="20487" xr:uid="{00000000-0005-0000-0000-0000C4550000}"/>
    <cellStyle name="Normal 8 3 2 2 2 3 2 3 2" xfId="37356" xr:uid="{392E5BD9-7863-4779-A4A9-284313FF5F7D}"/>
    <cellStyle name="Normal 8 3 2 2 2 3 2 4" xfId="12052" xr:uid="{00000000-0005-0000-0000-0000C5550000}"/>
    <cellStyle name="Normal 8 3 2 2 2 3 2 5" xfId="28922" xr:uid="{0C8F0131-E186-41BA-A1D5-8BEDCF41382E}"/>
    <cellStyle name="Normal 8 3 2 2 2 3 3" xfId="5690" xr:uid="{00000000-0005-0000-0000-0000C6550000}"/>
    <cellStyle name="Normal 8 3 2 2 2 3 3 2" xfId="22560" xr:uid="{00000000-0005-0000-0000-0000C7550000}"/>
    <cellStyle name="Normal 8 3 2 2 2 3 3 2 2" xfId="39428" xr:uid="{A02F7160-CD4E-4711-A93E-741B6CBD8BE4}"/>
    <cellStyle name="Normal 8 3 2 2 2 3 3 3" xfId="14125" xr:uid="{00000000-0005-0000-0000-0000C8550000}"/>
    <cellStyle name="Normal 8 3 2 2 2 3 3 4" xfId="30994" xr:uid="{2BC21D2F-4AB3-44EB-A0EB-7B58643497EE}"/>
    <cellStyle name="Normal 8 3 2 2 2 3 4" xfId="18342" xr:uid="{00000000-0005-0000-0000-0000C9550000}"/>
    <cellStyle name="Normal 8 3 2 2 2 3 4 2" xfId="35211" xr:uid="{54B37CFC-2B68-4CF1-AFBE-39D3DBB3D070}"/>
    <cellStyle name="Normal 8 3 2 2 2 3 5" xfId="9907" xr:uid="{00000000-0005-0000-0000-0000CA550000}"/>
    <cellStyle name="Normal 8 3 2 2 2 3 6" xfId="26777" xr:uid="{2FF5D0A8-71AA-47DC-8AD0-9F4A85CF6258}"/>
    <cellStyle name="Normal 8 3 2 2 2 4" xfId="1795" xr:uid="{00000000-0005-0000-0000-0000CB550000}"/>
    <cellStyle name="Normal 8 3 2 2 2 4 2" xfId="4025" xr:uid="{00000000-0005-0000-0000-0000CC550000}"/>
    <cellStyle name="Normal 8 3 2 2 2 4 2 2" xfId="8248" xr:uid="{00000000-0005-0000-0000-0000CD550000}"/>
    <cellStyle name="Normal 8 3 2 2 2 4 2 2 2" xfId="25118" xr:uid="{00000000-0005-0000-0000-0000CE550000}"/>
    <cellStyle name="Normal 8 3 2 2 2 4 2 2 2 2" xfId="41986" xr:uid="{82F7775B-71AE-4DAD-9D78-D89736124B06}"/>
    <cellStyle name="Normal 8 3 2 2 2 4 2 2 3" xfId="16683" xr:uid="{00000000-0005-0000-0000-0000CF550000}"/>
    <cellStyle name="Normal 8 3 2 2 2 4 2 2 4" xfId="33552" xr:uid="{8DC3DEEB-A6B8-42FC-9827-AE2F81B7B11F}"/>
    <cellStyle name="Normal 8 3 2 2 2 4 2 3" xfId="20900" xr:uid="{00000000-0005-0000-0000-0000D0550000}"/>
    <cellStyle name="Normal 8 3 2 2 2 4 2 3 2" xfId="37769" xr:uid="{F2EDB1B6-C1EA-4177-AEEE-10F2C0E08579}"/>
    <cellStyle name="Normal 8 3 2 2 2 4 2 4" xfId="12465" xr:uid="{00000000-0005-0000-0000-0000D1550000}"/>
    <cellStyle name="Normal 8 3 2 2 2 4 2 5" xfId="29335" xr:uid="{8795EDF8-6E96-41AD-98EF-8AB3561F2EAA}"/>
    <cellStyle name="Normal 8 3 2 2 2 4 3" xfId="6103" xr:uid="{00000000-0005-0000-0000-0000D2550000}"/>
    <cellStyle name="Normal 8 3 2 2 2 4 3 2" xfId="22973" xr:uid="{00000000-0005-0000-0000-0000D3550000}"/>
    <cellStyle name="Normal 8 3 2 2 2 4 3 2 2" xfId="39841" xr:uid="{FA9BB050-4C33-4AF3-9FDD-8047B2F4E58A}"/>
    <cellStyle name="Normal 8 3 2 2 2 4 3 3" xfId="14538" xr:uid="{00000000-0005-0000-0000-0000D4550000}"/>
    <cellStyle name="Normal 8 3 2 2 2 4 3 4" xfId="31407" xr:uid="{7F92CD4A-CA74-49AA-86D4-096041AED21C}"/>
    <cellStyle name="Normal 8 3 2 2 2 4 4" xfId="18755" xr:uid="{00000000-0005-0000-0000-0000D5550000}"/>
    <cellStyle name="Normal 8 3 2 2 2 4 4 2" xfId="35624" xr:uid="{5977AC4D-B0FD-48F5-9991-E87FEA04AC12}"/>
    <cellStyle name="Normal 8 3 2 2 2 4 5" xfId="10320" xr:uid="{00000000-0005-0000-0000-0000D6550000}"/>
    <cellStyle name="Normal 8 3 2 2 2 4 6" xfId="27190" xr:uid="{5A972B5E-A115-49C0-8786-8BCD59D52FFA}"/>
    <cellStyle name="Normal 8 3 2 2 2 5" xfId="2209" xr:uid="{00000000-0005-0000-0000-0000D7550000}"/>
    <cellStyle name="Normal 8 3 2 2 2 5 2" xfId="4438" xr:uid="{00000000-0005-0000-0000-0000D8550000}"/>
    <cellStyle name="Normal 8 3 2 2 2 5 2 2" xfId="8661" xr:uid="{00000000-0005-0000-0000-0000D9550000}"/>
    <cellStyle name="Normal 8 3 2 2 2 5 2 2 2" xfId="25531" xr:uid="{00000000-0005-0000-0000-0000DA550000}"/>
    <cellStyle name="Normal 8 3 2 2 2 5 2 2 2 2" xfId="42399" xr:uid="{141D64BE-6AFD-40DE-9F6E-AE1B6328DA2C}"/>
    <cellStyle name="Normal 8 3 2 2 2 5 2 2 3" xfId="17096" xr:uid="{00000000-0005-0000-0000-0000DB550000}"/>
    <cellStyle name="Normal 8 3 2 2 2 5 2 2 4" xfId="33965" xr:uid="{0A8E93A0-4A37-42C0-A4D2-7D36A8ADFFED}"/>
    <cellStyle name="Normal 8 3 2 2 2 5 2 3" xfId="21313" xr:uid="{00000000-0005-0000-0000-0000DC550000}"/>
    <cellStyle name="Normal 8 3 2 2 2 5 2 3 2" xfId="38182" xr:uid="{22D0EBB3-2141-4BBE-92A5-0D8658C34EAA}"/>
    <cellStyle name="Normal 8 3 2 2 2 5 2 4" xfId="12878" xr:uid="{00000000-0005-0000-0000-0000DD550000}"/>
    <cellStyle name="Normal 8 3 2 2 2 5 2 5" xfId="29748" xr:uid="{8270C09F-3F73-4433-9B67-CCABF687BEEF}"/>
    <cellStyle name="Normal 8 3 2 2 2 5 3" xfId="6516" xr:uid="{00000000-0005-0000-0000-0000DE550000}"/>
    <cellStyle name="Normal 8 3 2 2 2 5 3 2" xfId="23386" xr:uid="{00000000-0005-0000-0000-0000DF550000}"/>
    <cellStyle name="Normal 8 3 2 2 2 5 3 2 2" xfId="40254" xr:uid="{68D92EE9-9BE3-42C6-970F-2961F0E92B6C}"/>
    <cellStyle name="Normal 8 3 2 2 2 5 3 3" xfId="14951" xr:uid="{00000000-0005-0000-0000-0000E0550000}"/>
    <cellStyle name="Normal 8 3 2 2 2 5 3 4" xfId="31820" xr:uid="{B9E5F23D-5D06-426F-98FD-EC35B0B5037D}"/>
    <cellStyle name="Normal 8 3 2 2 2 5 4" xfId="19168" xr:uid="{00000000-0005-0000-0000-0000E1550000}"/>
    <cellStyle name="Normal 8 3 2 2 2 5 4 2" xfId="36037" xr:uid="{18B715F7-4308-4DE9-BD7A-29E915B7E3AF}"/>
    <cellStyle name="Normal 8 3 2 2 2 5 5" xfId="10733" xr:uid="{00000000-0005-0000-0000-0000E2550000}"/>
    <cellStyle name="Normal 8 3 2 2 2 5 6" xfId="27603" xr:uid="{324C3A5E-6F5E-4BC9-AC23-B9A30DD7270B}"/>
    <cellStyle name="Normal 8 3 2 2 2 6" xfId="2645" xr:uid="{00000000-0005-0000-0000-0000E3550000}"/>
    <cellStyle name="Normal 8 3 2 2 2 6 2" xfId="6929" xr:uid="{00000000-0005-0000-0000-0000E4550000}"/>
    <cellStyle name="Normal 8 3 2 2 2 6 2 2" xfId="23799" xr:uid="{00000000-0005-0000-0000-0000E5550000}"/>
    <cellStyle name="Normal 8 3 2 2 2 6 2 2 2" xfId="40667" xr:uid="{62EF7500-DB4F-45FD-8532-E4E2B20FCA3F}"/>
    <cellStyle name="Normal 8 3 2 2 2 6 2 3" xfId="15364" xr:uid="{00000000-0005-0000-0000-0000E6550000}"/>
    <cellStyle name="Normal 8 3 2 2 2 6 2 4" xfId="32233" xr:uid="{6AB544DD-E56D-4B4B-9F21-35F9BBC33589}"/>
    <cellStyle name="Normal 8 3 2 2 2 6 3" xfId="19581" xr:uid="{00000000-0005-0000-0000-0000E7550000}"/>
    <cellStyle name="Normal 8 3 2 2 2 6 3 2" xfId="36450" xr:uid="{5E206876-A18F-4BBF-A37E-61A27BDA60B2}"/>
    <cellStyle name="Normal 8 3 2 2 2 6 4" xfId="11146" xr:uid="{00000000-0005-0000-0000-0000E8550000}"/>
    <cellStyle name="Normal 8 3 2 2 2 6 5" xfId="28016" xr:uid="{25A508DF-639A-412B-9FBB-36A853EB3061}"/>
    <cellStyle name="Normal 8 3 2 2 2 7" xfId="4864" xr:uid="{00000000-0005-0000-0000-0000E9550000}"/>
    <cellStyle name="Normal 8 3 2 2 2 7 2" xfId="21734" xr:uid="{00000000-0005-0000-0000-0000EA550000}"/>
    <cellStyle name="Normal 8 3 2 2 2 7 2 2" xfId="38602" xr:uid="{2A5DE37D-1614-401E-9A89-CECED2807763}"/>
    <cellStyle name="Normal 8 3 2 2 2 7 3" xfId="13299" xr:uid="{00000000-0005-0000-0000-0000EB550000}"/>
    <cellStyle name="Normal 8 3 2 2 2 7 4" xfId="30168" xr:uid="{7814CD9C-0CC7-4B8F-9E47-C907CF9852C7}"/>
    <cellStyle name="Normal 8 3 2 2 2 8" xfId="17516" xr:uid="{00000000-0005-0000-0000-0000EC550000}"/>
    <cellStyle name="Normal 8 3 2 2 2 8 2" xfId="34385" xr:uid="{A1A278EF-46C1-4013-921D-BCC2009861BD}"/>
    <cellStyle name="Normal 8 3 2 2 2 9" xfId="9081" xr:uid="{00000000-0005-0000-0000-0000ED550000}"/>
    <cellStyle name="Normal 8 3 2 2 3" xfId="964" xr:uid="{00000000-0005-0000-0000-0000EE550000}"/>
    <cellStyle name="Normal 8 3 2 2 3 2" xfId="3198" xr:uid="{00000000-0005-0000-0000-0000EF550000}"/>
    <cellStyle name="Normal 8 3 2 2 3 2 2" xfId="7421" xr:uid="{00000000-0005-0000-0000-0000F0550000}"/>
    <cellStyle name="Normal 8 3 2 2 3 2 2 2" xfId="24291" xr:uid="{00000000-0005-0000-0000-0000F1550000}"/>
    <cellStyle name="Normal 8 3 2 2 3 2 2 2 2" xfId="41159" xr:uid="{BFCDE1D8-A9D6-4B26-96D4-DEB1110B12E4}"/>
    <cellStyle name="Normal 8 3 2 2 3 2 2 3" xfId="15856" xr:uid="{00000000-0005-0000-0000-0000F2550000}"/>
    <cellStyle name="Normal 8 3 2 2 3 2 2 4" xfId="32725" xr:uid="{6E90C347-4B46-4D0C-BA7C-FA06E5459A62}"/>
    <cellStyle name="Normal 8 3 2 2 3 2 3" xfId="20073" xr:uid="{00000000-0005-0000-0000-0000F3550000}"/>
    <cellStyle name="Normal 8 3 2 2 3 2 3 2" xfId="36942" xr:uid="{45D3F0D7-EFF9-42B6-A626-67CB435D36CC}"/>
    <cellStyle name="Normal 8 3 2 2 3 2 4" xfId="11638" xr:uid="{00000000-0005-0000-0000-0000F4550000}"/>
    <cellStyle name="Normal 8 3 2 2 3 2 5" xfId="28508" xr:uid="{040E030F-8A26-4F77-8EE9-FAFA663B117C}"/>
    <cellStyle name="Normal 8 3 2 2 3 3" xfId="5276" xr:uid="{00000000-0005-0000-0000-0000F5550000}"/>
    <cellStyle name="Normal 8 3 2 2 3 3 2" xfId="22146" xr:uid="{00000000-0005-0000-0000-0000F6550000}"/>
    <cellStyle name="Normal 8 3 2 2 3 3 2 2" xfId="39014" xr:uid="{580C7F7E-B7F2-4088-B40D-D6650271D458}"/>
    <cellStyle name="Normal 8 3 2 2 3 3 3" xfId="13711" xr:uid="{00000000-0005-0000-0000-0000F7550000}"/>
    <cellStyle name="Normal 8 3 2 2 3 3 4" xfId="30580" xr:uid="{7468C1FF-9CB8-48DF-B2D7-3ADBBC3A37FD}"/>
    <cellStyle name="Normal 8 3 2 2 3 4" xfId="17928" xr:uid="{00000000-0005-0000-0000-0000F8550000}"/>
    <cellStyle name="Normal 8 3 2 2 3 4 2" xfId="34797" xr:uid="{91476B58-6245-437E-9C19-CC7183102DE4}"/>
    <cellStyle name="Normal 8 3 2 2 3 5" xfId="9493" xr:uid="{00000000-0005-0000-0000-0000F9550000}"/>
    <cellStyle name="Normal 8 3 2 2 3 6" xfId="26363" xr:uid="{5A691106-F159-4A34-8513-60B66B37524A}"/>
    <cellStyle name="Normal 8 3 2 2 4" xfId="1381" xr:uid="{00000000-0005-0000-0000-0000FA550000}"/>
    <cellStyle name="Normal 8 3 2 2 4 2" xfId="3611" xr:uid="{00000000-0005-0000-0000-0000FB550000}"/>
    <cellStyle name="Normal 8 3 2 2 4 2 2" xfId="7834" xr:uid="{00000000-0005-0000-0000-0000FC550000}"/>
    <cellStyle name="Normal 8 3 2 2 4 2 2 2" xfId="24704" xr:uid="{00000000-0005-0000-0000-0000FD550000}"/>
    <cellStyle name="Normal 8 3 2 2 4 2 2 2 2" xfId="41572" xr:uid="{83947CFF-39DA-43E8-8260-E051A814337E}"/>
    <cellStyle name="Normal 8 3 2 2 4 2 2 3" xfId="16269" xr:uid="{00000000-0005-0000-0000-0000FE550000}"/>
    <cellStyle name="Normal 8 3 2 2 4 2 2 4" xfId="33138" xr:uid="{8016A32F-2986-4148-B9DD-7B9EF8593AD2}"/>
    <cellStyle name="Normal 8 3 2 2 4 2 3" xfId="20486" xr:uid="{00000000-0005-0000-0000-0000FF550000}"/>
    <cellStyle name="Normal 8 3 2 2 4 2 3 2" xfId="37355" xr:uid="{0F2754E2-8017-4F40-9283-01F758BD03D8}"/>
    <cellStyle name="Normal 8 3 2 2 4 2 4" xfId="12051" xr:uid="{00000000-0005-0000-0000-000000560000}"/>
    <cellStyle name="Normal 8 3 2 2 4 2 5" xfId="28921" xr:uid="{AF2A9D35-3C60-4E5E-A701-E541A2939AEE}"/>
    <cellStyle name="Normal 8 3 2 2 4 3" xfId="5689" xr:uid="{00000000-0005-0000-0000-000001560000}"/>
    <cellStyle name="Normal 8 3 2 2 4 3 2" xfId="22559" xr:uid="{00000000-0005-0000-0000-000002560000}"/>
    <cellStyle name="Normal 8 3 2 2 4 3 2 2" xfId="39427" xr:uid="{0D570DB7-83D9-4ADD-80F1-DFC2A6C3540C}"/>
    <cellStyle name="Normal 8 3 2 2 4 3 3" xfId="14124" xr:uid="{00000000-0005-0000-0000-000003560000}"/>
    <cellStyle name="Normal 8 3 2 2 4 3 4" xfId="30993" xr:uid="{B93014AD-9AAD-4928-8207-73F17BDF4687}"/>
    <cellStyle name="Normal 8 3 2 2 4 4" xfId="18341" xr:uid="{00000000-0005-0000-0000-000004560000}"/>
    <cellStyle name="Normal 8 3 2 2 4 4 2" xfId="35210" xr:uid="{D524A67E-4970-40EA-A195-CD8A80210CD5}"/>
    <cellStyle name="Normal 8 3 2 2 4 5" xfId="9906" xr:uid="{00000000-0005-0000-0000-000005560000}"/>
    <cellStyle name="Normal 8 3 2 2 4 6" xfId="26776" xr:uid="{EAC8C4C9-5F52-4E18-B471-6C0EC559EEC2}"/>
    <cellStyle name="Normal 8 3 2 2 5" xfId="1794" xr:uid="{00000000-0005-0000-0000-000006560000}"/>
    <cellStyle name="Normal 8 3 2 2 5 2" xfId="4024" xr:uid="{00000000-0005-0000-0000-000007560000}"/>
    <cellStyle name="Normal 8 3 2 2 5 2 2" xfId="8247" xr:uid="{00000000-0005-0000-0000-000008560000}"/>
    <cellStyle name="Normal 8 3 2 2 5 2 2 2" xfId="25117" xr:uid="{00000000-0005-0000-0000-000009560000}"/>
    <cellStyle name="Normal 8 3 2 2 5 2 2 2 2" xfId="41985" xr:uid="{1D6E5B13-A3F1-45EA-A47A-0D675DF70777}"/>
    <cellStyle name="Normal 8 3 2 2 5 2 2 3" xfId="16682" xr:uid="{00000000-0005-0000-0000-00000A560000}"/>
    <cellStyle name="Normal 8 3 2 2 5 2 2 4" xfId="33551" xr:uid="{79EABD97-7A0B-4CFE-B6D1-3DB937F0E8C9}"/>
    <cellStyle name="Normal 8 3 2 2 5 2 3" xfId="20899" xr:uid="{00000000-0005-0000-0000-00000B560000}"/>
    <cellStyle name="Normal 8 3 2 2 5 2 3 2" xfId="37768" xr:uid="{F6D586CE-F405-406A-8334-FE4B72561698}"/>
    <cellStyle name="Normal 8 3 2 2 5 2 4" xfId="12464" xr:uid="{00000000-0005-0000-0000-00000C560000}"/>
    <cellStyle name="Normal 8 3 2 2 5 2 5" xfId="29334" xr:uid="{F07F70BC-8054-47DF-83C3-BD32DBE04B3C}"/>
    <cellStyle name="Normal 8 3 2 2 5 3" xfId="6102" xr:uid="{00000000-0005-0000-0000-00000D560000}"/>
    <cellStyle name="Normal 8 3 2 2 5 3 2" xfId="22972" xr:uid="{00000000-0005-0000-0000-00000E560000}"/>
    <cellStyle name="Normal 8 3 2 2 5 3 2 2" xfId="39840" xr:uid="{2DEB8AB0-E8E2-4487-A631-6C6EB2528EAD}"/>
    <cellStyle name="Normal 8 3 2 2 5 3 3" xfId="14537" xr:uid="{00000000-0005-0000-0000-00000F560000}"/>
    <cellStyle name="Normal 8 3 2 2 5 3 4" xfId="31406" xr:uid="{0C86737D-0F2D-46E8-9C19-F93F8291829C}"/>
    <cellStyle name="Normal 8 3 2 2 5 4" xfId="18754" xr:uid="{00000000-0005-0000-0000-000010560000}"/>
    <cellStyle name="Normal 8 3 2 2 5 4 2" xfId="35623" xr:uid="{72DDC4E5-3914-4A5D-A1A6-09B0E3ACA7CF}"/>
    <cellStyle name="Normal 8 3 2 2 5 5" xfId="10319" xr:uid="{00000000-0005-0000-0000-000011560000}"/>
    <cellStyle name="Normal 8 3 2 2 5 6" xfId="27189" xr:uid="{C6595C9D-DE46-4E33-AD2A-EEE5C96097CD}"/>
    <cellStyle name="Normal 8 3 2 2 6" xfId="2208" xr:uid="{00000000-0005-0000-0000-000012560000}"/>
    <cellStyle name="Normal 8 3 2 2 6 2" xfId="4437" xr:uid="{00000000-0005-0000-0000-000013560000}"/>
    <cellStyle name="Normal 8 3 2 2 6 2 2" xfId="8660" xr:uid="{00000000-0005-0000-0000-000014560000}"/>
    <cellStyle name="Normal 8 3 2 2 6 2 2 2" xfId="25530" xr:uid="{00000000-0005-0000-0000-000015560000}"/>
    <cellStyle name="Normal 8 3 2 2 6 2 2 2 2" xfId="42398" xr:uid="{28A149C5-A152-47FB-83C2-7D0B1AAA667E}"/>
    <cellStyle name="Normal 8 3 2 2 6 2 2 3" xfId="17095" xr:uid="{00000000-0005-0000-0000-000016560000}"/>
    <cellStyle name="Normal 8 3 2 2 6 2 2 4" xfId="33964" xr:uid="{F04DC30F-869D-4738-9F8D-CE2E96E575BB}"/>
    <cellStyle name="Normal 8 3 2 2 6 2 3" xfId="21312" xr:uid="{00000000-0005-0000-0000-000017560000}"/>
    <cellStyle name="Normal 8 3 2 2 6 2 3 2" xfId="38181" xr:uid="{5F3FEF2B-3025-4476-B4D0-588CC0998692}"/>
    <cellStyle name="Normal 8 3 2 2 6 2 4" xfId="12877" xr:uid="{00000000-0005-0000-0000-000018560000}"/>
    <cellStyle name="Normal 8 3 2 2 6 2 5" xfId="29747" xr:uid="{D2A67D63-8F4E-440A-9A1D-B054D24DFA00}"/>
    <cellStyle name="Normal 8 3 2 2 6 3" xfId="6515" xr:uid="{00000000-0005-0000-0000-000019560000}"/>
    <cellStyle name="Normal 8 3 2 2 6 3 2" xfId="23385" xr:uid="{00000000-0005-0000-0000-00001A560000}"/>
    <cellStyle name="Normal 8 3 2 2 6 3 2 2" xfId="40253" xr:uid="{C6E23E3E-6DF6-4F8D-B0C8-5BBFA9DEE31A}"/>
    <cellStyle name="Normal 8 3 2 2 6 3 3" xfId="14950" xr:uid="{00000000-0005-0000-0000-00001B560000}"/>
    <cellStyle name="Normal 8 3 2 2 6 3 4" xfId="31819" xr:uid="{783910EA-104F-48E5-8F7C-86442E948341}"/>
    <cellStyle name="Normal 8 3 2 2 6 4" xfId="19167" xr:uid="{00000000-0005-0000-0000-00001C560000}"/>
    <cellStyle name="Normal 8 3 2 2 6 4 2" xfId="36036" xr:uid="{240386AC-7419-46EA-85DE-7E2942E1AE0C}"/>
    <cellStyle name="Normal 8 3 2 2 6 5" xfId="10732" xr:uid="{00000000-0005-0000-0000-00001D560000}"/>
    <cellStyle name="Normal 8 3 2 2 6 6" xfId="27602" xr:uid="{AC6ED2C4-2CC4-424A-9F0D-B61F2E85B6BF}"/>
    <cellStyle name="Normal 8 3 2 2 7" xfId="2644" xr:uid="{00000000-0005-0000-0000-00001E560000}"/>
    <cellStyle name="Normal 8 3 2 2 7 2" xfId="6928" xr:uid="{00000000-0005-0000-0000-00001F560000}"/>
    <cellStyle name="Normal 8 3 2 2 7 2 2" xfId="23798" xr:uid="{00000000-0005-0000-0000-000020560000}"/>
    <cellStyle name="Normal 8 3 2 2 7 2 2 2" xfId="40666" xr:uid="{DED98A98-9A14-49C2-BE61-612870CB9487}"/>
    <cellStyle name="Normal 8 3 2 2 7 2 3" xfId="15363" xr:uid="{00000000-0005-0000-0000-000021560000}"/>
    <cellStyle name="Normal 8 3 2 2 7 2 4" xfId="32232" xr:uid="{A75CAB9D-01EA-4204-A273-5DDC70A397FD}"/>
    <cellStyle name="Normal 8 3 2 2 7 3" xfId="19580" xr:uid="{00000000-0005-0000-0000-000022560000}"/>
    <cellStyle name="Normal 8 3 2 2 7 3 2" xfId="36449" xr:uid="{210C7611-A297-4AD0-BCC7-328EC56D803F}"/>
    <cellStyle name="Normal 8 3 2 2 7 4" xfId="11145" xr:uid="{00000000-0005-0000-0000-000023560000}"/>
    <cellStyle name="Normal 8 3 2 2 7 5" xfId="28015" xr:uid="{8F755181-B628-4BF2-8B33-02D866D1D9FD}"/>
    <cellStyle name="Normal 8 3 2 2 8" xfId="4863" xr:uid="{00000000-0005-0000-0000-000024560000}"/>
    <cellStyle name="Normal 8 3 2 2 8 2" xfId="21733" xr:uid="{00000000-0005-0000-0000-000025560000}"/>
    <cellStyle name="Normal 8 3 2 2 8 2 2" xfId="38601" xr:uid="{9F117CF0-7F16-4DA0-8B08-AA19348CFB99}"/>
    <cellStyle name="Normal 8 3 2 2 8 3" xfId="13298" xr:uid="{00000000-0005-0000-0000-000026560000}"/>
    <cellStyle name="Normal 8 3 2 2 8 4" xfId="30167" xr:uid="{3069F5A1-D355-4502-B0EE-307BD1F1C657}"/>
    <cellStyle name="Normal 8 3 2 2 9" xfId="17515" xr:uid="{00000000-0005-0000-0000-000027560000}"/>
    <cellStyle name="Normal 8 3 2 2 9 2" xfId="34384" xr:uid="{AEFD3D90-205C-4A32-A5F9-6D82B63E3B16}"/>
    <cellStyle name="Normal 8 3 2 3" xfId="499" xr:uid="{00000000-0005-0000-0000-000028560000}"/>
    <cellStyle name="Normal 8 3 2 3 10" xfId="25952" xr:uid="{0C4178DE-2048-4EB8-84B1-19D889D78151}"/>
    <cellStyle name="Normal 8 3 2 3 2" xfId="966" xr:uid="{00000000-0005-0000-0000-000029560000}"/>
    <cellStyle name="Normal 8 3 2 3 2 2" xfId="3200" xr:uid="{00000000-0005-0000-0000-00002A560000}"/>
    <cellStyle name="Normal 8 3 2 3 2 2 2" xfId="7423" xr:uid="{00000000-0005-0000-0000-00002B560000}"/>
    <cellStyle name="Normal 8 3 2 3 2 2 2 2" xfId="24293" xr:uid="{00000000-0005-0000-0000-00002C560000}"/>
    <cellStyle name="Normal 8 3 2 3 2 2 2 2 2" xfId="41161" xr:uid="{6E6CDB19-F405-41E2-8C2D-FBB2296D3273}"/>
    <cellStyle name="Normal 8 3 2 3 2 2 2 3" xfId="15858" xr:uid="{00000000-0005-0000-0000-00002D560000}"/>
    <cellStyle name="Normal 8 3 2 3 2 2 2 4" xfId="32727" xr:uid="{2C3B0781-484C-42E3-9AAC-9E46DBB6BD68}"/>
    <cellStyle name="Normal 8 3 2 3 2 2 3" xfId="20075" xr:uid="{00000000-0005-0000-0000-00002E560000}"/>
    <cellStyle name="Normal 8 3 2 3 2 2 3 2" xfId="36944" xr:uid="{0AF5CE98-6FEB-4143-99D8-EE0A1F1CABCD}"/>
    <cellStyle name="Normal 8 3 2 3 2 2 4" xfId="11640" xr:uid="{00000000-0005-0000-0000-00002F560000}"/>
    <cellStyle name="Normal 8 3 2 3 2 2 5" xfId="28510" xr:uid="{912381EF-FC8D-4DA9-83D2-D0A60803E6C9}"/>
    <cellStyle name="Normal 8 3 2 3 2 3" xfId="5278" xr:uid="{00000000-0005-0000-0000-000030560000}"/>
    <cellStyle name="Normal 8 3 2 3 2 3 2" xfId="22148" xr:uid="{00000000-0005-0000-0000-000031560000}"/>
    <cellStyle name="Normal 8 3 2 3 2 3 2 2" xfId="39016" xr:uid="{6F5BDDE6-C4E2-4F8E-8027-47D2D3A6B047}"/>
    <cellStyle name="Normal 8 3 2 3 2 3 3" xfId="13713" xr:uid="{00000000-0005-0000-0000-000032560000}"/>
    <cellStyle name="Normal 8 3 2 3 2 3 4" xfId="30582" xr:uid="{3C51AD51-C12B-47C2-A366-3515E8383A8D}"/>
    <cellStyle name="Normal 8 3 2 3 2 4" xfId="17930" xr:uid="{00000000-0005-0000-0000-000033560000}"/>
    <cellStyle name="Normal 8 3 2 3 2 4 2" xfId="34799" xr:uid="{FF3BC381-5A83-4A6D-AC79-370637F522B1}"/>
    <cellStyle name="Normal 8 3 2 3 2 5" xfId="9495" xr:uid="{00000000-0005-0000-0000-000034560000}"/>
    <cellStyle name="Normal 8 3 2 3 2 6" xfId="26365" xr:uid="{BF501650-A191-4780-8A90-687C7201A24A}"/>
    <cellStyle name="Normal 8 3 2 3 3" xfId="1383" xr:uid="{00000000-0005-0000-0000-000035560000}"/>
    <cellStyle name="Normal 8 3 2 3 3 2" xfId="3613" xr:uid="{00000000-0005-0000-0000-000036560000}"/>
    <cellStyle name="Normal 8 3 2 3 3 2 2" xfId="7836" xr:uid="{00000000-0005-0000-0000-000037560000}"/>
    <cellStyle name="Normal 8 3 2 3 3 2 2 2" xfId="24706" xr:uid="{00000000-0005-0000-0000-000038560000}"/>
    <cellStyle name="Normal 8 3 2 3 3 2 2 2 2" xfId="41574" xr:uid="{C4E4FAE1-2EBD-471B-BEF7-2ECC4800AD02}"/>
    <cellStyle name="Normal 8 3 2 3 3 2 2 3" xfId="16271" xr:uid="{00000000-0005-0000-0000-000039560000}"/>
    <cellStyle name="Normal 8 3 2 3 3 2 2 4" xfId="33140" xr:uid="{0A988A96-536C-4481-961E-9F41CBB8296D}"/>
    <cellStyle name="Normal 8 3 2 3 3 2 3" xfId="20488" xr:uid="{00000000-0005-0000-0000-00003A560000}"/>
    <cellStyle name="Normal 8 3 2 3 3 2 3 2" xfId="37357" xr:uid="{4C474FF3-D109-4247-AFD0-A0E10479FFFD}"/>
    <cellStyle name="Normal 8 3 2 3 3 2 4" xfId="12053" xr:uid="{00000000-0005-0000-0000-00003B560000}"/>
    <cellStyle name="Normal 8 3 2 3 3 2 5" xfId="28923" xr:uid="{65C43A6B-0B60-4F67-BC8D-E55C4B9C01D0}"/>
    <cellStyle name="Normal 8 3 2 3 3 3" xfId="5691" xr:uid="{00000000-0005-0000-0000-00003C560000}"/>
    <cellStyle name="Normal 8 3 2 3 3 3 2" xfId="22561" xr:uid="{00000000-0005-0000-0000-00003D560000}"/>
    <cellStyle name="Normal 8 3 2 3 3 3 2 2" xfId="39429" xr:uid="{349FCBC3-FAAC-4B8B-8DB4-773BDF556318}"/>
    <cellStyle name="Normal 8 3 2 3 3 3 3" xfId="14126" xr:uid="{00000000-0005-0000-0000-00003E560000}"/>
    <cellStyle name="Normal 8 3 2 3 3 3 4" xfId="30995" xr:uid="{888A30FB-D1B4-40B6-8EAD-AC38AB378315}"/>
    <cellStyle name="Normal 8 3 2 3 3 4" xfId="18343" xr:uid="{00000000-0005-0000-0000-00003F560000}"/>
    <cellStyle name="Normal 8 3 2 3 3 4 2" xfId="35212" xr:uid="{C6978752-400C-4FC3-9417-58F041D5AB7A}"/>
    <cellStyle name="Normal 8 3 2 3 3 5" xfId="9908" xr:uid="{00000000-0005-0000-0000-000040560000}"/>
    <cellStyle name="Normal 8 3 2 3 3 6" xfId="26778" xr:uid="{1ADCE5A2-107D-4B8F-A4BC-A2E565A2A5D3}"/>
    <cellStyle name="Normal 8 3 2 3 4" xfId="1796" xr:uid="{00000000-0005-0000-0000-000041560000}"/>
    <cellStyle name="Normal 8 3 2 3 4 2" xfId="4026" xr:uid="{00000000-0005-0000-0000-000042560000}"/>
    <cellStyle name="Normal 8 3 2 3 4 2 2" xfId="8249" xr:uid="{00000000-0005-0000-0000-000043560000}"/>
    <cellStyle name="Normal 8 3 2 3 4 2 2 2" xfId="25119" xr:uid="{00000000-0005-0000-0000-000044560000}"/>
    <cellStyle name="Normal 8 3 2 3 4 2 2 2 2" xfId="41987" xr:uid="{41F7ECCB-6874-4557-B82F-DCEAEC1D41DB}"/>
    <cellStyle name="Normal 8 3 2 3 4 2 2 3" xfId="16684" xr:uid="{00000000-0005-0000-0000-000045560000}"/>
    <cellStyle name="Normal 8 3 2 3 4 2 2 4" xfId="33553" xr:uid="{198CE1C7-5767-409B-8DBF-B7A4A9C1D2C5}"/>
    <cellStyle name="Normal 8 3 2 3 4 2 3" xfId="20901" xr:uid="{00000000-0005-0000-0000-000046560000}"/>
    <cellStyle name="Normal 8 3 2 3 4 2 3 2" xfId="37770" xr:uid="{E67EB39E-0726-4766-94C0-58E8AE022D1B}"/>
    <cellStyle name="Normal 8 3 2 3 4 2 4" xfId="12466" xr:uid="{00000000-0005-0000-0000-000047560000}"/>
    <cellStyle name="Normal 8 3 2 3 4 2 5" xfId="29336" xr:uid="{86497BDB-D403-4313-AE77-B0D75B3404DA}"/>
    <cellStyle name="Normal 8 3 2 3 4 3" xfId="6104" xr:uid="{00000000-0005-0000-0000-000048560000}"/>
    <cellStyle name="Normal 8 3 2 3 4 3 2" xfId="22974" xr:uid="{00000000-0005-0000-0000-000049560000}"/>
    <cellStyle name="Normal 8 3 2 3 4 3 2 2" xfId="39842" xr:uid="{0C9B4C03-5ACE-414F-B679-D52C1C01F0FB}"/>
    <cellStyle name="Normal 8 3 2 3 4 3 3" xfId="14539" xr:uid="{00000000-0005-0000-0000-00004A560000}"/>
    <cellStyle name="Normal 8 3 2 3 4 3 4" xfId="31408" xr:uid="{0920F239-14AE-4DCA-B7B4-3EE7CAABCB28}"/>
    <cellStyle name="Normal 8 3 2 3 4 4" xfId="18756" xr:uid="{00000000-0005-0000-0000-00004B560000}"/>
    <cellStyle name="Normal 8 3 2 3 4 4 2" xfId="35625" xr:uid="{8365018F-0761-4A2B-95CA-6EBDF12B383F}"/>
    <cellStyle name="Normal 8 3 2 3 4 5" xfId="10321" xr:uid="{00000000-0005-0000-0000-00004C560000}"/>
    <cellStyle name="Normal 8 3 2 3 4 6" xfId="27191" xr:uid="{1E2F05B8-B619-4961-A3F0-B65301DC5584}"/>
    <cellStyle name="Normal 8 3 2 3 5" xfId="2210" xr:uid="{00000000-0005-0000-0000-00004D560000}"/>
    <cellStyle name="Normal 8 3 2 3 5 2" xfId="4439" xr:uid="{00000000-0005-0000-0000-00004E560000}"/>
    <cellStyle name="Normal 8 3 2 3 5 2 2" xfId="8662" xr:uid="{00000000-0005-0000-0000-00004F560000}"/>
    <cellStyle name="Normal 8 3 2 3 5 2 2 2" xfId="25532" xr:uid="{00000000-0005-0000-0000-000050560000}"/>
    <cellStyle name="Normal 8 3 2 3 5 2 2 2 2" xfId="42400" xr:uid="{6826F817-5AF9-4EE6-B9D8-5CD9CF5DB0B3}"/>
    <cellStyle name="Normal 8 3 2 3 5 2 2 3" xfId="17097" xr:uid="{00000000-0005-0000-0000-000051560000}"/>
    <cellStyle name="Normal 8 3 2 3 5 2 2 4" xfId="33966" xr:uid="{320CB694-AC56-44CF-A66D-9EBE34E21A38}"/>
    <cellStyle name="Normal 8 3 2 3 5 2 3" xfId="21314" xr:uid="{00000000-0005-0000-0000-000052560000}"/>
    <cellStyle name="Normal 8 3 2 3 5 2 3 2" xfId="38183" xr:uid="{DAB1AEF9-ADA9-4133-BCA2-3922D04245B0}"/>
    <cellStyle name="Normal 8 3 2 3 5 2 4" xfId="12879" xr:uid="{00000000-0005-0000-0000-000053560000}"/>
    <cellStyle name="Normal 8 3 2 3 5 2 5" xfId="29749" xr:uid="{C513B415-55F2-42AE-9794-BEB8E022DE9A}"/>
    <cellStyle name="Normal 8 3 2 3 5 3" xfId="6517" xr:uid="{00000000-0005-0000-0000-000054560000}"/>
    <cellStyle name="Normal 8 3 2 3 5 3 2" xfId="23387" xr:uid="{00000000-0005-0000-0000-000055560000}"/>
    <cellStyle name="Normal 8 3 2 3 5 3 2 2" xfId="40255" xr:uid="{7FEEB81C-60A0-4124-9AAF-7A371269DC53}"/>
    <cellStyle name="Normal 8 3 2 3 5 3 3" xfId="14952" xr:uid="{00000000-0005-0000-0000-000056560000}"/>
    <cellStyle name="Normal 8 3 2 3 5 3 4" xfId="31821" xr:uid="{2E6112A5-874B-482A-A69D-CD4FE55EA902}"/>
    <cellStyle name="Normal 8 3 2 3 5 4" xfId="19169" xr:uid="{00000000-0005-0000-0000-000057560000}"/>
    <cellStyle name="Normal 8 3 2 3 5 4 2" xfId="36038" xr:uid="{C997CFBC-A9DD-47C4-B11B-382597C86975}"/>
    <cellStyle name="Normal 8 3 2 3 5 5" xfId="10734" xr:uid="{00000000-0005-0000-0000-000058560000}"/>
    <cellStyle name="Normal 8 3 2 3 5 6" xfId="27604" xr:uid="{B28100F6-1020-40A8-85A6-655647C2E7EB}"/>
    <cellStyle name="Normal 8 3 2 3 6" xfId="2646" xr:uid="{00000000-0005-0000-0000-000059560000}"/>
    <cellStyle name="Normal 8 3 2 3 6 2" xfId="6930" xr:uid="{00000000-0005-0000-0000-00005A560000}"/>
    <cellStyle name="Normal 8 3 2 3 6 2 2" xfId="23800" xr:uid="{00000000-0005-0000-0000-00005B560000}"/>
    <cellStyle name="Normal 8 3 2 3 6 2 2 2" xfId="40668" xr:uid="{8E3234D2-AE75-432F-B5C9-3BD53EBD7499}"/>
    <cellStyle name="Normal 8 3 2 3 6 2 3" xfId="15365" xr:uid="{00000000-0005-0000-0000-00005C560000}"/>
    <cellStyle name="Normal 8 3 2 3 6 2 4" xfId="32234" xr:uid="{13E75FDF-68B8-4BE2-BCE3-69B58785C642}"/>
    <cellStyle name="Normal 8 3 2 3 6 3" xfId="19582" xr:uid="{00000000-0005-0000-0000-00005D560000}"/>
    <cellStyle name="Normal 8 3 2 3 6 3 2" xfId="36451" xr:uid="{F6752879-21F8-4929-B22E-5E867BA51416}"/>
    <cellStyle name="Normal 8 3 2 3 6 4" xfId="11147" xr:uid="{00000000-0005-0000-0000-00005E560000}"/>
    <cellStyle name="Normal 8 3 2 3 6 5" xfId="28017" xr:uid="{D9CEB270-061C-44F1-B89C-8235620A9D05}"/>
    <cellStyle name="Normal 8 3 2 3 7" xfId="4865" xr:uid="{00000000-0005-0000-0000-00005F560000}"/>
    <cellStyle name="Normal 8 3 2 3 7 2" xfId="21735" xr:uid="{00000000-0005-0000-0000-000060560000}"/>
    <cellStyle name="Normal 8 3 2 3 7 2 2" xfId="38603" xr:uid="{2F60664C-2CA4-4A3A-96A0-01E6FF94C0AD}"/>
    <cellStyle name="Normal 8 3 2 3 7 3" xfId="13300" xr:uid="{00000000-0005-0000-0000-000061560000}"/>
    <cellStyle name="Normal 8 3 2 3 7 4" xfId="30169" xr:uid="{E29B174D-09CD-4E51-B877-6A9EC1D5B6A5}"/>
    <cellStyle name="Normal 8 3 2 3 8" xfId="17517" xr:uid="{00000000-0005-0000-0000-000062560000}"/>
    <cellStyle name="Normal 8 3 2 3 8 2" xfId="34386" xr:uid="{8CFBF24E-56B8-4D71-AE96-5AE10E43E222}"/>
    <cellStyle name="Normal 8 3 2 3 9" xfId="9082" xr:uid="{00000000-0005-0000-0000-000063560000}"/>
    <cellStyle name="Normal 8 3 2 4" xfId="963" xr:uid="{00000000-0005-0000-0000-000064560000}"/>
    <cellStyle name="Normal 8 3 2 4 2" xfId="3197" xr:uid="{00000000-0005-0000-0000-000065560000}"/>
    <cellStyle name="Normal 8 3 2 4 2 2" xfId="7420" xr:uid="{00000000-0005-0000-0000-000066560000}"/>
    <cellStyle name="Normal 8 3 2 4 2 2 2" xfId="24290" xr:uid="{00000000-0005-0000-0000-000067560000}"/>
    <cellStyle name="Normal 8 3 2 4 2 2 2 2" xfId="41158" xr:uid="{46BCABBC-3F40-43E0-A0ED-FF2A9915866A}"/>
    <cellStyle name="Normal 8 3 2 4 2 2 3" xfId="15855" xr:uid="{00000000-0005-0000-0000-000068560000}"/>
    <cellStyle name="Normal 8 3 2 4 2 2 4" xfId="32724" xr:uid="{345C5C8D-FA21-4EA7-9D1B-04A6BCBC7E42}"/>
    <cellStyle name="Normal 8 3 2 4 2 3" xfId="20072" xr:uid="{00000000-0005-0000-0000-000069560000}"/>
    <cellStyle name="Normal 8 3 2 4 2 3 2" xfId="36941" xr:uid="{58040A51-71CE-4B8B-AC55-F25F131E3482}"/>
    <cellStyle name="Normal 8 3 2 4 2 4" xfId="11637" xr:uid="{00000000-0005-0000-0000-00006A560000}"/>
    <cellStyle name="Normal 8 3 2 4 2 5" xfId="28507" xr:uid="{DA9AA2AB-840A-4029-8BC0-797207661E96}"/>
    <cellStyle name="Normal 8 3 2 4 3" xfId="5275" xr:uid="{00000000-0005-0000-0000-00006B560000}"/>
    <cellStyle name="Normal 8 3 2 4 3 2" xfId="22145" xr:uid="{00000000-0005-0000-0000-00006C560000}"/>
    <cellStyle name="Normal 8 3 2 4 3 2 2" xfId="39013" xr:uid="{C2015033-E2CC-44A1-ACFB-8A4836977B3B}"/>
    <cellStyle name="Normal 8 3 2 4 3 3" xfId="13710" xr:uid="{00000000-0005-0000-0000-00006D560000}"/>
    <cellStyle name="Normal 8 3 2 4 3 4" xfId="30579" xr:uid="{E8D2A2B6-729F-4740-B739-1E8669FB4C2D}"/>
    <cellStyle name="Normal 8 3 2 4 4" xfId="17927" xr:uid="{00000000-0005-0000-0000-00006E560000}"/>
    <cellStyle name="Normal 8 3 2 4 4 2" xfId="34796" xr:uid="{8EF8B96A-F714-4F79-A068-1939EF52D166}"/>
    <cellStyle name="Normal 8 3 2 4 5" xfId="9492" xr:uid="{00000000-0005-0000-0000-00006F560000}"/>
    <cellStyle name="Normal 8 3 2 4 6" xfId="26362" xr:uid="{510707DD-8671-4971-B325-B66CC5BF7BC8}"/>
    <cellStyle name="Normal 8 3 2 5" xfId="1380" xr:uid="{00000000-0005-0000-0000-000070560000}"/>
    <cellStyle name="Normal 8 3 2 5 2" xfId="3610" xr:uid="{00000000-0005-0000-0000-000071560000}"/>
    <cellStyle name="Normal 8 3 2 5 2 2" xfId="7833" xr:uid="{00000000-0005-0000-0000-000072560000}"/>
    <cellStyle name="Normal 8 3 2 5 2 2 2" xfId="24703" xr:uid="{00000000-0005-0000-0000-000073560000}"/>
    <cellStyle name="Normal 8 3 2 5 2 2 2 2" xfId="41571" xr:uid="{77A9003A-DF8E-4C8E-B682-719401493E4C}"/>
    <cellStyle name="Normal 8 3 2 5 2 2 3" xfId="16268" xr:uid="{00000000-0005-0000-0000-000074560000}"/>
    <cellStyle name="Normal 8 3 2 5 2 2 4" xfId="33137" xr:uid="{1A495339-32BA-40A1-95BD-AB922EEEA177}"/>
    <cellStyle name="Normal 8 3 2 5 2 3" xfId="20485" xr:uid="{00000000-0005-0000-0000-000075560000}"/>
    <cellStyle name="Normal 8 3 2 5 2 3 2" xfId="37354" xr:uid="{8212FFEE-BE93-4316-A253-18C134A19F3A}"/>
    <cellStyle name="Normal 8 3 2 5 2 4" xfId="12050" xr:uid="{00000000-0005-0000-0000-000076560000}"/>
    <cellStyle name="Normal 8 3 2 5 2 5" xfId="28920" xr:uid="{1C7219AB-AF6A-41B4-90D9-0FF55FCE3A00}"/>
    <cellStyle name="Normal 8 3 2 5 3" xfId="5688" xr:uid="{00000000-0005-0000-0000-000077560000}"/>
    <cellStyle name="Normal 8 3 2 5 3 2" xfId="22558" xr:uid="{00000000-0005-0000-0000-000078560000}"/>
    <cellStyle name="Normal 8 3 2 5 3 2 2" xfId="39426" xr:uid="{71F4E032-6918-4507-B213-27EB9CCC9775}"/>
    <cellStyle name="Normal 8 3 2 5 3 3" xfId="14123" xr:uid="{00000000-0005-0000-0000-000079560000}"/>
    <cellStyle name="Normal 8 3 2 5 3 4" xfId="30992" xr:uid="{B8D8E9D7-4D3B-4BBF-8622-0811FD975498}"/>
    <cellStyle name="Normal 8 3 2 5 4" xfId="18340" xr:uid="{00000000-0005-0000-0000-00007A560000}"/>
    <cellStyle name="Normal 8 3 2 5 4 2" xfId="35209" xr:uid="{732C829A-C25A-4381-9422-3756F7486C29}"/>
    <cellStyle name="Normal 8 3 2 5 5" xfId="9905" xr:uid="{00000000-0005-0000-0000-00007B560000}"/>
    <cellStyle name="Normal 8 3 2 5 6" xfId="26775" xr:uid="{CA5190BC-FED3-4085-BA88-BFC435745619}"/>
    <cellStyle name="Normal 8 3 2 6" xfId="1793" xr:uid="{00000000-0005-0000-0000-00007C560000}"/>
    <cellStyle name="Normal 8 3 2 6 2" xfId="4023" xr:uid="{00000000-0005-0000-0000-00007D560000}"/>
    <cellStyle name="Normal 8 3 2 6 2 2" xfId="8246" xr:uid="{00000000-0005-0000-0000-00007E560000}"/>
    <cellStyle name="Normal 8 3 2 6 2 2 2" xfId="25116" xr:uid="{00000000-0005-0000-0000-00007F560000}"/>
    <cellStyle name="Normal 8 3 2 6 2 2 2 2" xfId="41984" xr:uid="{07FD9609-A2B9-4BA6-A552-51C108014118}"/>
    <cellStyle name="Normal 8 3 2 6 2 2 3" xfId="16681" xr:uid="{00000000-0005-0000-0000-000080560000}"/>
    <cellStyle name="Normal 8 3 2 6 2 2 4" xfId="33550" xr:uid="{1B4638D9-6BA5-42AF-B086-AFC393890B03}"/>
    <cellStyle name="Normal 8 3 2 6 2 3" xfId="20898" xr:uid="{00000000-0005-0000-0000-000081560000}"/>
    <cellStyle name="Normal 8 3 2 6 2 3 2" xfId="37767" xr:uid="{4C015A75-62BA-4187-9B05-5BB1ADF85D8D}"/>
    <cellStyle name="Normal 8 3 2 6 2 4" xfId="12463" xr:uid="{00000000-0005-0000-0000-000082560000}"/>
    <cellStyle name="Normal 8 3 2 6 2 5" xfId="29333" xr:uid="{CE73D8F8-4519-47A2-BFD5-97CB8FD3B20D}"/>
    <cellStyle name="Normal 8 3 2 6 3" xfId="6101" xr:uid="{00000000-0005-0000-0000-000083560000}"/>
    <cellStyle name="Normal 8 3 2 6 3 2" xfId="22971" xr:uid="{00000000-0005-0000-0000-000084560000}"/>
    <cellStyle name="Normal 8 3 2 6 3 2 2" xfId="39839" xr:uid="{CF532FD3-FF98-41CF-912F-3F4D6AF2A32F}"/>
    <cellStyle name="Normal 8 3 2 6 3 3" xfId="14536" xr:uid="{00000000-0005-0000-0000-000085560000}"/>
    <cellStyle name="Normal 8 3 2 6 3 4" xfId="31405" xr:uid="{DE25480D-5551-46BB-97DF-EA918D3E296F}"/>
    <cellStyle name="Normal 8 3 2 6 4" xfId="18753" xr:uid="{00000000-0005-0000-0000-000086560000}"/>
    <cellStyle name="Normal 8 3 2 6 4 2" xfId="35622" xr:uid="{AA2F1A98-2C20-46D8-A9B7-5699C159A018}"/>
    <cellStyle name="Normal 8 3 2 6 5" xfId="10318" xr:uid="{00000000-0005-0000-0000-000087560000}"/>
    <cellStyle name="Normal 8 3 2 6 6" xfId="27188" xr:uid="{136282B3-B123-4E2E-8B11-0BF8CAE8FEE0}"/>
    <cellStyle name="Normal 8 3 2 7" xfId="2207" xr:uid="{00000000-0005-0000-0000-000088560000}"/>
    <cellStyle name="Normal 8 3 2 7 2" xfId="4436" xr:uid="{00000000-0005-0000-0000-000089560000}"/>
    <cellStyle name="Normal 8 3 2 7 2 2" xfId="8659" xr:uid="{00000000-0005-0000-0000-00008A560000}"/>
    <cellStyle name="Normal 8 3 2 7 2 2 2" xfId="25529" xr:uid="{00000000-0005-0000-0000-00008B560000}"/>
    <cellStyle name="Normal 8 3 2 7 2 2 2 2" xfId="42397" xr:uid="{78D558B0-EB30-417D-86C7-A8A16B5BC1C2}"/>
    <cellStyle name="Normal 8 3 2 7 2 2 3" xfId="17094" xr:uid="{00000000-0005-0000-0000-00008C560000}"/>
    <cellStyle name="Normal 8 3 2 7 2 2 4" xfId="33963" xr:uid="{D04EC6E9-A592-456F-B0DC-B95DBA89D55C}"/>
    <cellStyle name="Normal 8 3 2 7 2 3" xfId="21311" xr:uid="{00000000-0005-0000-0000-00008D560000}"/>
    <cellStyle name="Normal 8 3 2 7 2 3 2" xfId="38180" xr:uid="{A5B6CE3A-8B1B-4849-B546-0B4A4731C755}"/>
    <cellStyle name="Normal 8 3 2 7 2 4" xfId="12876" xr:uid="{00000000-0005-0000-0000-00008E560000}"/>
    <cellStyle name="Normal 8 3 2 7 2 5" xfId="29746" xr:uid="{2A6FCE46-3F4B-4477-A101-2CB69F404165}"/>
    <cellStyle name="Normal 8 3 2 7 3" xfId="6514" xr:uid="{00000000-0005-0000-0000-00008F560000}"/>
    <cellStyle name="Normal 8 3 2 7 3 2" xfId="23384" xr:uid="{00000000-0005-0000-0000-000090560000}"/>
    <cellStyle name="Normal 8 3 2 7 3 2 2" xfId="40252" xr:uid="{02B68869-B2DE-4BA5-B0FD-3F995B7070B4}"/>
    <cellStyle name="Normal 8 3 2 7 3 3" xfId="14949" xr:uid="{00000000-0005-0000-0000-000091560000}"/>
    <cellStyle name="Normal 8 3 2 7 3 4" xfId="31818" xr:uid="{89E5E48E-1E46-4E96-B04A-04FC30698870}"/>
    <cellStyle name="Normal 8 3 2 7 4" xfId="19166" xr:uid="{00000000-0005-0000-0000-000092560000}"/>
    <cellStyle name="Normal 8 3 2 7 4 2" xfId="36035" xr:uid="{567E3CD7-5EDC-4C22-B98B-C93515B29156}"/>
    <cellStyle name="Normal 8 3 2 7 5" xfId="10731" xr:uid="{00000000-0005-0000-0000-000093560000}"/>
    <cellStyle name="Normal 8 3 2 7 6" xfId="27601" xr:uid="{88064227-BABB-4A01-83A8-5C80E2254FDB}"/>
    <cellStyle name="Normal 8 3 2 8" xfId="2643" xr:uid="{00000000-0005-0000-0000-000094560000}"/>
    <cellStyle name="Normal 8 3 2 8 2" xfId="6927" xr:uid="{00000000-0005-0000-0000-000095560000}"/>
    <cellStyle name="Normal 8 3 2 8 2 2" xfId="23797" xr:uid="{00000000-0005-0000-0000-000096560000}"/>
    <cellStyle name="Normal 8 3 2 8 2 2 2" xfId="40665" xr:uid="{02CB0312-11CF-45AF-862D-3888390C7359}"/>
    <cellStyle name="Normal 8 3 2 8 2 3" xfId="15362" xr:uid="{00000000-0005-0000-0000-000097560000}"/>
    <cellStyle name="Normal 8 3 2 8 2 4" xfId="32231" xr:uid="{A11F4E7F-CB9F-4BB4-BA85-F341759875D2}"/>
    <cellStyle name="Normal 8 3 2 8 3" xfId="19579" xr:uid="{00000000-0005-0000-0000-000098560000}"/>
    <cellStyle name="Normal 8 3 2 8 3 2" xfId="36448" xr:uid="{387DB772-0E76-4AED-A1DC-97393C2FA017}"/>
    <cellStyle name="Normal 8 3 2 8 4" xfId="11144" xr:uid="{00000000-0005-0000-0000-000099560000}"/>
    <cellStyle name="Normal 8 3 2 8 5" xfId="28014" xr:uid="{28F0BC0D-003B-4935-BA12-32427A417284}"/>
    <cellStyle name="Normal 8 3 2 9" xfId="4862" xr:uid="{00000000-0005-0000-0000-00009A560000}"/>
    <cellStyle name="Normal 8 3 2 9 2" xfId="21732" xr:uid="{00000000-0005-0000-0000-00009B560000}"/>
    <cellStyle name="Normal 8 3 2 9 2 2" xfId="38600" xr:uid="{5B8CCDDF-CD47-4EF2-86A6-AA12A0244F37}"/>
    <cellStyle name="Normal 8 3 2 9 3" xfId="13297" xr:uid="{00000000-0005-0000-0000-00009C560000}"/>
    <cellStyle name="Normal 8 3 2 9 4" xfId="30166" xr:uid="{0575CE9C-0970-456B-A1AD-CF41106F3673}"/>
    <cellStyle name="Normal 8 3 3" xfId="500" xr:uid="{00000000-0005-0000-0000-00009D560000}"/>
    <cellStyle name="Normal 8 3 3 10" xfId="9083" xr:uid="{00000000-0005-0000-0000-00009E560000}"/>
    <cellStyle name="Normal 8 3 3 11" xfId="25953" xr:uid="{A0148121-185D-4D08-939D-F89C9372536C}"/>
    <cellStyle name="Normal 8 3 3 2" xfId="501" xr:uid="{00000000-0005-0000-0000-00009F560000}"/>
    <cellStyle name="Normal 8 3 3 2 10" xfId="25954" xr:uid="{FAF1C00D-A250-4D88-854E-C7350A146E47}"/>
    <cellStyle name="Normal 8 3 3 2 2" xfId="968" xr:uid="{00000000-0005-0000-0000-0000A0560000}"/>
    <cellStyle name="Normal 8 3 3 2 2 2" xfId="3202" xr:uid="{00000000-0005-0000-0000-0000A1560000}"/>
    <cellStyle name="Normal 8 3 3 2 2 2 2" xfId="7425" xr:uid="{00000000-0005-0000-0000-0000A2560000}"/>
    <cellStyle name="Normal 8 3 3 2 2 2 2 2" xfId="24295" xr:uid="{00000000-0005-0000-0000-0000A3560000}"/>
    <cellStyle name="Normal 8 3 3 2 2 2 2 2 2" xfId="41163" xr:uid="{74E2FFB2-61E6-448B-A7D3-3F2089365380}"/>
    <cellStyle name="Normal 8 3 3 2 2 2 2 3" xfId="15860" xr:uid="{00000000-0005-0000-0000-0000A4560000}"/>
    <cellStyle name="Normal 8 3 3 2 2 2 2 4" xfId="32729" xr:uid="{0BFE7236-AA30-4937-B934-80E6E9F63FCD}"/>
    <cellStyle name="Normal 8 3 3 2 2 2 3" xfId="20077" xr:uid="{00000000-0005-0000-0000-0000A5560000}"/>
    <cellStyle name="Normal 8 3 3 2 2 2 3 2" xfId="36946" xr:uid="{DEF60A32-2A9C-4386-9795-0A4112A44FF6}"/>
    <cellStyle name="Normal 8 3 3 2 2 2 4" xfId="11642" xr:uid="{00000000-0005-0000-0000-0000A6560000}"/>
    <cellStyle name="Normal 8 3 3 2 2 2 5" xfId="28512" xr:uid="{07D744BB-1A45-4A63-AB98-79C8A29819F7}"/>
    <cellStyle name="Normal 8 3 3 2 2 3" xfId="5280" xr:uid="{00000000-0005-0000-0000-0000A7560000}"/>
    <cellStyle name="Normal 8 3 3 2 2 3 2" xfId="22150" xr:uid="{00000000-0005-0000-0000-0000A8560000}"/>
    <cellStyle name="Normal 8 3 3 2 2 3 2 2" xfId="39018" xr:uid="{8E9F97FF-D580-4F5A-AC99-D4C79C69E49C}"/>
    <cellStyle name="Normal 8 3 3 2 2 3 3" xfId="13715" xr:uid="{00000000-0005-0000-0000-0000A9560000}"/>
    <cellStyle name="Normal 8 3 3 2 2 3 4" xfId="30584" xr:uid="{AC86AFE1-2182-4A71-9F56-1855C63CE5B5}"/>
    <cellStyle name="Normal 8 3 3 2 2 4" xfId="17932" xr:uid="{00000000-0005-0000-0000-0000AA560000}"/>
    <cellStyle name="Normal 8 3 3 2 2 4 2" xfId="34801" xr:uid="{A80CCDE3-D53D-416F-8BB9-E938CACD9A1F}"/>
    <cellStyle name="Normal 8 3 3 2 2 5" xfId="9497" xr:uid="{00000000-0005-0000-0000-0000AB560000}"/>
    <cellStyle name="Normal 8 3 3 2 2 6" xfId="26367" xr:uid="{578C5BF8-096B-4B11-BB90-A1B94412DACA}"/>
    <cellStyle name="Normal 8 3 3 2 3" xfId="1385" xr:uid="{00000000-0005-0000-0000-0000AC560000}"/>
    <cellStyle name="Normal 8 3 3 2 3 2" xfId="3615" xr:uid="{00000000-0005-0000-0000-0000AD560000}"/>
    <cellStyle name="Normal 8 3 3 2 3 2 2" xfId="7838" xr:uid="{00000000-0005-0000-0000-0000AE560000}"/>
    <cellStyle name="Normal 8 3 3 2 3 2 2 2" xfId="24708" xr:uid="{00000000-0005-0000-0000-0000AF560000}"/>
    <cellStyle name="Normal 8 3 3 2 3 2 2 2 2" xfId="41576" xr:uid="{8D76EE0E-D1D0-4E17-9266-2EAA1464B7D4}"/>
    <cellStyle name="Normal 8 3 3 2 3 2 2 3" xfId="16273" xr:uid="{00000000-0005-0000-0000-0000B0560000}"/>
    <cellStyle name="Normal 8 3 3 2 3 2 2 4" xfId="33142" xr:uid="{8C9D2304-A7A3-42A3-BE98-E9EB9819A174}"/>
    <cellStyle name="Normal 8 3 3 2 3 2 3" xfId="20490" xr:uid="{00000000-0005-0000-0000-0000B1560000}"/>
    <cellStyle name="Normal 8 3 3 2 3 2 3 2" xfId="37359" xr:uid="{3DDD39D8-80AB-4673-9AA2-4CBA5876FD17}"/>
    <cellStyle name="Normal 8 3 3 2 3 2 4" xfId="12055" xr:uid="{00000000-0005-0000-0000-0000B2560000}"/>
    <cellStyle name="Normal 8 3 3 2 3 2 5" xfId="28925" xr:uid="{E5366AF0-280A-4DB4-A88B-8CCF051FAC46}"/>
    <cellStyle name="Normal 8 3 3 2 3 3" xfId="5693" xr:uid="{00000000-0005-0000-0000-0000B3560000}"/>
    <cellStyle name="Normal 8 3 3 2 3 3 2" xfId="22563" xr:uid="{00000000-0005-0000-0000-0000B4560000}"/>
    <cellStyle name="Normal 8 3 3 2 3 3 2 2" xfId="39431" xr:uid="{19959DDB-836E-44CB-96A2-C62312B7324C}"/>
    <cellStyle name="Normal 8 3 3 2 3 3 3" xfId="14128" xr:uid="{00000000-0005-0000-0000-0000B5560000}"/>
    <cellStyle name="Normal 8 3 3 2 3 3 4" xfId="30997" xr:uid="{25FC9DD9-569C-489F-A5E2-BB4D892F1CD5}"/>
    <cellStyle name="Normal 8 3 3 2 3 4" xfId="18345" xr:uid="{00000000-0005-0000-0000-0000B6560000}"/>
    <cellStyle name="Normal 8 3 3 2 3 4 2" xfId="35214" xr:uid="{370871C3-6D61-4ABA-B4EA-138DCB8E9DD8}"/>
    <cellStyle name="Normal 8 3 3 2 3 5" xfId="9910" xr:uid="{00000000-0005-0000-0000-0000B7560000}"/>
    <cellStyle name="Normal 8 3 3 2 3 6" xfId="26780" xr:uid="{F12F5DBD-0582-4E6E-875E-2910F55A5D69}"/>
    <cellStyle name="Normal 8 3 3 2 4" xfId="1798" xr:uid="{00000000-0005-0000-0000-0000B8560000}"/>
    <cellStyle name="Normal 8 3 3 2 4 2" xfId="4028" xr:uid="{00000000-0005-0000-0000-0000B9560000}"/>
    <cellStyle name="Normal 8 3 3 2 4 2 2" xfId="8251" xr:uid="{00000000-0005-0000-0000-0000BA560000}"/>
    <cellStyle name="Normal 8 3 3 2 4 2 2 2" xfId="25121" xr:uid="{00000000-0005-0000-0000-0000BB560000}"/>
    <cellStyle name="Normal 8 3 3 2 4 2 2 2 2" xfId="41989" xr:uid="{FF072D1F-61EA-4C28-AA36-8F0473872695}"/>
    <cellStyle name="Normal 8 3 3 2 4 2 2 3" xfId="16686" xr:uid="{00000000-0005-0000-0000-0000BC560000}"/>
    <cellStyle name="Normal 8 3 3 2 4 2 2 4" xfId="33555" xr:uid="{4BB91598-8D1A-4362-B7F8-125F2FAEAF3C}"/>
    <cellStyle name="Normal 8 3 3 2 4 2 3" xfId="20903" xr:uid="{00000000-0005-0000-0000-0000BD560000}"/>
    <cellStyle name="Normal 8 3 3 2 4 2 3 2" xfId="37772" xr:uid="{ADF28177-FEAB-45E9-A18E-0BB678C97656}"/>
    <cellStyle name="Normal 8 3 3 2 4 2 4" xfId="12468" xr:uid="{00000000-0005-0000-0000-0000BE560000}"/>
    <cellStyle name="Normal 8 3 3 2 4 2 5" xfId="29338" xr:uid="{0C8BC08B-AEB7-497B-A467-FFFA2F152018}"/>
    <cellStyle name="Normal 8 3 3 2 4 3" xfId="6106" xr:uid="{00000000-0005-0000-0000-0000BF560000}"/>
    <cellStyle name="Normal 8 3 3 2 4 3 2" xfId="22976" xr:uid="{00000000-0005-0000-0000-0000C0560000}"/>
    <cellStyle name="Normal 8 3 3 2 4 3 2 2" xfId="39844" xr:uid="{1B8AF44C-3769-4707-BB45-74520D39A7AA}"/>
    <cellStyle name="Normal 8 3 3 2 4 3 3" xfId="14541" xr:uid="{00000000-0005-0000-0000-0000C1560000}"/>
    <cellStyle name="Normal 8 3 3 2 4 3 4" xfId="31410" xr:uid="{4684C344-2BB3-431E-980C-9E400423CDB1}"/>
    <cellStyle name="Normal 8 3 3 2 4 4" xfId="18758" xr:uid="{00000000-0005-0000-0000-0000C2560000}"/>
    <cellStyle name="Normal 8 3 3 2 4 4 2" xfId="35627" xr:uid="{4128FC0F-A373-4436-986D-247C828A8DAD}"/>
    <cellStyle name="Normal 8 3 3 2 4 5" xfId="10323" xr:uid="{00000000-0005-0000-0000-0000C3560000}"/>
    <cellStyle name="Normal 8 3 3 2 4 6" xfId="27193" xr:uid="{5541CE3B-EA48-420B-80EF-01084F982D21}"/>
    <cellStyle name="Normal 8 3 3 2 5" xfId="2212" xr:uid="{00000000-0005-0000-0000-0000C4560000}"/>
    <cellStyle name="Normal 8 3 3 2 5 2" xfId="4441" xr:uid="{00000000-0005-0000-0000-0000C5560000}"/>
    <cellStyle name="Normal 8 3 3 2 5 2 2" xfId="8664" xr:uid="{00000000-0005-0000-0000-0000C6560000}"/>
    <cellStyle name="Normal 8 3 3 2 5 2 2 2" xfId="25534" xr:uid="{00000000-0005-0000-0000-0000C7560000}"/>
    <cellStyle name="Normal 8 3 3 2 5 2 2 2 2" xfId="42402" xr:uid="{015BCDB0-C166-4B48-9F31-CC5D6C83282F}"/>
    <cellStyle name="Normal 8 3 3 2 5 2 2 3" xfId="17099" xr:uid="{00000000-0005-0000-0000-0000C8560000}"/>
    <cellStyle name="Normal 8 3 3 2 5 2 2 4" xfId="33968" xr:uid="{5C470693-F624-4746-A0C1-A2B347904E0D}"/>
    <cellStyle name="Normal 8 3 3 2 5 2 3" xfId="21316" xr:uid="{00000000-0005-0000-0000-0000C9560000}"/>
    <cellStyle name="Normal 8 3 3 2 5 2 3 2" xfId="38185" xr:uid="{86B83145-7444-4745-90DD-D2DC0C1639C3}"/>
    <cellStyle name="Normal 8 3 3 2 5 2 4" xfId="12881" xr:uid="{00000000-0005-0000-0000-0000CA560000}"/>
    <cellStyle name="Normal 8 3 3 2 5 2 5" xfId="29751" xr:uid="{C958FAC4-6F51-4C08-9E68-BBDD2FA5E6AF}"/>
    <cellStyle name="Normal 8 3 3 2 5 3" xfId="6519" xr:uid="{00000000-0005-0000-0000-0000CB560000}"/>
    <cellStyle name="Normal 8 3 3 2 5 3 2" xfId="23389" xr:uid="{00000000-0005-0000-0000-0000CC560000}"/>
    <cellStyle name="Normal 8 3 3 2 5 3 2 2" xfId="40257" xr:uid="{0D964C28-B0F3-4A71-9DA2-A6C618762BEA}"/>
    <cellStyle name="Normal 8 3 3 2 5 3 3" xfId="14954" xr:uid="{00000000-0005-0000-0000-0000CD560000}"/>
    <cellStyle name="Normal 8 3 3 2 5 3 4" xfId="31823" xr:uid="{6647070C-52FF-4CE6-8361-9ECD9A0D90AF}"/>
    <cellStyle name="Normal 8 3 3 2 5 4" xfId="19171" xr:uid="{00000000-0005-0000-0000-0000CE560000}"/>
    <cellStyle name="Normal 8 3 3 2 5 4 2" xfId="36040" xr:uid="{779FB536-E27A-4DDB-A5C6-207D35B9BA99}"/>
    <cellStyle name="Normal 8 3 3 2 5 5" xfId="10736" xr:uid="{00000000-0005-0000-0000-0000CF560000}"/>
    <cellStyle name="Normal 8 3 3 2 5 6" xfId="27606" xr:uid="{6CFAAC0C-0F47-4485-8679-AD2CAB5568CF}"/>
    <cellStyle name="Normal 8 3 3 2 6" xfId="2648" xr:uid="{00000000-0005-0000-0000-0000D0560000}"/>
    <cellStyle name="Normal 8 3 3 2 6 2" xfId="6932" xr:uid="{00000000-0005-0000-0000-0000D1560000}"/>
    <cellStyle name="Normal 8 3 3 2 6 2 2" xfId="23802" xr:uid="{00000000-0005-0000-0000-0000D2560000}"/>
    <cellStyle name="Normal 8 3 3 2 6 2 2 2" xfId="40670" xr:uid="{0D460D81-12E0-48F8-AD91-D8FC8076D4EB}"/>
    <cellStyle name="Normal 8 3 3 2 6 2 3" xfId="15367" xr:uid="{00000000-0005-0000-0000-0000D3560000}"/>
    <cellStyle name="Normal 8 3 3 2 6 2 4" xfId="32236" xr:uid="{45CF2915-2D99-4B74-A72A-4FAB16DCEEBF}"/>
    <cellStyle name="Normal 8 3 3 2 6 3" xfId="19584" xr:uid="{00000000-0005-0000-0000-0000D4560000}"/>
    <cellStyle name="Normal 8 3 3 2 6 3 2" xfId="36453" xr:uid="{8DB370CF-7A8A-40AC-B587-8673172781F0}"/>
    <cellStyle name="Normal 8 3 3 2 6 4" xfId="11149" xr:uid="{00000000-0005-0000-0000-0000D5560000}"/>
    <cellStyle name="Normal 8 3 3 2 6 5" xfId="28019" xr:uid="{179100EB-9FB8-465E-8747-B3F900DA253A}"/>
    <cellStyle name="Normal 8 3 3 2 7" xfId="4867" xr:uid="{00000000-0005-0000-0000-0000D6560000}"/>
    <cellStyle name="Normal 8 3 3 2 7 2" xfId="21737" xr:uid="{00000000-0005-0000-0000-0000D7560000}"/>
    <cellStyle name="Normal 8 3 3 2 7 2 2" xfId="38605" xr:uid="{B40D8EA3-E31A-476B-AD87-2204089E038C}"/>
    <cellStyle name="Normal 8 3 3 2 7 3" xfId="13302" xr:uid="{00000000-0005-0000-0000-0000D8560000}"/>
    <cellStyle name="Normal 8 3 3 2 7 4" xfId="30171" xr:uid="{62342D8A-CA69-46BF-874E-09C77243F4BD}"/>
    <cellStyle name="Normal 8 3 3 2 8" xfId="17519" xr:uid="{00000000-0005-0000-0000-0000D9560000}"/>
    <cellStyle name="Normal 8 3 3 2 8 2" xfId="34388" xr:uid="{188BAD76-02D2-4A2B-8B26-08BA1EFBF32B}"/>
    <cellStyle name="Normal 8 3 3 2 9" xfId="9084" xr:uid="{00000000-0005-0000-0000-0000DA560000}"/>
    <cellStyle name="Normal 8 3 3 3" xfId="967" xr:uid="{00000000-0005-0000-0000-0000DB560000}"/>
    <cellStyle name="Normal 8 3 3 3 2" xfId="3201" xr:uid="{00000000-0005-0000-0000-0000DC560000}"/>
    <cellStyle name="Normal 8 3 3 3 2 2" xfId="7424" xr:uid="{00000000-0005-0000-0000-0000DD560000}"/>
    <cellStyle name="Normal 8 3 3 3 2 2 2" xfId="24294" xr:uid="{00000000-0005-0000-0000-0000DE560000}"/>
    <cellStyle name="Normal 8 3 3 3 2 2 2 2" xfId="41162" xr:uid="{0826AD4C-1172-489A-BBBB-711B22337D1F}"/>
    <cellStyle name="Normal 8 3 3 3 2 2 3" xfId="15859" xr:uid="{00000000-0005-0000-0000-0000DF560000}"/>
    <cellStyle name="Normal 8 3 3 3 2 2 4" xfId="32728" xr:uid="{50C02928-27EB-42D8-AADA-3DA652E511BF}"/>
    <cellStyle name="Normal 8 3 3 3 2 3" xfId="20076" xr:uid="{00000000-0005-0000-0000-0000E0560000}"/>
    <cellStyle name="Normal 8 3 3 3 2 3 2" xfId="36945" xr:uid="{A05C1426-479D-494A-BAB8-C9FFAA9CE08A}"/>
    <cellStyle name="Normal 8 3 3 3 2 4" xfId="11641" xr:uid="{00000000-0005-0000-0000-0000E1560000}"/>
    <cellStyle name="Normal 8 3 3 3 2 5" xfId="28511" xr:uid="{1B6164CA-D121-4504-9AD0-55C89AC81204}"/>
    <cellStyle name="Normal 8 3 3 3 3" xfId="5279" xr:uid="{00000000-0005-0000-0000-0000E2560000}"/>
    <cellStyle name="Normal 8 3 3 3 3 2" xfId="22149" xr:uid="{00000000-0005-0000-0000-0000E3560000}"/>
    <cellStyle name="Normal 8 3 3 3 3 2 2" xfId="39017" xr:uid="{03D8090D-AC30-44A1-92CC-F02CBD59E5BF}"/>
    <cellStyle name="Normal 8 3 3 3 3 3" xfId="13714" xr:uid="{00000000-0005-0000-0000-0000E4560000}"/>
    <cellStyle name="Normal 8 3 3 3 3 4" xfId="30583" xr:uid="{32E8D147-5E97-4CAC-8E03-86D6CE10B3E1}"/>
    <cellStyle name="Normal 8 3 3 3 4" xfId="17931" xr:uid="{00000000-0005-0000-0000-0000E5560000}"/>
    <cellStyle name="Normal 8 3 3 3 4 2" xfId="34800" xr:uid="{58B224F5-E659-429E-8DCB-DFB93189B074}"/>
    <cellStyle name="Normal 8 3 3 3 5" xfId="9496" xr:uid="{00000000-0005-0000-0000-0000E6560000}"/>
    <cellStyle name="Normal 8 3 3 3 6" xfId="26366" xr:uid="{22D9D201-B6B7-4B8A-B0EE-492F69F623D3}"/>
    <cellStyle name="Normal 8 3 3 4" xfId="1384" xr:uid="{00000000-0005-0000-0000-0000E7560000}"/>
    <cellStyle name="Normal 8 3 3 4 2" xfId="3614" xr:uid="{00000000-0005-0000-0000-0000E8560000}"/>
    <cellStyle name="Normal 8 3 3 4 2 2" xfId="7837" xr:uid="{00000000-0005-0000-0000-0000E9560000}"/>
    <cellStyle name="Normal 8 3 3 4 2 2 2" xfId="24707" xr:uid="{00000000-0005-0000-0000-0000EA560000}"/>
    <cellStyle name="Normal 8 3 3 4 2 2 2 2" xfId="41575" xr:uid="{9E48070C-258E-4062-9D5C-B783E94CA0F5}"/>
    <cellStyle name="Normal 8 3 3 4 2 2 3" xfId="16272" xr:uid="{00000000-0005-0000-0000-0000EB560000}"/>
    <cellStyle name="Normal 8 3 3 4 2 2 4" xfId="33141" xr:uid="{39B671C5-E228-4CF8-90A0-E3F07B1981D5}"/>
    <cellStyle name="Normal 8 3 3 4 2 3" xfId="20489" xr:uid="{00000000-0005-0000-0000-0000EC560000}"/>
    <cellStyle name="Normal 8 3 3 4 2 3 2" xfId="37358" xr:uid="{56F4A8BC-6AC6-4BF5-8A56-809443D345B6}"/>
    <cellStyle name="Normal 8 3 3 4 2 4" xfId="12054" xr:uid="{00000000-0005-0000-0000-0000ED560000}"/>
    <cellStyle name="Normal 8 3 3 4 2 5" xfId="28924" xr:uid="{AB3CD775-F51A-45E9-B7F8-BA4267CF6D13}"/>
    <cellStyle name="Normal 8 3 3 4 3" xfId="5692" xr:uid="{00000000-0005-0000-0000-0000EE560000}"/>
    <cellStyle name="Normal 8 3 3 4 3 2" xfId="22562" xr:uid="{00000000-0005-0000-0000-0000EF560000}"/>
    <cellStyle name="Normal 8 3 3 4 3 2 2" xfId="39430" xr:uid="{E3BDAD24-C8CB-43E4-8375-28EBB6100CC1}"/>
    <cellStyle name="Normal 8 3 3 4 3 3" xfId="14127" xr:uid="{00000000-0005-0000-0000-0000F0560000}"/>
    <cellStyle name="Normal 8 3 3 4 3 4" xfId="30996" xr:uid="{78734924-F885-4491-8E48-37FC870467C5}"/>
    <cellStyle name="Normal 8 3 3 4 4" xfId="18344" xr:uid="{00000000-0005-0000-0000-0000F1560000}"/>
    <cellStyle name="Normal 8 3 3 4 4 2" xfId="35213" xr:uid="{7F560615-20EE-43A5-B945-0007419452D5}"/>
    <cellStyle name="Normal 8 3 3 4 5" xfId="9909" xr:uid="{00000000-0005-0000-0000-0000F2560000}"/>
    <cellStyle name="Normal 8 3 3 4 6" xfId="26779" xr:uid="{3FC99701-9F6F-4A3A-ADDD-A49A8E7AB420}"/>
    <cellStyle name="Normal 8 3 3 5" xfId="1797" xr:uid="{00000000-0005-0000-0000-0000F3560000}"/>
    <cellStyle name="Normal 8 3 3 5 2" xfId="4027" xr:uid="{00000000-0005-0000-0000-0000F4560000}"/>
    <cellStyle name="Normal 8 3 3 5 2 2" xfId="8250" xr:uid="{00000000-0005-0000-0000-0000F5560000}"/>
    <cellStyle name="Normal 8 3 3 5 2 2 2" xfId="25120" xr:uid="{00000000-0005-0000-0000-0000F6560000}"/>
    <cellStyle name="Normal 8 3 3 5 2 2 2 2" xfId="41988" xr:uid="{6C08B937-8651-45D7-B7E9-45DAE6ED745B}"/>
    <cellStyle name="Normal 8 3 3 5 2 2 3" xfId="16685" xr:uid="{00000000-0005-0000-0000-0000F7560000}"/>
    <cellStyle name="Normal 8 3 3 5 2 2 4" xfId="33554" xr:uid="{B5716327-682A-406A-9EBE-C3D17F5EF6D7}"/>
    <cellStyle name="Normal 8 3 3 5 2 3" xfId="20902" xr:uid="{00000000-0005-0000-0000-0000F8560000}"/>
    <cellStyle name="Normal 8 3 3 5 2 3 2" xfId="37771" xr:uid="{FF686F74-F090-4FDB-8EB4-C298F3514635}"/>
    <cellStyle name="Normal 8 3 3 5 2 4" xfId="12467" xr:uid="{00000000-0005-0000-0000-0000F9560000}"/>
    <cellStyle name="Normal 8 3 3 5 2 5" xfId="29337" xr:uid="{17D6D748-C8B5-4B2A-8B54-B0A69DC835EF}"/>
    <cellStyle name="Normal 8 3 3 5 3" xfId="6105" xr:uid="{00000000-0005-0000-0000-0000FA560000}"/>
    <cellStyle name="Normal 8 3 3 5 3 2" xfId="22975" xr:uid="{00000000-0005-0000-0000-0000FB560000}"/>
    <cellStyle name="Normal 8 3 3 5 3 2 2" xfId="39843" xr:uid="{FDBBE9A9-D585-42CA-A8A8-005ACD565E7A}"/>
    <cellStyle name="Normal 8 3 3 5 3 3" xfId="14540" xr:uid="{00000000-0005-0000-0000-0000FC560000}"/>
    <cellStyle name="Normal 8 3 3 5 3 4" xfId="31409" xr:uid="{819D1AB2-F058-4EFF-96C9-DD58CB88C377}"/>
    <cellStyle name="Normal 8 3 3 5 4" xfId="18757" xr:uid="{00000000-0005-0000-0000-0000FD560000}"/>
    <cellStyle name="Normal 8 3 3 5 4 2" xfId="35626" xr:uid="{6E3CF3D6-ED3D-4CBB-A5AA-26D433C0E6C1}"/>
    <cellStyle name="Normal 8 3 3 5 5" xfId="10322" xr:uid="{00000000-0005-0000-0000-0000FE560000}"/>
    <cellStyle name="Normal 8 3 3 5 6" xfId="27192" xr:uid="{F8ACF9EA-2BE1-4576-8820-BCBEC267AD8B}"/>
    <cellStyle name="Normal 8 3 3 6" xfId="2211" xr:uid="{00000000-0005-0000-0000-0000FF560000}"/>
    <cellStyle name="Normal 8 3 3 6 2" xfId="4440" xr:uid="{00000000-0005-0000-0000-000000570000}"/>
    <cellStyle name="Normal 8 3 3 6 2 2" xfId="8663" xr:uid="{00000000-0005-0000-0000-000001570000}"/>
    <cellStyle name="Normal 8 3 3 6 2 2 2" xfId="25533" xr:uid="{00000000-0005-0000-0000-000002570000}"/>
    <cellStyle name="Normal 8 3 3 6 2 2 2 2" xfId="42401" xr:uid="{E93C1A1E-0AAE-42A3-ACAC-684F28D7C31B}"/>
    <cellStyle name="Normal 8 3 3 6 2 2 3" xfId="17098" xr:uid="{00000000-0005-0000-0000-000003570000}"/>
    <cellStyle name="Normal 8 3 3 6 2 2 4" xfId="33967" xr:uid="{A5DC95D5-3BBD-4F75-B806-3C2B6FF0C0D7}"/>
    <cellStyle name="Normal 8 3 3 6 2 3" xfId="21315" xr:uid="{00000000-0005-0000-0000-000004570000}"/>
    <cellStyle name="Normal 8 3 3 6 2 3 2" xfId="38184" xr:uid="{7C7BD419-C441-4600-81C6-6E867A01B3A2}"/>
    <cellStyle name="Normal 8 3 3 6 2 4" xfId="12880" xr:uid="{00000000-0005-0000-0000-000005570000}"/>
    <cellStyle name="Normal 8 3 3 6 2 5" xfId="29750" xr:uid="{C56088A9-730E-490E-9241-861B3267520B}"/>
    <cellStyle name="Normal 8 3 3 6 3" xfId="6518" xr:uid="{00000000-0005-0000-0000-000006570000}"/>
    <cellStyle name="Normal 8 3 3 6 3 2" xfId="23388" xr:uid="{00000000-0005-0000-0000-000007570000}"/>
    <cellStyle name="Normal 8 3 3 6 3 2 2" xfId="40256" xr:uid="{78D3122A-E9D9-4CE8-8F05-DACAB06ADF62}"/>
    <cellStyle name="Normal 8 3 3 6 3 3" xfId="14953" xr:uid="{00000000-0005-0000-0000-000008570000}"/>
    <cellStyle name="Normal 8 3 3 6 3 4" xfId="31822" xr:uid="{79913E8B-6D27-467D-A9AE-DA9B8321D01F}"/>
    <cellStyle name="Normal 8 3 3 6 4" xfId="19170" xr:uid="{00000000-0005-0000-0000-000009570000}"/>
    <cellStyle name="Normal 8 3 3 6 4 2" xfId="36039" xr:uid="{ECE8F964-5175-488E-9F71-EC1E0E39A042}"/>
    <cellStyle name="Normal 8 3 3 6 5" xfId="10735" xr:uid="{00000000-0005-0000-0000-00000A570000}"/>
    <cellStyle name="Normal 8 3 3 6 6" xfId="27605" xr:uid="{3678B6F5-0B8E-410B-B8AA-39C79D391418}"/>
    <cellStyle name="Normal 8 3 3 7" xfId="2647" xr:uid="{00000000-0005-0000-0000-00000B570000}"/>
    <cellStyle name="Normal 8 3 3 7 2" xfId="6931" xr:uid="{00000000-0005-0000-0000-00000C570000}"/>
    <cellStyle name="Normal 8 3 3 7 2 2" xfId="23801" xr:uid="{00000000-0005-0000-0000-00000D570000}"/>
    <cellStyle name="Normal 8 3 3 7 2 2 2" xfId="40669" xr:uid="{CD3898D2-CC4F-4DD6-A161-FA0DC845A0C0}"/>
    <cellStyle name="Normal 8 3 3 7 2 3" xfId="15366" xr:uid="{00000000-0005-0000-0000-00000E570000}"/>
    <cellStyle name="Normal 8 3 3 7 2 4" xfId="32235" xr:uid="{37446CC6-8BC9-41EB-A7D7-ED0487AC2F0D}"/>
    <cellStyle name="Normal 8 3 3 7 3" xfId="19583" xr:uid="{00000000-0005-0000-0000-00000F570000}"/>
    <cellStyle name="Normal 8 3 3 7 3 2" xfId="36452" xr:uid="{E03D0EE0-80AE-41B1-B9B7-E5514A5EE7DD}"/>
    <cellStyle name="Normal 8 3 3 7 4" xfId="11148" xr:uid="{00000000-0005-0000-0000-000010570000}"/>
    <cellStyle name="Normal 8 3 3 7 5" xfId="28018" xr:uid="{3F22326D-4BB6-4004-8B08-34525B6F29ED}"/>
    <cellStyle name="Normal 8 3 3 8" xfId="4866" xr:uid="{00000000-0005-0000-0000-000011570000}"/>
    <cellStyle name="Normal 8 3 3 8 2" xfId="21736" xr:uid="{00000000-0005-0000-0000-000012570000}"/>
    <cellStyle name="Normal 8 3 3 8 2 2" xfId="38604" xr:uid="{B520681D-93E0-4FE3-8965-5840D03D5C65}"/>
    <cellStyle name="Normal 8 3 3 8 3" xfId="13301" xr:uid="{00000000-0005-0000-0000-000013570000}"/>
    <cellStyle name="Normal 8 3 3 8 4" xfId="30170" xr:uid="{66B42ABC-AEC4-4989-BB52-9993376DEBEF}"/>
    <cellStyle name="Normal 8 3 3 9" xfId="17518" xr:uid="{00000000-0005-0000-0000-000014570000}"/>
    <cellStyle name="Normal 8 3 3 9 2" xfId="34387" xr:uid="{8F00BF38-C3F7-463E-97B3-9802B9727D31}"/>
    <cellStyle name="Normal 8 3 4" xfId="502" xr:uid="{00000000-0005-0000-0000-000015570000}"/>
    <cellStyle name="Normal 8 3 4 10" xfId="25955" xr:uid="{717E2305-D6B0-4890-BA62-0E20E85F70E0}"/>
    <cellStyle name="Normal 8 3 4 2" xfId="969" xr:uid="{00000000-0005-0000-0000-000016570000}"/>
    <cellStyle name="Normal 8 3 4 2 2" xfId="3203" xr:uid="{00000000-0005-0000-0000-000017570000}"/>
    <cellStyle name="Normal 8 3 4 2 2 2" xfId="7426" xr:uid="{00000000-0005-0000-0000-000018570000}"/>
    <cellStyle name="Normal 8 3 4 2 2 2 2" xfId="24296" xr:uid="{00000000-0005-0000-0000-000019570000}"/>
    <cellStyle name="Normal 8 3 4 2 2 2 2 2" xfId="41164" xr:uid="{6BB9FA67-6AA9-4878-AC66-315403BDC673}"/>
    <cellStyle name="Normal 8 3 4 2 2 2 3" xfId="15861" xr:uid="{00000000-0005-0000-0000-00001A570000}"/>
    <cellStyle name="Normal 8 3 4 2 2 2 4" xfId="32730" xr:uid="{9E2650A7-5CFB-44FA-A7D5-BB57FB687653}"/>
    <cellStyle name="Normal 8 3 4 2 2 3" xfId="20078" xr:uid="{00000000-0005-0000-0000-00001B570000}"/>
    <cellStyle name="Normal 8 3 4 2 2 3 2" xfId="36947" xr:uid="{B321DBA8-3993-4BA4-A50F-651E45493BE6}"/>
    <cellStyle name="Normal 8 3 4 2 2 4" xfId="11643" xr:uid="{00000000-0005-0000-0000-00001C570000}"/>
    <cellStyle name="Normal 8 3 4 2 2 5" xfId="28513" xr:uid="{EF53E611-4BB5-476A-9F49-2DCBB01BD2B7}"/>
    <cellStyle name="Normal 8 3 4 2 3" xfId="5281" xr:uid="{00000000-0005-0000-0000-00001D570000}"/>
    <cellStyle name="Normal 8 3 4 2 3 2" xfId="22151" xr:uid="{00000000-0005-0000-0000-00001E570000}"/>
    <cellStyle name="Normal 8 3 4 2 3 2 2" xfId="39019" xr:uid="{1C0517F8-493C-4159-A565-1A8229188836}"/>
    <cellStyle name="Normal 8 3 4 2 3 3" xfId="13716" xr:uid="{00000000-0005-0000-0000-00001F570000}"/>
    <cellStyle name="Normal 8 3 4 2 3 4" xfId="30585" xr:uid="{539C1C0F-25F4-4E2E-BAA4-CEF694D951EC}"/>
    <cellStyle name="Normal 8 3 4 2 4" xfId="17933" xr:uid="{00000000-0005-0000-0000-000020570000}"/>
    <cellStyle name="Normal 8 3 4 2 4 2" xfId="34802" xr:uid="{78D0E9E5-34D1-455B-B927-2609C4A5E1FC}"/>
    <cellStyle name="Normal 8 3 4 2 5" xfId="9498" xr:uid="{00000000-0005-0000-0000-000021570000}"/>
    <cellStyle name="Normal 8 3 4 2 6" xfId="26368" xr:uid="{B15FEB79-3863-4F06-9589-2818275E881A}"/>
    <cellStyle name="Normal 8 3 4 3" xfId="1386" xr:uid="{00000000-0005-0000-0000-000022570000}"/>
    <cellStyle name="Normal 8 3 4 3 2" xfId="3616" xr:uid="{00000000-0005-0000-0000-000023570000}"/>
    <cellStyle name="Normal 8 3 4 3 2 2" xfId="7839" xr:uid="{00000000-0005-0000-0000-000024570000}"/>
    <cellStyle name="Normal 8 3 4 3 2 2 2" xfId="24709" xr:uid="{00000000-0005-0000-0000-000025570000}"/>
    <cellStyle name="Normal 8 3 4 3 2 2 2 2" xfId="41577" xr:uid="{DA7927CD-626E-45DC-A9B5-863349B15D8C}"/>
    <cellStyle name="Normal 8 3 4 3 2 2 3" xfId="16274" xr:uid="{00000000-0005-0000-0000-000026570000}"/>
    <cellStyle name="Normal 8 3 4 3 2 2 4" xfId="33143" xr:uid="{4F2DE77D-84DC-4E12-A83D-27FF330808ED}"/>
    <cellStyle name="Normal 8 3 4 3 2 3" xfId="20491" xr:uid="{00000000-0005-0000-0000-000027570000}"/>
    <cellStyle name="Normal 8 3 4 3 2 3 2" xfId="37360" xr:uid="{7C738088-8F42-47F0-94DA-E95BE43D3A28}"/>
    <cellStyle name="Normal 8 3 4 3 2 4" xfId="12056" xr:uid="{00000000-0005-0000-0000-000028570000}"/>
    <cellStyle name="Normal 8 3 4 3 2 5" xfId="28926" xr:uid="{22F78F50-B0E4-45B8-A5E4-69B3AC0480E9}"/>
    <cellStyle name="Normal 8 3 4 3 3" xfId="5694" xr:uid="{00000000-0005-0000-0000-000029570000}"/>
    <cellStyle name="Normal 8 3 4 3 3 2" xfId="22564" xr:uid="{00000000-0005-0000-0000-00002A570000}"/>
    <cellStyle name="Normal 8 3 4 3 3 2 2" xfId="39432" xr:uid="{BBCE921D-DA8D-4899-8960-FC3ED92BDA9B}"/>
    <cellStyle name="Normal 8 3 4 3 3 3" xfId="14129" xr:uid="{00000000-0005-0000-0000-00002B570000}"/>
    <cellStyle name="Normal 8 3 4 3 3 4" xfId="30998" xr:uid="{F6613FF3-2E95-4193-BE16-1CF176937A68}"/>
    <cellStyle name="Normal 8 3 4 3 4" xfId="18346" xr:uid="{00000000-0005-0000-0000-00002C570000}"/>
    <cellStyle name="Normal 8 3 4 3 4 2" xfId="35215" xr:uid="{1E475784-DA9F-4A82-840B-791D458DECD8}"/>
    <cellStyle name="Normal 8 3 4 3 5" xfId="9911" xr:uid="{00000000-0005-0000-0000-00002D570000}"/>
    <cellStyle name="Normal 8 3 4 3 6" xfId="26781" xr:uid="{9DBFB282-D75F-47CA-8F00-F3FB7870558E}"/>
    <cellStyle name="Normal 8 3 4 4" xfId="1799" xr:uid="{00000000-0005-0000-0000-00002E570000}"/>
    <cellStyle name="Normal 8 3 4 4 2" xfId="4029" xr:uid="{00000000-0005-0000-0000-00002F570000}"/>
    <cellStyle name="Normal 8 3 4 4 2 2" xfId="8252" xr:uid="{00000000-0005-0000-0000-000030570000}"/>
    <cellStyle name="Normal 8 3 4 4 2 2 2" xfId="25122" xr:uid="{00000000-0005-0000-0000-000031570000}"/>
    <cellStyle name="Normal 8 3 4 4 2 2 2 2" xfId="41990" xr:uid="{2DD9D818-0FC5-40DA-861C-9DE780C26458}"/>
    <cellStyle name="Normal 8 3 4 4 2 2 3" xfId="16687" xr:uid="{00000000-0005-0000-0000-000032570000}"/>
    <cellStyle name="Normal 8 3 4 4 2 2 4" xfId="33556" xr:uid="{71160B96-0BE7-4590-AD62-AD6E07FFA70F}"/>
    <cellStyle name="Normal 8 3 4 4 2 3" xfId="20904" xr:uid="{00000000-0005-0000-0000-000033570000}"/>
    <cellStyle name="Normal 8 3 4 4 2 3 2" xfId="37773" xr:uid="{A1A6EB61-BD69-4CDD-94BA-01E116D86413}"/>
    <cellStyle name="Normal 8 3 4 4 2 4" xfId="12469" xr:uid="{00000000-0005-0000-0000-000034570000}"/>
    <cellStyle name="Normal 8 3 4 4 2 5" xfId="29339" xr:uid="{8B138259-4682-443A-BBA6-755558DFD2C6}"/>
    <cellStyle name="Normal 8 3 4 4 3" xfId="6107" xr:uid="{00000000-0005-0000-0000-000035570000}"/>
    <cellStyle name="Normal 8 3 4 4 3 2" xfId="22977" xr:uid="{00000000-0005-0000-0000-000036570000}"/>
    <cellStyle name="Normal 8 3 4 4 3 2 2" xfId="39845" xr:uid="{3585E96B-0498-462F-B561-96E04F5DD7A0}"/>
    <cellStyle name="Normal 8 3 4 4 3 3" xfId="14542" xr:uid="{00000000-0005-0000-0000-000037570000}"/>
    <cellStyle name="Normal 8 3 4 4 3 4" xfId="31411" xr:uid="{0C0EA281-66D0-4CE5-A33E-73B30537186A}"/>
    <cellStyle name="Normal 8 3 4 4 4" xfId="18759" xr:uid="{00000000-0005-0000-0000-000038570000}"/>
    <cellStyle name="Normal 8 3 4 4 4 2" xfId="35628" xr:uid="{2032BE0B-C3C8-4ABE-95EC-E304FF31986F}"/>
    <cellStyle name="Normal 8 3 4 4 5" xfId="10324" xr:uid="{00000000-0005-0000-0000-000039570000}"/>
    <cellStyle name="Normal 8 3 4 4 6" xfId="27194" xr:uid="{20943BA6-C76D-4B69-AC16-432D745AA1C3}"/>
    <cellStyle name="Normal 8 3 4 5" xfId="2213" xr:uid="{00000000-0005-0000-0000-00003A570000}"/>
    <cellStyle name="Normal 8 3 4 5 2" xfId="4442" xr:uid="{00000000-0005-0000-0000-00003B570000}"/>
    <cellStyle name="Normal 8 3 4 5 2 2" xfId="8665" xr:uid="{00000000-0005-0000-0000-00003C570000}"/>
    <cellStyle name="Normal 8 3 4 5 2 2 2" xfId="25535" xr:uid="{00000000-0005-0000-0000-00003D570000}"/>
    <cellStyle name="Normal 8 3 4 5 2 2 2 2" xfId="42403" xr:uid="{702694BD-E51A-4CF7-ADF5-BFBC935D7FBC}"/>
    <cellStyle name="Normal 8 3 4 5 2 2 3" xfId="17100" xr:uid="{00000000-0005-0000-0000-00003E570000}"/>
    <cellStyle name="Normal 8 3 4 5 2 2 4" xfId="33969" xr:uid="{255CC40B-75C6-402B-ADA0-13997810641F}"/>
    <cellStyle name="Normal 8 3 4 5 2 3" xfId="21317" xr:uid="{00000000-0005-0000-0000-00003F570000}"/>
    <cellStyle name="Normal 8 3 4 5 2 3 2" xfId="38186" xr:uid="{E6016B11-040B-47E7-A407-32A1EE58ED2B}"/>
    <cellStyle name="Normal 8 3 4 5 2 4" xfId="12882" xr:uid="{00000000-0005-0000-0000-000040570000}"/>
    <cellStyle name="Normal 8 3 4 5 2 5" xfId="29752" xr:uid="{39749953-AEF2-4DD4-BFAE-9D1E99C7839D}"/>
    <cellStyle name="Normal 8 3 4 5 3" xfId="6520" xr:uid="{00000000-0005-0000-0000-000041570000}"/>
    <cellStyle name="Normal 8 3 4 5 3 2" xfId="23390" xr:uid="{00000000-0005-0000-0000-000042570000}"/>
    <cellStyle name="Normal 8 3 4 5 3 2 2" xfId="40258" xr:uid="{760AB4D7-71A9-42F8-975D-3C42B53847C0}"/>
    <cellStyle name="Normal 8 3 4 5 3 3" xfId="14955" xr:uid="{00000000-0005-0000-0000-000043570000}"/>
    <cellStyle name="Normal 8 3 4 5 3 4" xfId="31824" xr:uid="{0A29079D-1D8B-42E4-A0CF-3BA13FE3B035}"/>
    <cellStyle name="Normal 8 3 4 5 4" xfId="19172" xr:uid="{00000000-0005-0000-0000-000044570000}"/>
    <cellStyle name="Normal 8 3 4 5 4 2" xfId="36041" xr:uid="{C97FF2E1-745B-4E6C-967F-DCE80C63B8F2}"/>
    <cellStyle name="Normal 8 3 4 5 5" xfId="10737" xr:uid="{00000000-0005-0000-0000-000045570000}"/>
    <cellStyle name="Normal 8 3 4 5 6" xfId="27607" xr:uid="{00DA6295-98A2-4A04-A2C0-C41243A187D0}"/>
    <cellStyle name="Normal 8 3 4 6" xfId="2649" xr:uid="{00000000-0005-0000-0000-000046570000}"/>
    <cellStyle name="Normal 8 3 4 6 2" xfId="6933" xr:uid="{00000000-0005-0000-0000-000047570000}"/>
    <cellStyle name="Normal 8 3 4 6 2 2" xfId="23803" xr:uid="{00000000-0005-0000-0000-000048570000}"/>
    <cellStyle name="Normal 8 3 4 6 2 2 2" xfId="40671" xr:uid="{48222129-95BB-45BD-8922-287F555A3F37}"/>
    <cellStyle name="Normal 8 3 4 6 2 3" xfId="15368" xr:uid="{00000000-0005-0000-0000-000049570000}"/>
    <cellStyle name="Normal 8 3 4 6 2 4" xfId="32237" xr:uid="{0F2E6125-6795-46C0-8A41-2692C6E95691}"/>
    <cellStyle name="Normal 8 3 4 6 3" xfId="19585" xr:uid="{00000000-0005-0000-0000-00004A570000}"/>
    <cellStyle name="Normal 8 3 4 6 3 2" xfId="36454" xr:uid="{2A308E85-DA82-4538-8BD2-5527C033D564}"/>
    <cellStyle name="Normal 8 3 4 6 4" xfId="11150" xr:uid="{00000000-0005-0000-0000-00004B570000}"/>
    <cellStyle name="Normal 8 3 4 6 5" xfId="28020" xr:uid="{7DD54352-7428-4B90-B05C-FF1FAE7C48DB}"/>
    <cellStyle name="Normal 8 3 4 7" xfId="4868" xr:uid="{00000000-0005-0000-0000-00004C570000}"/>
    <cellStyle name="Normal 8 3 4 7 2" xfId="21738" xr:uid="{00000000-0005-0000-0000-00004D570000}"/>
    <cellStyle name="Normal 8 3 4 7 2 2" xfId="38606" xr:uid="{23F340CC-AB5A-4758-8929-34DF67C83B8D}"/>
    <cellStyle name="Normal 8 3 4 7 3" xfId="13303" xr:uid="{00000000-0005-0000-0000-00004E570000}"/>
    <cellStyle name="Normal 8 3 4 7 4" xfId="30172" xr:uid="{FE0C1D81-2B45-44EB-B845-AF632D1D66FC}"/>
    <cellStyle name="Normal 8 3 4 8" xfId="17520" xr:uid="{00000000-0005-0000-0000-00004F570000}"/>
    <cellStyle name="Normal 8 3 4 8 2" xfId="34389" xr:uid="{B70663CD-F04A-43DD-93FB-02EF0D0E0654}"/>
    <cellStyle name="Normal 8 3 4 9" xfId="9085" xr:uid="{00000000-0005-0000-0000-000050570000}"/>
    <cellStyle name="Normal 8 3 5" xfId="962" xr:uid="{00000000-0005-0000-0000-000051570000}"/>
    <cellStyle name="Normal 8 3 5 2" xfId="3196" xr:uid="{00000000-0005-0000-0000-000052570000}"/>
    <cellStyle name="Normal 8 3 5 2 2" xfId="7419" xr:uid="{00000000-0005-0000-0000-000053570000}"/>
    <cellStyle name="Normal 8 3 5 2 2 2" xfId="24289" xr:uid="{00000000-0005-0000-0000-000054570000}"/>
    <cellStyle name="Normal 8 3 5 2 2 2 2" xfId="41157" xr:uid="{10C03B5B-1EC8-4D9A-9A14-FC117BD69444}"/>
    <cellStyle name="Normal 8 3 5 2 2 3" xfId="15854" xr:uid="{00000000-0005-0000-0000-000055570000}"/>
    <cellStyle name="Normal 8 3 5 2 2 4" xfId="32723" xr:uid="{417C9A44-66D9-45B7-BFE6-2EA15FE92FAB}"/>
    <cellStyle name="Normal 8 3 5 2 3" xfId="20071" xr:uid="{00000000-0005-0000-0000-000056570000}"/>
    <cellStyle name="Normal 8 3 5 2 3 2" xfId="36940" xr:uid="{197D4B2F-95A7-41E8-935A-4CEF0289473D}"/>
    <cellStyle name="Normal 8 3 5 2 4" xfId="11636" xr:uid="{00000000-0005-0000-0000-000057570000}"/>
    <cellStyle name="Normal 8 3 5 2 5" xfId="28506" xr:uid="{47754D46-B8EF-4958-A11A-98A33A70BDB2}"/>
    <cellStyle name="Normal 8 3 5 3" xfId="5274" xr:uid="{00000000-0005-0000-0000-000058570000}"/>
    <cellStyle name="Normal 8 3 5 3 2" xfId="22144" xr:uid="{00000000-0005-0000-0000-000059570000}"/>
    <cellStyle name="Normal 8 3 5 3 2 2" xfId="39012" xr:uid="{6E733ECB-84B8-4933-A922-68CC37B724E7}"/>
    <cellStyle name="Normal 8 3 5 3 3" xfId="13709" xr:uid="{00000000-0005-0000-0000-00005A570000}"/>
    <cellStyle name="Normal 8 3 5 3 4" xfId="30578" xr:uid="{72900599-20BC-4AF0-BC9B-6D0D83715783}"/>
    <cellStyle name="Normal 8 3 5 4" xfId="17926" xr:uid="{00000000-0005-0000-0000-00005B570000}"/>
    <cellStyle name="Normal 8 3 5 4 2" xfId="34795" xr:uid="{70616AD7-A3AD-4A3B-B1E9-14B51D9136C3}"/>
    <cellStyle name="Normal 8 3 5 5" xfId="9491" xr:uid="{00000000-0005-0000-0000-00005C570000}"/>
    <cellStyle name="Normal 8 3 5 6" xfId="26361" xr:uid="{5F4EDC2E-CF9A-487A-8968-9AB0714F9A25}"/>
    <cellStyle name="Normal 8 3 6" xfId="1379" xr:uid="{00000000-0005-0000-0000-00005D570000}"/>
    <cellStyle name="Normal 8 3 6 2" xfId="3609" xr:uid="{00000000-0005-0000-0000-00005E570000}"/>
    <cellStyle name="Normal 8 3 6 2 2" xfId="7832" xr:uid="{00000000-0005-0000-0000-00005F570000}"/>
    <cellStyle name="Normal 8 3 6 2 2 2" xfId="24702" xr:uid="{00000000-0005-0000-0000-000060570000}"/>
    <cellStyle name="Normal 8 3 6 2 2 2 2" xfId="41570" xr:uid="{511E64E8-985D-42DC-99CE-84F6FF5EAE59}"/>
    <cellStyle name="Normal 8 3 6 2 2 3" xfId="16267" xr:uid="{00000000-0005-0000-0000-000061570000}"/>
    <cellStyle name="Normal 8 3 6 2 2 4" xfId="33136" xr:uid="{165F45B8-9DC3-4804-9A5B-3C1A703BC76B}"/>
    <cellStyle name="Normal 8 3 6 2 3" xfId="20484" xr:uid="{00000000-0005-0000-0000-000062570000}"/>
    <cellStyle name="Normal 8 3 6 2 3 2" xfId="37353" xr:uid="{2410C83A-9219-4503-9281-49A56D30C920}"/>
    <cellStyle name="Normal 8 3 6 2 4" xfId="12049" xr:uid="{00000000-0005-0000-0000-000063570000}"/>
    <cellStyle name="Normal 8 3 6 2 5" xfId="28919" xr:uid="{A3ECF978-5581-4816-97D7-60489BE5CAC1}"/>
    <cellStyle name="Normal 8 3 6 3" xfId="5687" xr:uid="{00000000-0005-0000-0000-000064570000}"/>
    <cellStyle name="Normal 8 3 6 3 2" xfId="22557" xr:uid="{00000000-0005-0000-0000-000065570000}"/>
    <cellStyle name="Normal 8 3 6 3 2 2" xfId="39425" xr:uid="{56794EE0-B00E-47EE-8FBA-78B1E0404DC5}"/>
    <cellStyle name="Normal 8 3 6 3 3" xfId="14122" xr:uid="{00000000-0005-0000-0000-000066570000}"/>
    <cellStyle name="Normal 8 3 6 3 4" xfId="30991" xr:uid="{B85C01D1-FFE3-41F0-82E0-0D119F2EB9C9}"/>
    <cellStyle name="Normal 8 3 6 4" xfId="18339" xr:uid="{00000000-0005-0000-0000-000067570000}"/>
    <cellStyle name="Normal 8 3 6 4 2" xfId="35208" xr:uid="{713BE0FE-793F-40CE-8AE4-45D8A40ED59B}"/>
    <cellStyle name="Normal 8 3 6 5" xfId="9904" xr:uid="{00000000-0005-0000-0000-000068570000}"/>
    <cellStyle name="Normal 8 3 6 6" xfId="26774" xr:uid="{F01A7942-9B47-4496-89B2-0CEEE97D3863}"/>
    <cellStyle name="Normal 8 3 7" xfId="1792" xr:uid="{00000000-0005-0000-0000-000069570000}"/>
    <cellStyle name="Normal 8 3 7 2" xfId="4022" xr:uid="{00000000-0005-0000-0000-00006A570000}"/>
    <cellStyle name="Normal 8 3 7 2 2" xfId="8245" xr:uid="{00000000-0005-0000-0000-00006B570000}"/>
    <cellStyle name="Normal 8 3 7 2 2 2" xfId="25115" xr:uid="{00000000-0005-0000-0000-00006C570000}"/>
    <cellStyle name="Normal 8 3 7 2 2 2 2" xfId="41983" xr:uid="{43E9A3B6-68B7-4905-83B5-EDDAD54DD722}"/>
    <cellStyle name="Normal 8 3 7 2 2 3" xfId="16680" xr:uid="{00000000-0005-0000-0000-00006D570000}"/>
    <cellStyle name="Normal 8 3 7 2 2 4" xfId="33549" xr:uid="{1CB8B54A-207D-4318-8BC9-A55A7F07EE91}"/>
    <cellStyle name="Normal 8 3 7 2 3" xfId="20897" xr:uid="{00000000-0005-0000-0000-00006E570000}"/>
    <cellStyle name="Normal 8 3 7 2 3 2" xfId="37766" xr:uid="{3DEFAE22-3163-4DAF-88D0-81E6E48CF088}"/>
    <cellStyle name="Normal 8 3 7 2 4" xfId="12462" xr:uid="{00000000-0005-0000-0000-00006F570000}"/>
    <cellStyle name="Normal 8 3 7 2 5" xfId="29332" xr:uid="{9632B086-58D0-4B60-9F7C-090D67BCC96F}"/>
    <cellStyle name="Normal 8 3 7 3" xfId="6100" xr:uid="{00000000-0005-0000-0000-000070570000}"/>
    <cellStyle name="Normal 8 3 7 3 2" xfId="22970" xr:uid="{00000000-0005-0000-0000-000071570000}"/>
    <cellStyle name="Normal 8 3 7 3 2 2" xfId="39838" xr:uid="{BC4D6D9D-BB74-4677-8BA5-5B3B6ED7140B}"/>
    <cellStyle name="Normal 8 3 7 3 3" xfId="14535" xr:uid="{00000000-0005-0000-0000-000072570000}"/>
    <cellStyle name="Normal 8 3 7 3 4" xfId="31404" xr:uid="{54A3D395-67E9-40A7-A229-7A3B62026B3F}"/>
    <cellStyle name="Normal 8 3 7 4" xfId="18752" xr:uid="{00000000-0005-0000-0000-000073570000}"/>
    <cellStyle name="Normal 8 3 7 4 2" xfId="35621" xr:uid="{3663AE3B-9CC4-4231-AD34-297E028565B7}"/>
    <cellStyle name="Normal 8 3 7 5" xfId="10317" xr:uid="{00000000-0005-0000-0000-000074570000}"/>
    <cellStyle name="Normal 8 3 7 6" xfId="27187" xr:uid="{159406B0-6F80-4E73-96EC-C16BE96B78A1}"/>
    <cellStyle name="Normal 8 3 8" xfId="2206" xr:uid="{00000000-0005-0000-0000-000075570000}"/>
    <cellStyle name="Normal 8 3 8 2" xfId="4435" xr:uid="{00000000-0005-0000-0000-000076570000}"/>
    <cellStyle name="Normal 8 3 8 2 2" xfId="8658" xr:uid="{00000000-0005-0000-0000-000077570000}"/>
    <cellStyle name="Normal 8 3 8 2 2 2" xfId="25528" xr:uid="{00000000-0005-0000-0000-000078570000}"/>
    <cellStyle name="Normal 8 3 8 2 2 2 2" xfId="42396" xr:uid="{7546EC0E-E568-4497-8518-4A92A76275E7}"/>
    <cellStyle name="Normal 8 3 8 2 2 3" xfId="17093" xr:uid="{00000000-0005-0000-0000-000079570000}"/>
    <cellStyle name="Normal 8 3 8 2 2 4" xfId="33962" xr:uid="{D7873EE0-B9A5-4357-B168-2E30681A0793}"/>
    <cellStyle name="Normal 8 3 8 2 3" xfId="21310" xr:uid="{00000000-0005-0000-0000-00007A570000}"/>
    <cellStyle name="Normal 8 3 8 2 3 2" xfId="38179" xr:uid="{D4BC43FC-8AA6-47E0-AD0C-22A00206005C}"/>
    <cellStyle name="Normal 8 3 8 2 4" xfId="12875" xr:uid="{00000000-0005-0000-0000-00007B570000}"/>
    <cellStyle name="Normal 8 3 8 2 5" xfId="29745" xr:uid="{542BE4A8-4BA9-493B-82AA-28D80E86D7DA}"/>
    <cellStyle name="Normal 8 3 8 3" xfId="6513" xr:uid="{00000000-0005-0000-0000-00007C570000}"/>
    <cellStyle name="Normal 8 3 8 3 2" xfId="23383" xr:uid="{00000000-0005-0000-0000-00007D570000}"/>
    <cellStyle name="Normal 8 3 8 3 2 2" xfId="40251" xr:uid="{BAD5741D-F22E-4111-B9D9-8B4438C6F198}"/>
    <cellStyle name="Normal 8 3 8 3 3" xfId="14948" xr:uid="{00000000-0005-0000-0000-00007E570000}"/>
    <cellStyle name="Normal 8 3 8 3 4" xfId="31817" xr:uid="{D3A53067-CB0A-44CE-8081-A1C905022B32}"/>
    <cellStyle name="Normal 8 3 8 4" xfId="19165" xr:uid="{00000000-0005-0000-0000-00007F570000}"/>
    <cellStyle name="Normal 8 3 8 4 2" xfId="36034" xr:uid="{4FFE87BF-55B5-4671-A4AE-B941E820AD1B}"/>
    <cellStyle name="Normal 8 3 8 5" xfId="10730" xr:uid="{00000000-0005-0000-0000-000080570000}"/>
    <cellStyle name="Normal 8 3 8 6" xfId="27600" xr:uid="{438A1914-2111-4F48-AF97-A3F38B1BF339}"/>
    <cellStyle name="Normal 8 3 9" xfId="2642" xr:uid="{00000000-0005-0000-0000-000081570000}"/>
    <cellStyle name="Normal 8 3 9 2" xfId="6926" xr:uid="{00000000-0005-0000-0000-000082570000}"/>
    <cellStyle name="Normal 8 3 9 2 2" xfId="23796" xr:uid="{00000000-0005-0000-0000-000083570000}"/>
    <cellStyle name="Normal 8 3 9 2 2 2" xfId="40664" xr:uid="{5ABF34FE-33BD-44F5-86B6-AD039DA2EFD2}"/>
    <cellStyle name="Normal 8 3 9 2 3" xfId="15361" xr:uid="{00000000-0005-0000-0000-000084570000}"/>
    <cellStyle name="Normal 8 3 9 2 4" xfId="32230" xr:uid="{AE643503-4370-4D3B-B0AC-27F8A7A8A25B}"/>
    <cellStyle name="Normal 8 3 9 3" xfId="19578" xr:uid="{00000000-0005-0000-0000-000085570000}"/>
    <cellStyle name="Normal 8 3 9 3 2" xfId="36447" xr:uid="{D92D7202-C359-459D-B0DE-49767A29B56B}"/>
    <cellStyle name="Normal 8 3 9 4" xfId="11143" xr:uid="{00000000-0005-0000-0000-000086570000}"/>
    <cellStyle name="Normal 8 3 9 5" xfId="28013" xr:uid="{C5B2E4AB-188F-4E4F-A32F-EDE139DF4112}"/>
    <cellStyle name="Normal 8 4" xfId="503" xr:uid="{00000000-0005-0000-0000-000087570000}"/>
    <cellStyle name="Normal 8 4 10" xfId="17521" xr:uid="{00000000-0005-0000-0000-000088570000}"/>
    <cellStyle name="Normal 8 4 10 2" xfId="34390" xr:uid="{B90F6517-F2F0-4243-9EBA-E7488FD58924}"/>
    <cellStyle name="Normal 8 4 11" xfId="9086" xr:uid="{00000000-0005-0000-0000-000089570000}"/>
    <cellStyle name="Normal 8 4 12" xfId="25956" xr:uid="{1CFECF63-0B78-48FD-9F49-F09FEC9FB66C}"/>
    <cellStyle name="Normal 8 4 2" xfId="504" xr:uid="{00000000-0005-0000-0000-00008A570000}"/>
    <cellStyle name="Normal 8 4 2 10" xfId="9087" xr:uid="{00000000-0005-0000-0000-00008B570000}"/>
    <cellStyle name="Normal 8 4 2 11" xfId="25957" xr:uid="{DDC5A580-AACD-4681-A54D-9ABF847634C1}"/>
    <cellStyle name="Normal 8 4 2 2" xfId="505" xr:uid="{00000000-0005-0000-0000-00008C570000}"/>
    <cellStyle name="Normal 8 4 2 2 10" xfId="25958" xr:uid="{A2074E81-CC16-40A8-A7FE-D58E7B244E08}"/>
    <cellStyle name="Normal 8 4 2 2 2" xfId="972" xr:uid="{00000000-0005-0000-0000-00008D570000}"/>
    <cellStyle name="Normal 8 4 2 2 2 2" xfId="3206" xr:uid="{00000000-0005-0000-0000-00008E570000}"/>
    <cellStyle name="Normal 8 4 2 2 2 2 2" xfId="7429" xr:uid="{00000000-0005-0000-0000-00008F570000}"/>
    <cellStyle name="Normal 8 4 2 2 2 2 2 2" xfId="24299" xr:uid="{00000000-0005-0000-0000-000090570000}"/>
    <cellStyle name="Normal 8 4 2 2 2 2 2 2 2" xfId="41167" xr:uid="{04EE537C-A947-471F-BE5A-E3A629510115}"/>
    <cellStyle name="Normal 8 4 2 2 2 2 2 3" xfId="15864" xr:uid="{00000000-0005-0000-0000-000091570000}"/>
    <cellStyle name="Normal 8 4 2 2 2 2 2 4" xfId="32733" xr:uid="{91323FB0-261C-440C-AD11-9F264764C740}"/>
    <cellStyle name="Normal 8 4 2 2 2 2 3" xfId="20081" xr:uid="{00000000-0005-0000-0000-000092570000}"/>
    <cellStyle name="Normal 8 4 2 2 2 2 3 2" xfId="36950" xr:uid="{CBE76711-CE5B-4993-B6D2-5048B753E47F}"/>
    <cellStyle name="Normal 8 4 2 2 2 2 4" xfId="11646" xr:uid="{00000000-0005-0000-0000-000093570000}"/>
    <cellStyle name="Normal 8 4 2 2 2 2 5" xfId="28516" xr:uid="{D29F3D23-6D76-4C8D-B956-04E072619530}"/>
    <cellStyle name="Normal 8 4 2 2 2 3" xfId="5284" xr:uid="{00000000-0005-0000-0000-000094570000}"/>
    <cellStyle name="Normal 8 4 2 2 2 3 2" xfId="22154" xr:uid="{00000000-0005-0000-0000-000095570000}"/>
    <cellStyle name="Normal 8 4 2 2 2 3 2 2" xfId="39022" xr:uid="{DC6DDB83-24F1-40B5-A4F7-C6CF0FD59E44}"/>
    <cellStyle name="Normal 8 4 2 2 2 3 3" xfId="13719" xr:uid="{00000000-0005-0000-0000-000096570000}"/>
    <cellStyle name="Normal 8 4 2 2 2 3 4" xfId="30588" xr:uid="{85532B54-701C-4EF1-8B3E-2DCDA4A840BC}"/>
    <cellStyle name="Normal 8 4 2 2 2 4" xfId="17936" xr:uid="{00000000-0005-0000-0000-000097570000}"/>
    <cellStyle name="Normal 8 4 2 2 2 4 2" xfId="34805" xr:uid="{B879E204-F54F-43A8-ABBE-81DDAACF4FD0}"/>
    <cellStyle name="Normal 8 4 2 2 2 5" xfId="9501" xr:uid="{00000000-0005-0000-0000-000098570000}"/>
    <cellStyle name="Normal 8 4 2 2 2 6" xfId="26371" xr:uid="{4076B0C2-076E-477C-8ADD-07E23DBBD0ED}"/>
    <cellStyle name="Normal 8 4 2 2 3" xfId="1389" xr:uid="{00000000-0005-0000-0000-000099570000}"/>
    <cellStyle name="Normal 8 4 2 2 3 2" xfId="3619" xr:uid="{00000000-0005-0000-0000-00009A570000}"/>
    <cellStyle name="Normal 8 4 2 2 3 2 2" xfId="7842" xr:uid="{00000000-0005-0000-0000-00009B570000}"/>
    <cellStyle name="Normal 8 4 2 2 3 2 2 2" xfId="24712" xr:uid="{00000000-0005-0000-0000-00009C570000}"/>
    <cellStyle name="Normal 8 4 2 2 3 2 2 2 2" xfId="41580" xr:uid="{7F45C5BF-A2CA-4C55-83B6-0FA6E526B1CB}"/>
    <cellStyle name="Normal 8 4 2 2 3 2 2 3" xfId="16277" xr:uid="{00000000-0005-0000-0000-00009D570000}"/>
    <cellStyle name="Normal 8 4 2 2 3 2 2 4" xfId="33146" xr:uid="{5DD119A2-7C6F-4FB2-B3D4-3F60F97DD4E2}"/>
    <cellStyle name="Normal 8 4 2 2 3 2 3" xfId="20494" xr:uid="{00000000-0005-0000-0000-00009E570000}"/>
    <cellStyle name="Normal 8 4 2 2 3 2 3 2" xfId="37363" xr:uid="{E85FD63A-F0B5-42FD-8F55-FEFBE4A7A30D}"/>
    <cellStyle name="Normal 8 4 2 2 3 2 4" xfId="12059" xr:uid="{00000000-0005-0000-0000-00009F570000}"/>
    <cellStyle name="Normal 8 4 2 2 3 2 5" xfId="28929" xr:uid="{242426DA-FAEA-4C81-A5E5-3DE9BF69B3F6}"/>
    <cellStyle name="Normal 8 4 2 2 3 3" xfId="5697" xr:uid="{00000000-0005-0000-0000-0000A0570000}"/>
    <cellStyle name="Normal 8 4 2 2 3 3 2" xfId="22567" xr:uid="{00000000-0005-0000-0000-0000A1570000}"/>
    <cellStyle name="Normal 8 4 2 2 3 3 2 2" xfId="39435" xr:uid="{3607A65E-2B4E-4E30-8643-150701EF4E5B}"/>
    <cellStyle name="Normal 8 4 2 2 3 3 3" xfId="14132" xr:uid="{00000000-0005-0000-0000-0000A2570000}"/>
    <cellStyle name="Normal 8 4 2 2 3 3 4" xfId="31001" xr:uid="{A3C655E1-42BC-4DDE-94DC-56742B497A63}"/>
    <cellStyle name="Normal 8 4 2 2 3 4" xfId="18349" xr:uid="{00000000-0005-0000-0000-0000A3570000}"/>
    <cellStyle name="Normal 8 4 2 2 3 4 2" xfId="35218" xr:uid="{F1A703F2-DBBC-442E-AA90-1F05D6A3BE1D}"/>
    <cellStyle name="Normal 8 4 2 2 3 5" xfId="9914" xr:uid="{00000000-0005-0000-0000-0000A4570000}"/>
    <cellStyle name="Normal 8 4 2 2 3 6" xfId="26784" xr:uid="{3C394BCF-24A4-48C3-9FF1-28CFCF685640}"/>
    <cellStyle name="Normal 8 4 2 2 4" xfId="1802" xr:uid="{00000000-0005-0000-0000-0000A5570000}"/>
    <cellStyle name="Normal 8 4 2 2 4 2" xfId="4032" xr:uid="{00000000-0005-0000-0000-0000A6570000}"/>
    <cellStyle name="Normal 8 4 2 2 4 2 2" xfId="8255" xr:uid="{00000000-0005-0000-0000-0000A7570000}"/>
    <cellStyle name="Normal 8 4 2 2 4 2 2 2" xfId="25125" xr:uid="{00000000-0005-0000-0000-0000A8570000}"/>
    <cellStyle name="Normal 8 4 2 2 4 2 2 2 2" xfId="41993" xr:uid="{886E387E-508C-4E2B-A838-DF360516C6C7}"/>
    <cellStyle name="Normal 8 4 2 2 4 2 2 3" xfId="16690" xr:uid="{00000000-0005-0000-0000-0000A9570000}"/>
    <cellStyle name="Normal 8 4 2 2 4 2 2 4" xfId="33559" xr:uid="{8A93A9AD-E275-462D-9668-2A703D43F0FF}"/>
    <cellStyle name="Normal 8 4 2 2 4 2 3" xfId="20907" xr:uid="{00000000-0005-0000-0000-0000AA570000}"/>
    <cellStyle name="Normal 8 4 2 2 4 2 3 2" xfId="37776" xr:uid="{AD4422BC-142F-439E-8007-1684963AF541}"/>
    <cellStyle name="Normal 8 4 2 2 4 2 4" xfId="12472" xr:uid="{00000000-0005-0000-0000-0000AB570000}"/>
    <cellStyle name="Normal 8 4 2 2 4 2 5" xfId="29342" xr:uid="{3A668A8D-48C9-4D6B-A7CA-3076494900EF}"/>
    <cellStyle name="Normal 8 4 2 2 4 3" xfId="6110" xr:uid="{00000000-0005-0000-0000-0000AC570000}"/>
    <cellStyle name="Normal 8 4 2 2 4 3 2" xfId="22980" xr:uid="{00000000-0005-0000-0000-0000AD570000}"/>
    <cellStyle name="Normal 8 4 2 2 4 3 2 2" xfId="39848" xr:uid="{81153B10-48A6-48D7-949E-A54038660A6E}"/>
    <cellStyle name="Normal 8 4 2 2 4 3 3" xfId="14545" xr:uid="{00000000-0005-0000-0000-0000AE570000}"/>
    <cellStyle name="Normal 8 4 2 2 4 3 4" xfId="31414" xr:uid="{22348043-403D-4C5C-A5CE-5F263E5707C8}"/>
    <cellStyle name="Normal 8 4 2 2 4 4" xfId="18762" xr:uid="{00000000-0005-0000-0000-0000AF570000}"/>
    <cellStyle name="Normal 8 4 2 2 4 4 2" xfId="35631" xr:uid="{52686C6B-BED6-4ACA-A3D8-2D9146D7F85E}"/>
    <cellStyle name="Normal 8 4 2 2 4 5" xfId="10327" xr:uid="{00000000-0005-0000-0000-0000B0570000}"/>
    <cellStyle name="Normal 8 4 2 2 4 6" xfId="27197" xr:uid="{339C84B3-92DF-4A24-8AC0-6FBC1E000739}"/>
    <cellStyle name="Normal 8 4 2 2 5" xfId="2216" xr:uid="{00000000-0005-0000-0000-0000B1570000}"/>
    <cellStyle name="Normal 8 4 2 2 5 2" xfId="4445" xr:uid="{00000000-0005-0000-0000-0000B2570000}"/>
    <cellStyle name="Normal 8 4 2 2 5 2 2" xfId="8668" xr:uid="{00000000-0005-0000-0000-0000B3570000}"/>
    <cellStyle name="Normal 8 4 2 2 5 2 2 2" xfId="25538" xr:uid="{00000000-0005-0000-0000-0000B4570000}"/>
    <cellStyle name="Normal 8 4 2 2 5 2 2 2 2" xfId="42406" xr:uid="{F65747C0-FEC6-4BD3-9517-8A829A9915C0}"/>
    <cellStyle name="Normal 8 4 2 2 5 2 2 3" xfId="17103" xr:uid="{00000000-0005-0000-0000-0000B5570000}"/>
    <cellStyle name="Normal 8 4 2 2 5 2 2 4" xfId="33972" xr:uid="{687CFD23-C0C9-4A8B-9C67-849A46C76606}"/>
    <cellStyle name="Normal 8 4 2 2 5 2 3" xfId="21320" xr:uid="{00000000-0005-0000-0000-0000B6570000}"/>
    <cellStyle name="Normal 8 4 2 2 5 2 3 2" xfId="38189" xr:uid="{3D799D9A-E0CA-43A4-A6F8-23BAEE6E3387}"/>
    <cellStyle name="Normal 8 4 2 2 5 2 4" xfId="12885" xr:uid="{00000000-0005-0000-0000-0000B7570000}"/>
    <cellStyle name="Normal 8 4 2 2 5 2 5" xfId="29755" xr:uid="{B23342BC-AA1B-41AE-8867-9070A86C817D}"/>
    <cellStyle name="Normal 8 4 2 2 5 3" xfId="6523" xr:uid="{00000000-0005-0000-0000-0000B8570000}"/>
    <cellStyle name="Normal 8 4 2 2 5 3 2" xfId="23393" xr:uid="{00000000-0005-0000-0000-0000B9570000}"/>
    <cellStyle name="Normal 8 4 2 2 5 3 2 2" xfId="40261" xr:uid="{F0AAE26A-5B3A-4335-81D1-8DDE146623EA}"/>
    <cellStyle name="Normal 8 4 2 2 5 3 3" xfId="14958" xr:uid="{00000000-0005-0000-0000-0000BA570000}"/>
    <cellStyle name="Normal 8 4 2 2 5 3 4" xfId="31827" xr:uid="{1C3D4EB1-AAFD-412A-A825-1535BDE00B83}"/>
    <cellStyle name="Normal 8 4 2 2 5 4" xfId="19175" xr:uid="{00000000-0005-0000-0000-0000BB570000}"/>
    <cellStyle name="Normal 8 4 2 2 5 4 2" xfId="36044" xr:uid="{3108F843-3D98-404C-8A91-A950F7C94F8F}"/>
    <cellStyle name="Normal 8 4 2 2 5 5" xfId="10740" xr:uid="{00000000-0005-0000-0000-0000BC570000}"/>
    <cellStyle name="Normal 8 4 2 2 5 6" xfId="27610" xr:uid="{D4CF57BD-531D-4674-B573-33491A9BA22F}"/>
    <cellStyle name="Normal 8 4 2 2 6" xfId="2652" xr:uid="{00000000-0005-0000-0000-0000BD570000}"/>
    <cellStyle name="Normal 8 4 2 2 6 2" xfId="6936" xr:uid="{00000000-0005-0000-0000-0000BE570000}"/>
    <cellStyle name="Normal 8 4 2 2 6 2 2" xfId="23806" xr:uid="{00000000-0005-0000-0000-0000BF570000}"/>
    <cellStyle name="Normal 8 4 2 2 6 2 2 2" xfId="40674" xr:uid="{2AFF4345-E7A1-410F-A9F3-DAB4430F4DA6}"/>
    <cellStyle name="Normal 8 4 2 2 6 2 3" xfId="15371" xr:uid="{00000000-0005-0000-0000-0000C0570000}"/>
    <cellStyle name="Normal 8 4 2 2 6 2 4" xfId="32240" xr:uid="{19126388-09EE-4017-A7FE-360AD66833BF}"/>
    <cellStyle name="Normal 8 4 2 2 6 3" xfId="19588" xr:uid="{00000000-0005-0000-0000-0000C1570000}"/>
    <cellStyle name="Normal 8 4 2 2 6 3 2" xfId="36457" xr:uid="{7FEE13BE-D444-4593-816B-B486081AAE3C}"/>
    <cellStyle name="Normal 8 4 2 2 6 4" xfId="11153" xr:uid="{00000000-0005-0000-0000-0000C2570000}"/>
    <cellStyle name="Normal 8 4 2 2 6 5" xfId="28023" xr:uid="{A9770403-027D-4E70-9A59-10C5B4B50587}"/>
    <cellStyle name="Normal 8 4 2 2 7" xfId="4871" xr:uid="{00000000-0005-0000-0000-0000C3570000}"/>
    <cellStyle name="Normal 8 4 2 2 7 2" xfId="21741" xr:uid="{00000000-0005-0000-0000-0000C4570000}"/>
    <cellStyle name="Normal 8 4 2 2 7 2 2" xfId="38609" xr:uid="{5EBE1B8B-EA4F-4BEA-9B49-AC5B748A55F2}"/>
    <cellStyle name="Normal 8 4 2 2 7 3" xfId="13306" xr:uid="{00000000-0005-0000-0000-0000C5570000}"/>
    <cellStyle name="Normal 8 4 2 2 7 4" xfId="30175" xr:uid="{F4F7DBF7-CB55-4B24-8664-90EA936E50BD}"/>
    <cellStyle name="Normal 8 4 2 2 8" xfId="17523" xr:uid="{00000000-0005-0000-0000-0000C6570000}"/>
    <cellStyle name="Normal 8 4 2 2 8 2" xfId="34392" xr:uid="{D9EA452C-E43A-4CBC-8FF9-E6669540CD1C}"/>
    <cellStyle name="Normal 8 4 2 2 9" xfId="9088" xr:uid="{00000000-0005-0000-0000-0000C7570000}"/>
    <cellStyle name="Normal 8 4 2 3" xfId="971" xr:uid="{00000000-0005-0000-0000-0000C8570000}"/>
    <cellStyle name="Normal 8 4 2 3 2" xfId="3205" xr:uid="{00000000-0005-0000-0000-0000C9570000}"/>
    <cellStyle name="Normal 8 4 2 3 2 2" xfId="7428" xr:uid="{00000000-0005-0000-0000-0000CA570000}"/>
    <cellStyle name="Normal 8 4 2 3 2 2 2" xfId="24298" xr:uid="{00000000-0005-0000-0000-0000CB570000}"/>
    <cellStyle name="Normal 8 4 2 3 2 2 2 2" xfId="41166" xr:uid="{B6A3ABAF-8404-4DF9-AA76-662FD781341D}"/>
    <cellStyle name="Normal 8 4 2 3 2 2 3" xfId="15863" xr:uid="{00000000-0005-0000-0000-0000CC570000}"/>
    <cellStyle name="Normal 8 4 2 3 2 2 4" xfId="32732" xr:uid="{8F841714-0742-495A-A8D1-86649B8867B6}"/>
    <cellStyle name="Normal 8 4 2 3 2 3" xfId="20080" xr:uid="{00000000-0005-0000-0000-0000CD570000}"/>
    <cellStyle name="Normal 8 4 2 3 2 3 2" xfId="36949" xr:uid="{EC560380-E216-4D35-81E0-8A00ED39FE1F}"/>
    <cellStyle name="Normal 8 4 2 3 2 4" xfId="11645" xr:uid="{00000000-0005-0000-0000-0000CE570000}"/>
    <cellStyle name="Normal 8 4 2 3 2 5" xfId="28515" xr:uid="{B63072F2-17CE-409D-A586-E439EA1EE5CE}"/>
    <cellStyle name="Normal 8 4 2 3 3" xfId="5283" xr:uid="{00000000-0005-0000-0000-0000CF570000}"/>
    <cellStyle name="Normal 8 4 2 3 3 2" xfId="22153" xr:uid="{00000000-0005-0000-0000-0000D0570000}"/>
    <cellStyle name="Normal 8 4 2 3 3 2 2" xfId="39021" xr:uid="{DEDE2AA3-49D4-4746-9441-0B5C97A607C3}"/>
    <cellStyle name="Normal 8 4 2 3 3 3" xfId="13718" xr:uid="{00000000-0005-0000-0000-0000D1570000}"/>
    <cellStyle name="Normal 8 4 2 3 3 4" xfId="30587" xr:uid="{36FF41A9-C095-4D27-BF42-BA2F467C2AB8}"/>
    <cellStyle name="Normal 8 4 2 3 4" xfId="17935" xr:uid="{00000000-0005-0000-0000-0000D2570000}"/>
    <cellStyle name="Normal 8 4 2 3 4 2" xfId="34804" xr:uid="{ABA0BA3A-4C79-4B7B-80AA-9819BD6EA17E}"/>
    <cellStyle name="Normal 8 4 2 3 5" xfId="9500" xr:uid="{00000000-0005-0000-0000-0000D3570000}"/>
    <cellStyle name="Normal 8 4 2 3 6" xfId="26370" xr:uid="{1A23B4E0-C06C-47C2-8FD0-5B0F5D73662A}"/>
    <cellStyle name="Normal 8 4 2 4" xfId="1388" xr:uid="{00000000-0005-0000-0000-0000D4570000}"/>
    <cellStyle name="Normal 8 4 2 4 2" xfId="3618" xr:uid="{00000000-0005-0000-0000-0000D5570000}"/>
    <cellStyle name="Normal 8 4 2 4 2 2" xfId="7841" xr:uid="{00000000-0005-0000-0000-0000D6570000}"/>
    <cellStyle name="Normal 8 4 2 4 2 2 2" xfId="24711" xr:uid="{00000000-0005-0000-0000-0000D7570000}"/>
    <cellStyle name="Normal 8 4 2 4 2 2 2 2" xfId="41579" xr:uid="{1DF0A7D9-B578-4011-8CA7-B332845F68F5}"/>
    <cellStyle name="Normal 8 4 2 4 2 2 3" xfId="16276" xr:uid="{00000000-0005-0000-0000-0000D8570000}"/>
    <cellStyle name="Normal 8 4 2 4 2 2 4" xfId="33145" xr:uid="{84F211A2-B716-4A10-9E78-8B78CA8285C4}"/>
    <cellStyle name="Normal 8 4 2 4 2 3" xfId="20493" xr:uid="{00000000-0005-0000-0000-0000D9570000}"/>
    <cellStyle name="Normal 8 4 2 4 2 3 2" xfId="37362" xr:uid="{DBA48403-1A0F-4CBF-97B2-0F100B9A1A70}"/>
    <cellStyle name="Normal 8 4 2 4 2 4" xfId="12058" xr:uid="{00000000-0005-0000-0000-0000DA570000}"/>
    <cellStyle name="Normal 8 4 2 4 2 5" xfId="28928" xr:uid="{8D248D4A-ACBA-4DE7-8280-243AA27CDD1E}"/>
    <cellStyle name="Normal 8 4 2 4 3" xfId="5696" xr:uid="{00000000-0005-0000-0000-0000DB570000}"/>
    <cellStyle name="Normal 8 4 2 4 3 2" xfId="22566" xr:uid="{00000000-0005-0000-0000-0000DC570000}"/>
    <cellStyle name="Normal 8 4 2 4 3 2 2" xfId="39434" xr:uid="{5C7BB92C-8031-4432-8742-2087FDD2E13D}"/>
    <cellStyle name="Normal 8 4 2 4 3 3" xfId="14131" xr:uid="{00000000-0005-0000-0000-0000DD570000}"/>
    <cellStyle name="Normal 8 4 2 4 3 4" xfId="31000" xr:uid="{1AF0964C-6198-4B09-8771-81BCB01BE4C0}"/>
    <cellStyle name="Normal 8 4 2 4 4" xfId="18348" xr:uid="{00000000-0005-0000-0000-0000DE570000}"/>
    <cellStyle name="Normal 8 4 2 4 4 2" xfId="35217" xr:uid="{D1980C55-CA34-4336-B000-51823F0F6897}"/>
    <cellStyle name="Normal 8 4 2 4 5" xfId="9913" xr:uid="{00000000-0005-0000-0000-0000DF570000}"/>
    <cellStyle name="Normal 8 4 2 4 6" xfId="26783" xr:uid="{E0B134CD-98B9-4821-9093-5C672FEE5F60}"/>
    <cellStyle name="Normal 8 4 2 5" xfId="1801" xr:uid="{00000000-0005-0000-0000-0000E0570000}"/>
    <cellStyle name="Normal 8 4 2 5 2" xfId="4031" xr:uid="{00000000-0005-0000-0000-0000E1570000}"/>
    <cellStyle name="Normal 8 4 2 5 2 2" xfId="8254" xr:uid="{00000000-0005-0000-0000-0000E2570000}"/>
    <cellStyle name="Normal 8 4 2 5 2 2 2" xfId="25124" xr:uid="{00000000-0005-0000-0000-0000E3570000}"/>
    <cellStyle name="Normal 8 4 2 5 2 2 2 2" xfId="41992" xr:uid="{E3ABAFAA-2956-4652-870C-E5CB2EBB7228}"/>
    <cellStyle name="Normal 8 4 2 5 2 2 3" xfId="16689" xr:uid="{00000000-0005-0000-0000-0000E4570000}"/>
    <cellStyle name="Normal 8 4 2 5 2 2 4" xfId="33558" xr:uid="{FCFB4E6A-96F6-40C6-A713-9C993488178A}"/>
    <cellStyle name="Normal 8 4 2 5 2 3" xfId="20906" xr:uid="{00000000-0005-0000-0000-0000E5570000}"/>
    <cellStyle name="Normal 8 4 2 5 2 3 2" xfId="37775" xr:uid="{78C38A69-7999-414E-9683-E43691F41080}"/>
    <cellStyle name="Normal 8 4 2 5 2 4" xfId="12471" xr:uid="{00000000-0005-0000-0000-0000E6570000}"/>
    <cellStyle name="Normal 8 4 2 5 2 5" xfId="29341" xr:uid="{14D438A0-3906-4A41-92E5-50CA550BA56D}"/>
    <cellStyle name="Normal 8 4 2 5 3" xfId="6109" xr:uid="{00000000-0005-0000-0000-0000E7570000}"/>
    <cellStyle name="Normal 8 4 2 5 3 2" xfId="22979" xr:uid="{00000000-0005-0000-0000-0000E8570000}"/>
    <cellStyle name="Normal 8 4 2 5 3 2 2" xfId="39847" xr:uid="{434C0A47-5913-437E-A153-B2A207BB5EB6}"/>
    <cellStyle name="Normal 8 4 2 5 3 3" xfId="14544" xr:uid="{00000000-0005-0000-0000-0000E9570000}"/>
    <cellStyle name="Normal 8 4 2 5 3 4" xfId="31413" xr:uid="{159B23BD-43F9-4B7D-9F89-D817B2C8BCCD}"/>
    <cellStyle name="Normal 8 4 2 5 4" xfId="18761" xr:uid="{00000000-0005-0000-0000-0000EA570000}"/>
    <cellStyle name="Normal 8 4 2 5 4 2" xfId="35630" xr:uid="{8A825A5E-F825-4382-AE2A-4C171462B9BE}"/>
    <cellStyle name="Normal 8 4 2 5 5" xfId="10326" xr:uid="{00000000-0005-0000-0000-0000EB570000}"/>
    <cellStyle name="Normal 8 4 2 5 6" xfId="27196" xr:uid="{CE5FDCE8-933D-446E-9C7F-115CE20B8944}"/>
    <cellStyle name="Normal 8 4 2 6" xfId="2215" xr:uid="{00000000-0005-0000-0000-0000EC570000}"/>
    <cellStyle name="Normal 8 4 2 6 2" xfId="4444" xr:uid="{00000000-0005-0000-0000-0000ED570000}"/>
    <cellStyle name="Normal 8 4 2 6 2 2" xfId="8667" xr:uid="{00000000-0005-0000-0000-0000EE570000}"/>
    <cellStyle name="Normal 8 4 2 6 2 2 2" xfId="25537" xr:uid="{00000000-0005-0000-0000-0000EF570000}"/>
    <cellStyle name="Normal 8 4 2 6 2 2 2 2" xfId="42405" xr:uid="{AB87889F-E560-4AA2-BC91-582E8EA41CAC}"/>
    <cellStyle name="Normal 8 4 2 6 2 2 3" xfId="17102" xr:uid="{00000000-0005-0000-0000-0000F0570000}"/>
    <cellStyle name="Normal 8 4 2 6 2 2 4" xfId="33971" xr:uid="{F1C72791-2BEA-4A96-9A19-BC025B5AB700}"/>
    <cellStyle name="Normal 8 4 2 6 2 3" xfId="21319" xr:uid="{00000000-0005-0000-0000-0000F1570000}"/>
    <cellStyle name="Normal 8 4 2 6 2 3 2" xfId="38188" xr:uid="{3229ED07-01AA-413E-942E-10CB6CB5602D}"/>
    <cellStyle name="Normal 8 4 2 6 2 4" xfId="12884" xr:uid="{00000000-0005-0000-0000-0000F2570000}"/>
    <cellStyle name="Normal 8 4 2 6 2 5" xfId="29754" xr:uid="{D1C65A8C-2FB1-4D74-AEE1-7D1C1C215101}"/>
    <cellStyle name="Normal 8 4 2 6 3" xfId="6522" xr:uid="{00000000-0005-0000-0000-0000F3570000}"/>
    <cellStyle name="Normal 8 4 2 6 3 2" xfId="23392" xr:uid="{00000000-0005-0000-0000-0000F4570000}"/>
    <cellStyle name="Normal 8 4 2 6 3 2 2" xfId="40260" xr:uid="{9AC50AD9-C733-4E74-AE1D-F416076C4B0D}"/>
    <cellStyle name="Normal 8 4 2 6 3 3" xfId="14957" xr:uid="{00000000-0005-0000-0000-0000F5570000}"/>
    <cellStyle name="Normal 8 4 2 6 3 4" xfId="31826" xr:uid="{531037A0-7669-43D0-930D-757F5249B792}"/>
    <cellStyle name="Normal 8 4 2 6 4" xfId="19174" xr:uid="{00000000-0005-0000-0000-0000F6570000}"/>
    <cellStyle name="Normal 8 4 2 6 4 2" xfId="36043" xr:uid="{41C41101-A9EC-43ED-B6FA-50886E3C412C}"/>
    <cellStyle name="Normal 8 4 2 6 5" xfId="10739" xr:uid="{00000000-0005-0000-0000-0000F7570000}"/>
    <cellStyle name="Normal 8 4 2 6 6" xfId="27609" xr:uid="{EAF3D12A-EDD4-45FA-9706-8FCA5A4850A4}"/>
    <cellStyle name="Normal 8 4 2 7" xfId="2651" xr:uid="{00000000-0005-0000-0000-0000F8570000}"/>
    <cellStyle name="Normal 8 4 2 7 2" xfId="6935" xr:uid="{00000000-0005-0000-0000-0000F9570000}"/>
    <cellStyle name="Normal 8 4 2 7 2 2" xfId="23805" xr:uid="{00000000-0005-0000-0000-0000FA570000}"/>
    <cellStyle name="Normal 8 4 2 7 2 2 2" xfId="40673" xr:uid="{D6B42BEC-5BD3-4074-8B16-39DE06D2A180}"/>
    <cellStyle name="Normal 8 4 2 7 2 3" xfId="15370" xr:uid="{00000000-0005-0000-0000-0000FB570000}"/>
    <cellStyle name="Normal 8 4 2 7 2 4" xfId="32239" xr:uid="{1542B7AC-E79C-491C-BA07-3C3AB4336735}"/>
    <cellStyle name="Normal 8 4 2 7 3" xfId="19587" xr:uid="{00000000-0005-0000-0000-0000FC570000}"/>
    <cellStyle name="Normal 8 4 2 7 3 2" xfId="36456" xr:uid="{CB321167-45E5-489B-8C86-BC3AF78D9B72}"/>
    <cellStyle name="Normal 8 4 2 7 4" xfId="11152" xr:uid="{00000000-0005-0000-0000-0000FD570000}"/>
    <cellStyle name="Normal 8 4 2 7 5" xfId="28022" xr:uid="{83FF1615-C23C-4E08-87C6-8D43C0738C82}"/>
    <cellStyle name="Normal 8 4 2 8" xfId="4870" xr:uid="{00000000-0005-0000-0000-0000FE570000}"/>
    <cellStyle name="Normal 8 4 2 8 2" xfId="21740" xr:uid="{00000000-0005-0000-0000-0000FF570000}"/>
    <cellStyle name="Normal 8 4 2 8 2 2" xfId="38608" xr:uid="{01341B82-5289-43AA-B464-CFA7F879E8B6}"/>
    <cellStyle name="Normal 8 4 2 8 3" xfId="13305" xr:uid="{00000000-0005-0000-0000-000000580000}"/>
    <cellStyle name="Normal 8 4 2 8 4" xfId="30174" xr:uid="{6AC55905-5658-4E90-BBE5-C36A41B2C366}"/>
    <cellStyle name="Normal 8 4 2 9" xfId="17522" xr:uid="{00000000-0005-0000-0000-000001580000}"/>
    <cellStyle name="Normal 8 4 2 9 2" xfId="34391" xr:uid="{6A685667-EDC7-494D-8A92-82570D7F3883}"/>
    <cellStyle name="Normal 8 4 3" xfId="506" xr:uid="{00000000-0005-0000-0000-000002580000}"/>
    <cellStyle name="Normal 8 4 3 10" xfId="25959" xr:uid="{9AD2306C-C026-4EAE-A9BE-B8E52B3C88FA}"/>
    <cellStyle name="Normal 8 4 3 2" xfId="973" xr:uid="{00000000-0005-0000-0000-000003580000}"/>
    <cellStyle name="Normal 8 4 3 2 2" xfId="3207" xr:uid="{00000000-0005-0000-0000-000004580000}"/>
    <cellStyle name="Normal 8 4 3 2 2 2" xfId="7430" xr:uid="{00000000-0005-0000-0000-000005580000}"/>
    <cellStyle name="Normal 8 4 3 2 2 2 2" xfId="24300" xr:uid="{00000000-0005-0000-0000-000006580000}"/>
    <cellStyle name="Normal 8 4 3 2 2 2 2 2" xfId="41168" xr:uid="{A0FE8755-0226-450C-8BB8-6694B4A2A6B3}"/>
    <cellStyle name="Normal 8 4 3 2 2 2 3" xfId="15865" xr:uid="{00000000-0005-0000-0000-000007580000}"/>
    <cellStyle name="Normal 8 4 3 2 2 2 4" xfId="32734" xr:uid="{5D00683A-F0C1-4103-9FC0-7D2E7E11278A}"/>
    <cellStyle name="Normal 8 4 3 2 2 3" xfId="20082" xr:uid="{00000000-0005-0000-0000-000008580000}"/>
    <cellStyle name="Normal 8 4 3 2 2 3 2" xfId="36951" xr:uid="{D680C277-7938-44A1-B994-03BEA99EF822}"/>
    <cellStyle name="Normal 8 4 3 2 2 4" xfId="11647" xr:uid="{00000000-0005-0000-0000-000009580000}"/>
    <cellStyle name="Normal 8 4 3 2 2 5" xfId="28517" xr:uid="{CABFE8D9-971E-4665-AB48-F59F17E1DEE3}"/>
    <cellStyle name="Normal 8 4 3 2 3" xfId="5285" xr:uid="{00000000-0005-0000-0000-00000A580000}"/>
    <cellStyle name="Normal 8 4 3 2 3 2" xfId="22155" xr:uid="{00000000-0005-0000-0000-00000B580000}"/>
    <cellStyle name="Normal 8 4 3 2 3 2 2" xfId="39023" xr:uid="{D95829B3-64DA-4A39-9981-F80FC6E06885}"/>
    <cellStyle name="Normal 8 4 3 2 3 3" xfId="13720" xr:uid="{00000000-0005-0000-0000-00000C580000}"/>
    <cellStyle name="Normal 8 4 3 2 3 4" xfId="30589" xr:uid="{653ABC46-54C2-4ECA-ADF2-1E7785D50607}"/>
    <cellStyle name="Normal 8 4 3 2 4" xfId="17937" xr:uid="{00000000-0005-0000-0000-00000D580000}"/>
    <cellStyle name="Normal 8 4 3 2 4 2" xfId="34806" xr:uid="{66F84C87-5F3E-41A3-AC65-C7D18870F027}"/>
    <cellStyle name="Normal 8 4 3 2 5" xfId="9502" xr:uid="{00000000-0005-0000-0000-00000E580000}"/>
    <cellStyle name="Normal 8 4 3 2 6" xfId="26372" xr:uid="{633484F2-48AB-4329-ACEC-AC70583B5303}"/>
    <cellStyle name="Normal 8 4 3 3" xfId="1390" xr:uid="{00000000-0005-0000-0000-00000F580000}"/>
    <cellStyle name="Normal 8 4 3 3 2" xfId="3620" xr:uid="{00000000-0005-0000-0000-000010580000}"/>
    <cellStyle name="Normal 8 4 3 3 2 2" xfId="7843" xr:uid="{00000000-0005-0000-0000-000011580000}"/>
    <cellStyle name="Normal 8 4 3 3 2 2 2" xfId="24713" xr:uid="{00000000-0005-0000-0000-000012580000}"/>
    <cellStyle name="Normal 8 4 3 3 2 2 2 2" xfId="41581" xr:uid="{D9BC68F8-7FBE-4D97-BFE9-973105D0D9BC}"/>
    <cellStyle name="Normal 8 4 3 3 2 2 3" xfId="16278" xr:uid="{00000000-0005-0000-0000-000013580000}"/>
    <cellStyle name="Normal 8 4 3 3 2 2 4" xfId="33147" xr:uid="{F27C8782-2522-4955-8773-9BA15EFCC56E}"/>
    <cellStyle name="Normal 8 4 3 3 2 3" xfId="20495" xr:uid="{00000000-0005-0000-0000-000014580000}"/>
    <cellStyle name="Normal 8 4 3 3 2 3 2" xfId="37364" xr:uid="{02F9086C-0FB7-4437-A391-45A83AE40249}"/>
    <cellStyle name="Normal 8 4 3 3 2 4" xfId="12060" xr:uid="{00000000-0005-0000-0000-000015580000}"/>
    <cellStyle name="Normal 8 4 3 3 2 5" xfId="28930" xr:uid="{D119B988-66C5-4D74-8444-D6F321E430EC}"/>
    <cellStyle name="Normal 8 4 3 3 3" xfId="5698" xr:uid="{00000000-0005-0000-0000-000016580000}"/>
    <cellStyle name="Normal 8 4 3 3 3 2" xfId="22568" xr:uid="{00000000-0005-0000-0000-000017580000}"/>
    <cellStyle name="Normal 8 4 3 3 3 2 2" xfId="39436" xr:uid="{BB1B2C5F-748A-4372-B957-29A900C478F3}"/>
    <cellStyle name="Normal 8 4 3 3 3 3" xfId="14133" xr:uid="{00000000-0005-0000-0000-000018580000}"/>
    <cellStyle name="Normal 8 4 3 3 3 4" xfId="31002" xr:uid="{528D93FE-28BD-4609-8B00-8A1E94A08186}"/>
    <cellStyle name="Normal 8 4 3 3 4" xfId="18350" xr:uid="{00000000-0005-0000-0000-000019580000}"/>
    <cellStyle name="Normal 8 4 3 3 4 2" xfId="35219" xr:uid="{C04DAD2C-B4C2-4297-A7F5-F25656ABB851}"/>
    <cellStyle name="Normal 8 4 3 3 5" xfId="9915" xr:uid="{00000000-0005-0000-0000-00001A580000}"/>
    <cellStyle name="Normal 8 4 3 3 6" xfId="26785" xr:uid="{288C5FC3-BB76-47F2-AC56-AD26A07D2800}"/>
    <cellStyle name="Normal 8 4 3 4" xfId="1803" xr:uid="{00000000-0005-0000-0000-00001B580000}"/>
    <cellStyle name="Normal 8 4 3 4 2" xfId="4033" xr:uid="{00000000-0005-0000-0000-00001C580000}"/>
    <cellStyle name="Normal 8 4 3 4 2 2" xfId="8256" xr:uid="{00000000-0005-0000-0000-00001D580000}"/>
    <cellStyle name="Normal 8 4 3 4 2 2 2" xfId="25126" xr:uid="{00000000-0005-0000-0000-00001E580000}"/>
    <cellStyle name="Normal 8 4 3 4 2 2 2 2" xfId="41994" xr:uid="{5D196C2F-1E32-4AF7-BE21-FEF38ADB891A}"/>
    <cellStyle name="Normal 8 4 3 4 2 2 3" xfId="16691" xr:uid="{00000000-0005-0000-0000-00001F580000}"/>
    <cellStyle name="Normal 8 4 3 4 2 2 4" xfId="33560" xr:uid="{13EFA93E-605D-45AA-AB55-80DE9B08D655}"/>
    <cellStyle name="Normal 8 4 3 4 2 3" xfId="20908" xr:uid="{00000000-0005-0000-0000-000020580000}"/>
    <cellStyle name="Normal 8 4 3 4 2 3 2" xfId="37777" xr:uid="{DA21B76F-4F2E-478B-B583-37144BC3B182}"/>
    <cellStyle name="Normal 8 4 3 4 2 4" xfId="12473" xr:uid="{00000000-0005-0000-0000-000021580000}"/>
    <cellStyle name="Normal 8 4 3 4 2 5" xfId="29343" xr:uid="{4ACBA55C-5467-4A6B-B9D8-F231B90427F5}"/>
    <cellStyle name="Normal 8 4 3 4 3" xfId="6111" xr:uid="{00000000-0005-0000-0000-000022580000}"/>
    <cellStyle name="Normal 8 4 3 4 3 2" xfId="22981" xr:uid="{00000000-0005-0000-0000-000023580000}"/>
    <cellStyle name="Normal 8 4 3 4 3 2 2" xfId="39849" xr:uid="{24A4786B-5C09-4953-A613-14F21ADF3C23}"/>
    <cellStyle name="Normal 8 4 3 4 3 3" xfId="14546" xr:uid="{00000000-0005-0000-0000-000024580000}"/>
    <cellStyle name="Normal 8 4 3 4 3 4" xfId="31415" xr:uid="{F977FAF8-7DDA-4030-8089-1078D71633BC}"/>
    <cellStyle name="Normal 8 4 3 4 4" xfId="18763" xr:uid="{00000000-0005-0000-0000-000025580000}"/>
    <cellStyle name="Normal 8 4 3 4 4 2" xfId="35632" xr:uid="{FFA0E62E-B5C9-48FF-AE3F-6AE8BADD6546}"/>
    <cellStyle name="Normal 8 4 3 4 5" xfId="10328" xr:uid="{00000000-0005-0000-0000-000026580000}"/>
    <cellStyle name="Normal 8 4 3 4 6" xfId="27198" xr:uid="{B41AA014-7A49-4037-9F40-3337C3C48520}"/>
    <cellStyle name="Normal 8 4 3 5" xfId="2217" xr:uid="{00000000-0005-0000-0000-000027580000}"/>
    <cellStyle name="Normal 8 4 3 5 2" xfId="4446" xr:uid="{00000000-0005-0000-0000-000028580000}"/>
    <cellStyle name="Normal 8 4 3 5 2 2" xfId="8669" xr:uid="{00000000-0005-0000-0000-000029580000}"/>
    <cellStyle name="Normal 8 4 3 5 2 2 2" xfId="25539" xr:uid="{00000000-0005-0000-0000-00002A580000}"/>
    <cellStyle name="Normal 8 4 3 5 2 2 2 2" xfId="42407" xr:uid="{91231D6A-9517-4A9D-95E0-7D3EE5F0AD3E}"/>
    <cellStyle name="Normal 8 4 3 5 2 2 3" xfId="17104" xr:uid="{00000000-0005-0000-0000-00002B580000}"/>
    <cellStyle name="Normal 8 4 3 5 2 2 4" xfId="33973" xr:uid="{8B1399EF-0615-4FD1-8ECF-DAA202D5F24A}"/>
    <cellStyle name="Normal 8 4 3 5 2 3" xfId="21321" xr:uid="{00000000-0005-0000-0000-00002C580000}"/>
    <cellStyle name="Normal 8 4 3 5 2 3 2" xfId="38190" xr:uid="{A00BBBF7-1225-4AD1-897D-C89BB37C1F47}"/>
    <cellStyle name="Normal 8 4 3 5 2 4" xfId="12886" xr:uid="{00000000-0005-0000-0000-00002D580000}"/>
    <cellStyle name="Normal 8 4 3 5 2 5" xfId="29756" xr:uid="{B687386E-4D3A-44D5-AF3D-856EA66A9A21}"/>
    <cellStyle name="Normal 8 4 3 5 3" xfId="6524" xr:uid="{00000000-0005-0000-0000-00002E580000}"/>
    <cellStyle name="Normal 8 4 3 5 3 2" xfId="23394" xr:uid="{00000000-0005-0000-0000-00002F580000}"/>
    <cellStyle name="Normal 8 4 3 5 3 2 2" xfId="40262" xr:uid="{48F76143-0627-42F8-BC99-9E44A7CD0C0A}"/>
    <cellStyle name="Normal 8 4 3 5 3 3" xfId="14959" xr:uid="{00000000-0005-0000-0000-000030580000}"/>
    <cellStyle name="Normal 8 4 3 5 3 4" xfId="31828" xr:uid="{C14D6AE6-75B6-4503-B59F-F0D458E58FD5}"/>
    <cellStyle name="Normal 8 4 3 5 4" xfId="19176" xr:uid="{00000000-0005-0000-0000-000031580000}"/>
    <cellStyle name="Normal 8 4 3 5 4 2" xfId="36045" xr:uid="{633D6A08-2F4B-41B8-8C61-110F0E1235E2}"/>
    <cellStyle name="Normal 8 4 3 5 5" xfId="10741" xr:uid="{00000000-0005-0000-0000-000032580000}"/>
    <cellStyle name="Normal 8 4 3 5 6" xfId="27611" xr:uid="{D096DA4E-5FD3-4571-ADD8-A41D2DB17134}"/>
    <cellStyle name="Normal 8 4 3 6" xfId="2653" xr:uid="{00000000-0005-0000-0000-000033580000}"/>
    <cellStyle name="Normal 8 4 3 6 2" xfId="6937" xr:uid="{00000000-0005-0000-0000-000034580000}"/>
    <cellStyle name="Normal 8 4 3 6 2 2" xfId="23807" xr:uid="{00000000-0005-0000-0000-000035580000}"/>
    <cellStyle name="Normal 8 4 3 6 2 2 2" xfId="40675" xr:uid="{14A8F897-51E6-4D79-8C97-4021752AA0D4}"/>
    <cellStyle name="Normal 8 4 3 6 2 3" xfId="15372" xr:uid="{00000000-0005-0000-0000-000036580000}"/>
    <cellStyle name="Normal 8 4 3 6 2 4" xfId="32241" xr:uid="{04D333B0-C72D-4FD6-A367-E8C9264D362E}"/>
    <cellStyle name="Normal 8 4 3 6 3" xfId="19589" xr:uid="{00000000-0005-0000-0000-000037580000}"/>
    <cellStyle name="Normal 8 4 3 6 3 2" xfId="36458" xr:uid="{F18EE126-5A43-44AB-BBE1-57B9A03FC6AF}"/>
    <cellStyle name="Normal 8 4 3 6 4" xfId="11154" xr:uid="{00000000-0005-0000-0000-000038580000}"/>
    <cellStyle name="Normal 8 4 3 6 5" xfId="28024" xr:uid="{6E00BE9C-77FD-45A1-9B03-C9AD9746FAE5}"/>
    <cellStyle name="Normal 8 4 3 7" xfId="4872" xr:uid="{00000000-0005-0000-0000-000039580000}"/>
    <cellStyle name="Normal 8 4 3 7 2" xfId="21742" xr:uid="{00000000-0005-0000-0000-00003A580000}"/>
    <cellStyle name="Normal 8 4 3 7 2 2" xfId="38610" xr:uid="{45BB19E8-8902-4408-AABB-F8A55657E44C}"/>
    <cellStyle name="Normal 8 4 3 7 3" xfId="13307" xr:uid="{00000000-0005-0000-0000-00003B580000}"/>
    <cellStyle name="Normal 8 4 3 7 4" xfId="30176" xr:uid="{807F59E3-A72B-49D1-BEDC-0BEB82B2D7A6}"/>
    <cellStyle name="Normal 8 4 3 8" xfId="17524" xr:uid="{00000000-0005-0000-0000-00003C580000}"/>
    <cellStyle name="Normal 8 4 3 8 2" xfId="34393" xr:uid="{73150C1A-2CC1-448B-9C3C-E8F7C7B06FFD}"/>
    <cellStyle name="Normal 8 4 3 9" xfId="9089" xr:uid="{00000000-0005-0000-0000-00003D580000}"/>
    <cellStyle name="Normal 8 4 4" xfId="970" xr:uid="{00000000-0005-0000-0000-00003E580000}"/>
    <cellStyle name="Normal 8 4 4 2" xfId="3204" xr:uid="{00000000-0005-0000-0000-00003F580000}"/>
    <cellStyle name="Normal 8 4 4 2 2" xfId="7427" xr:uid="{00000000-0005-0000-0000-000040580000}"/>
    <cellStyle name="Normal 8 4 4 2 2 2" xfId="24297" xr:uid="{00000000-0005-0000-0000-000041580000}"/>
    <cellStyle name="Normal 8 4 4 2 2 2 2" xfId="41165" xr:uid="{D9A17B00-B3EB-4D97-B5D0-85EF975B32B9}"/>
    <cellStyle name="Normal 8 4 4 2 2 3" xfId="15862" xr:uid="{00000000-0005-0000-0000-000042580000}"/>
    <cellStyle name="Normal 8 4 4 2 2 4" xfId="32731" xr:uid="{65B884A9-D5DC-4DF4-B5FD-C2B36F67A718}"/>
    <cellStyle name="Normal 8 4 4 2 3" xfId="20079" xr:uid="{00000000-0005-0000-0000-000043580000}"/>
    <cellStyle name="Normal 8 4 4 2 3 2" xfId="36948" xr:uid="{F8FA565E-339B-4FFE-B3EF-063957BFC3A8}"/>
    <cellStyle name="Normal 8 4 4 2 4" xfId="11644" xr:uid="{00000000-0005-0000-0000-000044580000}"/>
    <cellStyle name="Normal 8 4 4 2 5" xfId="28514" xr:uid="{E3CFDF5D-17C9-4811-B788-72282489C821}"/>
    <cellStyle name="Normal 8 4 4 3" xfId="5282" xr:uid="{00000000-0005-0000-0000-000045580000}"/>
    <cellStyle name="Normal 8 4 4 3 2" xfId="22152" xr:uid="{00000000-0005-0000-0000-000046580000}"/>
    <cellStyle name="Normal 8 4 4 3 2 2" xfId="39020" xr:uid="{68F16F57-5A4E-460A-A036-68BCD1C4650E}"/>
    <cellStyle name="Normal 8 4 4 3 3" xfId="13717" xr:uid="{00000000-0005-0000-0000-000047580000}"/>
    <cellStyle name="Normal 8 4 4 3 4" xfId="30586" xr:uid="{92ACB805-8703-41FE-A674-F02BEA113901}"/>
    <cellStyle name="Normal 8 4 4 4" xfId="17934" xr:uid="{00000000-0005-0000-0000-000048580000}"/>
    <cellStyle name="Normal 8 4 4 4 2" xfId="34803" xr:uid="{4F8C4938-6F45-48DF-A59B-D008D6046DA6}"/>
    <cellStyle name="Normal 8 4 4 5" xfId="9499" xr:uid="{00000000-0005-0000-0000-000049580000}"/>
    <cellStyle name="Normal 8 4 4 6" xfId="26369" xr:uid="{473C4A06-B938-407D-B4A9-93FFE9B0A35F}"/>
    <cellStyle name="Normal 8 4 5" xfId="1387" xr:uid="{00000000-0005-0000-0000-00004A580000}"/>
    <cellStyle name="Normal 8 4 5 2" xfId="3617" xr:uid="{00000000-0005-0000-0000-00004B580000}"/>
    <cellStyle name="Normal 8 4 5 2 2" xfId="7840" xr:uid="{00000000-0005-0000-0000-00004C580000}"/>
    <cellStyle name="Normal 8 4 5 2 2 2" xfId="24710" xr:uid="{00000000-0005-0000-0000-00004D580000}"/>
    <cellStyle name="Normal 8 4 5 2 2 2 2" xfId="41578" xr:uid="{3DCBE19E-9736-4B1A-AFB9-48A46C2D9E8F}"/>
    <cellStyle name="Normal 8 4 5 2 2 3" xfId="16275" xr:uid="{00000000-0005-0000-0000-00004E580000}"/>
    <cellStyle name="Normal 8 4 5 2 2 4" xfId="33144" xr:uid="{4C94471A-A1DD-4686-A5B9-84B821426882}"/>
    <cellStyle name="Normal 8 4 5 2 3" xfId="20492" xr:uid="{00000000-0005-0000-0000-00004F580000}"/>
    <cellStyle name="Normal 8 4 5 2 3 2" xfId="37361" xr:uid="{7B9598C4-3E6D-4955-B50B-8BAFB587E86A}"/>
    <cellStyle name="Normal 8 4 5 2 4" xfId="12057" xr:uid="{00000000-0005-0000-0000-000050580000}"/>
    <cellStyle name="Normal 8 4 5 2 5" xfId="28927" xr:uid="{310E552A-904C-4606-B5C7-BF6262BB2969}"/>
    <cellStyle name="Normal 8 4 5 3" xfId="5695" xr:uid="{00000000-0005-0000-0000-000051580000}"/>
    <cellStyle name="Normal 8 4 5 3 2" xfId="22565" xr:uid="{00000000-0005-0000-0000-000052580000}"/>
    <cellStyle name="Normal 8 4 5 3 2 2" xfId="39433" xr:uid="{6747E864-D882-4665-9D64-78B572245736}"/>
    <cellStyle name="Normal 8 4 5 3 3" xfId="14130" xr:uid="{00000000-0005-0000-0000-000053580000}"/>
    <cellStyle name="Normal 8 4 5 3 4" xfId="30999" xr:uid="{FEDB2789-939E-4EFB-9D80-43F798B618B0}"/>
    <cellStyle name="Normal 8 4 5 4" xfId="18347" xr:uid="{00000000-0005-0000-0000-000054580000}"/>
    <cellStyle name="Normal 8 4 5 4 2" xfId="35216" xr:uid="{B4C8A6C1-42D3-410B-8A2A-60AE1826F7D8}"/>
    <cellStyle name="Normal 8 4 5 5" xfId="9912" xr:uid="{00000000-0005-0000-0000-000055580000}"/>
    <cellStyle name="Normal 8 4 5 6" xfId="26782" xr:uid="{1B07D5D5-C0FA-4067-A4B1-1A3D63CD1B20}"/>
    <cellStyle name="Normal 8 4 6" xfId="1800" xr:uid="{00000000-0005-0000-0000-000056580000}"/>
    <cellStyle name="Normal 8 4 6 2" xfId="4030" xr:uid="{00000000-0005-0000-0000-000057580000}"/>
    <cellStyle name="Normal 8 4 6 2 2" xfId="8253" xr:uid="{00000000-0005-0000-0000-000058580000}"/>
    <cellStyle name="Normal 8 4 6 2 2 2" xfId="25123" xr:uid="{00000000-0005-0000-0000-000059580000}"/>
    <cellStyle name="Normal 8 4 6 2 2 2 2" xfId="41991" xr:uid="{17FBEE0D-46EA-4B5F-9ADE-80D6848AC064}"/>
    <cellStyle name="Normal 8 4 6 2 2 3" xfId="16688" xr:uid="{00000000-0005-0000-0000-00005A580000}"/>
    <cellStyle name="Normal 8 4 6 2 2 4" xfId="33557" xr:uid="{CC055218-50C3-46ED-98A8-D1B86DA3F735}"/>
    <cellStyle name="Normal 8 4 6 2 3" xfId="20905" xr:uid="{00000000-0005-0000-0000-00005B580000}"/>
    <cellStyle name="Normal 8 4 6 2 3 2" xfId="37774" xr:uid="{A9E3AF3E-690B-45B7-BC10-1337F21B37F2}"/>
    <cellStyle name="Normal 8 4 6 2 4" xfId="12470" xr:uid="{00000000-0005-0000-0000-00005C580000}"/>
    <cellStyle name="Normal 8 4 6 2 5" xfId="29340" xr:uid="{1B8475B0-1A42-4852-B8B4-4C3C63617941}"/>
    <cellStyle name="Normal 8 4 6 3" xfId="6108" xr:uid="{00000000-0005-0000-0000-00005D580000}"/>
    <cellStyle name="Normal 8 4 6 3 2" xfId="22978" xr:uid="{00000000-0005-0000-0000-00005E580000}"/>
    <cellStyle name="Normal 8 4 6 3 2 2" xfId="39846" xr:uid="{63BFA192-283F-4AC8-AE01-7746F5A6A41A}"/>
    <cellStyle name="Normal 8 4 6 3 3" xfId="14543" xr:uid="{00000000-0005-0000-0000-00005F580000}"/>
    <cellStyle name="Normal 8 4 6 3 4" xfId="31412" xr:uid="{89C4EBC7-B5FF-48F0-A676-0605EBBC7B4E}"/>
    <cellStyle name="Normal 8 4 6 4" xfId="18760" xr:uid="{00000000-0005-0000-0000-000060580000}"/>
    <cellStyle name="Normal 8 4 6 4 2" xfId="35629" xr:uid="{B72FE95D-52AA-47DE-8384-1075432B70A8}"/>
    <cellStyle name="Normal 8 4 6 5" xfId="10325" xr:uid="{00000000-0005-0000-0000-000061580000}"/>
    <cellStyle name="Normal 8 4 6 6" xfId="27195" xr:uid="{62BFDA45-BA0F-4793-AA66-B73B40A99ADB}"/>
    <cellStyle name="Normal 8 4 7" xfId="2214" xr:uid="{00000000-0005-0000-0000-000062580000}"/>
    <cellStyle name="Normal 8 4 7 2" xfId="4443" xr:uid="{00000000-0005-0000-0000-000063580000}"/>
    <cellStyle name="Normal 8 4 7 2 2" xfId="8666" xr:uid="{00000000-0005-0000-0000-000064580000}"/>
    <cellStyle name="Normal 8 4 7 2 2 2" xfId="25536" xr:uid="{00000000-0005-0000-0000-000065580000}"/>
    <cellStyle name="Normal 8 4 7 2 2 2 2" xfId="42404" xr:uid="{F74F7B17-D38A-41DC-858A-874A61720AF9}"/>
    <cellStyle name="Normal 8 4 7 2 2 3" xfId="17101" xr:uid="{00000000-0005-0000-0000-000066580000}"/>
    <cellStyle name="Normal 8 4 7 2 2 4" xfId="33970" xr:uid="{C434A462-2834-45AD-8E18-962E7A8361CF}"/>
    <cellStyle name="Normal 8 4 7 2 3" xfId="21318" xr:uid="{00000000-0005-0000-0000-000067580000}"/>
    <cellStyle name="Normal 8 4 7 2 3 2" xfId="38187" xr:uid="{C8B0A6A8-329A-4CEC-9914-4F794DB3CC1F}"/>
    <cellStyle name="Normal 8 4 7 2 4" xfId="12883" xr:uid="{00000000-0005-0000-0000-000068580000}"/>
    <cellStyle name="Normal 8 4 7 2 5" xfId="29753" xr:uid="{F448D7A8-0382-45CD-8800-93A790152939}"/>
    <cellStyle name="Normal 8 4 7 3" xfId="6521" xr:uid="{00000000-0005-0000-0000-000069580000}"/>
    <cellStyle name="Normal 8 4 7 3 2" xfId="23391" xr:uid="{00000000-0005-0000-0000-00006A580000}"/>
    <cellStyle name="Normal 8 4 7 3 2 2" xfId="40259" xr:uid="{D2E6691D-48DC-4AA5-AAFC-28ECCF79772A}"/>
    <cellStyle name="Normal 8 4 7 3 3" xfId="14956" xr:uid="{00000000-0005-0000-0000-00006B580000}"/>
    <cellStyle name="Normal 8 4 7 3 4" xfId="31825" xr:uid="{218B2C9D-CAF8-4B73-9AE9-02B4F4AB2DC5}"/>
    <cellStyle name="Normal 8 4 7 4" xfId="19173" xr:uid="{00000000-0005-0000-0000-00006C580000}"/>
    <cellStyle name="Normal 8 4 7 4 2" xfId="36042" xr:uid="{90C6DDFD-65E0-4A82-8ED9-AF29B84DA86B}"/>
    <cellStyle name="Normal 8 4 7 5" xfId="10738" xr:uid="{00000000-0005-0000-0000-00006D580000}"/>
    <cellStyle name="Normal 8 4 7 6" xfId="27608" xr:uid="{0CA5BE48-E72B-4F04-B297-25527F2160FE}"/>
    <cellStyle name="Normal 8 4 8" xfId="2650" xr:uid="{00000000-0005-0000-0000-00006E580000}"/>
    <cellStyle name="Normal 8 4 8 2" xfId="6934" xr:uid="{00000000-0005-0000-0000-00006F580000}"/>
    <cellStyle name="Normal 8 4 8 2 2" xfId="23804" xr:uid="{00000000-0005-0000-0000-000070580000}"/>
    <cellStyle name="Normal 8 4 8 2 2 2" xfId="40672" xr:uid="{B6E293B6-5D09-4150-A42E-B5D04FACFCC7}"/>
    <cellStyle name="Normal 8 4 8 2 3" xfId="15369" xr:uid="{00000000-0005-0000-0000-000071580000}"/>
    <cellStyle name="Normal 8 4 8 2 4" xfId="32238" xr:uid="{5486FB7F-F209-4698-854F-A3AF9A76AD88}"/>
    <cellStyle name="Normal 8 4 8 3" xfId="19586" xr:uid="{00000000-0005-0000-0000-000072580000}"/>
    <cellStyle name="Normal 8 4 8 3 2" xfId="36455" xr:uid="{C37424BF-AD34-4A47-98DD-95A15E859F89}"/>
    <cellStyle name="Normal 8 4 8 4" xfId="11151" xr:uid="{00000000-0005-0000-0000-000073580000}"/>
    <cellStyle name="Normal 8 4 8 5" xfId="28021" xr:uid="{32CBC645-77CA-4425-85AC-10F2943A96C2}"/>
    <cellStyle name="Normal 8 4 9" xfId="4869" xr:uid="{00000000-0005-0000-0000-000074580000}"/>
    <cellStyle name="Normal 8 4 9 2" xfId="21739" xr:uid="{00000000-0005-0000-0000-000075580000}"/>
    <cellStyle name="Normal 8 4 9 2 2" xfId="38607" xr:uid="{99AEA9CB-D355-4C4A-A024-EE171DCD8CEB}"/>
    <cellStyle name="Normal 8 4 9 3" xfId="13304" xr:uid="{00000000-0005-0000-0000-000076580000}"/>
    <cellStyle name="Normal 8 4 9 4" xfId="30173" xr:uid="{4B959933-42B8-4EA9-B1C9-DD83466C8E03}"/>
    <cellStyle name="Normal 8 5" xfId="507" xr:uid="{00000000-0005-0000-0000-000077580000}"/>
    <cellStyle name="Normal 8 5 10" xfId="9090" xr:uid="{00000000-0005-0000-0000-000078580000}"/>
    <cellStyle name="Normal 8 5 11" xfId="25960" xr:uid="{B1B83D02-A11A-4E13-86F9-55400BD05679}"/>
    <cellStyle name="Normal 8 5 2" xfId="508" xr:uid="{00000000-0005-0000-0000-000079580000}"/>
    <cellStyle name="Normal 8 5 2 10" xfId="25961" xr:uid="{68EF333B-17C1-42B8-B064-361C6777F8A5}"/>
    <cellStyle name="Normal 8 5 2 2" xfId="975" xr:uid="{00000000-0005-0000-0000-00007A580000}"/>
    <cellStyle name="Normal 8 5 2 2 2" xfId="3209" xr:uid="{00000000-0005-0000-0000-00007B580000}"/>
    <cellStyle name="Normal 8 5 2 2 2 2" xfId="7432" xr:uid="{00000000-0005-0000-0000-00007C580000}"/>
    <cellStyle name="Normal 8 5 2 2 2 2 2" xfId="24302" xr:uid="{00000000-0005-0000-0000-00007D580000}"/>
    <cellStyle name="Normal 8 5 2 2 2 2 2 2" xfId="41170" xr:uid="{03B46D1D-AF9E-4713-BA32-FAF36987FFB2}"/>
    <cellStyle name="Normal 8 5 2 2 2 2 3" xfId="15867" xr:uid="{00000000-0005-0000-0000-00007E580000}"/>
    <cellStyle name="Normal 8 5 2 2 2 2 4" xfId="32736" xr:uid="{FEC6B3FA-8490-4FD6-A558-4040023A7D40}"/>
    <cellStyle name="Normal 8 5 2 2 2 3" xfId="20084" xr:uid="{00000000-0005-0000-0000-00007F580000}"/>
    <cellStyle name="Normal 8 5 2 2 2 3 2" xfId="36953" xr:uid="{DBD78E24-40CD-49EB-BA43-6652FC45FA10}"/>
    <cellStyle name="Normal 8 5 2 2 2 4" xfId="11649" xr:uid="{00000000-0005-0000-0000-000080580000}"/>
    <cellStyle name="Normal 8 5 2 2 2 5" xfId="28519" xr:uid="{5426B0B0-594A-4B0A-8BD9-6EAE71FAF9D2}"/>
    <cellStyle name="Normal 8 5 2 2 3" xfId="5287" xr:uid="{00000000-0005-0000-0000-000081580000}"/>
    <cellStyle name="Normal 8 5 2 2 3 2" xfId="22157" xr:uid="{00000000-0005-0000-0000-000082580000}"/>
    <cellStyle name="Normal 8 5 2 2 3 2 2" xfId="39025" xr:uid="{50988219-4C26-4961-8705-0025B28C42F5}"/>
    <cellStyle name="Normal 8 5 2 2 3 3" xfId="13722" xr:uid="{00000000-0005-0000-0000-000083580000}"/>
    <cellStyle name="Normal 8 5 2 2 3 4" xfId="30591" xr:uid="{75304ABA-FFCC-497B-A859-F15D7D5EDD37}"/>
    <cellStyle name="Normal 8 5 2 2 4" xfId="17939" xr:uid="{00000000-0005-0000-0000-000084580000}"/>
    <cellStyle name="Normal 8 5 2 2 4 2" xfId="34808" xr:uid="{D7AC6011-9F57-4D5F-9D44-6E6DE9E9B235}"/>
    <cellStyle name="Normal 8 5 2 2 5" xfId="9504" xr:uid="{00000000-0005-0000-0000-000085580000}"/>
    <cellStyle name="Normal 8 5 2 2 6" xfId="26374" xr:uid="{583A46A0-E188-43B3-AA78-C3E7979D01F0}"/>
    <cellStyle name="Normal 8 5 2 3" xfId="1392" xr:uid="{00000000-0005-0000-0000-000086580000}"/>
    <cellStyle name="Normal 8 5 2 3 2" xfId="3622" xr:uid="{00000000-0005-0000-0000-000087580000}"/>
    <cellStyle name="Normal 8 5 2 3 2 2" xfId="7845" xr:uid="{00000000-0005-0000-0000-000088580000}"/>
    <cellStyle name="Normal 8 5 2 3 2 2 2" xfId="24715" xr:uid="{00000000-0005-0000-0000-000089580000}"/>
    <cellStyle name="Normal 8 5 2 3 2 2 2 2" xfId="41583" xr:uid="{FCE15CCD-4776-4AFB-BEEE-4E25716C9F4F}"/>
    <cellStyle name="Normal 8 5 2 3 2 2 3" xfId="16280" xr:uid="{00000000-0005-0000-0000-00008A580000}"/>
    <cellStyle name="Normal 8 5 2 3 2 2 4" xfId="33149" xr:uid="{4F63D232-29BF-45B2-8A50-BAF527CD41A0}"/>
    <cellStyle name="Normal 8 5 2 3 2 3" xfId="20497" xr:uid="{00000000-0005-0000-0000-00008B580000}"/>
    <cellStyle name="Normal 8 5 2 3 2 3 2" xfId="37366" xr:uid="{04885F10-CD7E-4D0D-B9A2-90577FB12446}"/>
    <cellStyle name="Normal 8 5 2 3 2 4" xfId="12062" xr:uid="{00000000-0005-0000-0000-00008C580000}"/>
    <cellStyle name="Normal 8 5 2 3 2 5" xfId="28932" xr:uid="{8EA6AE05-89CD-46AE-8B2B-DBC13C1F563A}"/>
    <cellStyle name="Normal 8 5 2 3 3" xfId="5700" xr:uid="{00000000-0005-0000-0000-00008D580000}"/>
    <cellStyle name="Normal 8 5 2 3 3 2" xfId="22570" xr:uid="{00000000-0005-0000-0000-00008E580000}"/>
    <cellStyle name="Normal 8 5 2 3 3 2 2" xfId="39438" xr:uid="{A0B0A9EF-A061-4F6A-B9F7-FAF7258A24CD}"/>
    <cellStyle name="Normal 8 5 2 3 3 3" xfId="14135" xr:uid="{00000000-0005-0000-0000-00008F580000}"/>
    <cellStyle name="Normal 8 5 2 3 3 4" xfId="31004" xr:uid="{9C4CD518-CECC-4102-9B79-5CAE7E4327D3}"/>
    <cellStyle name="Normal 8 5 2 3 4" xfId="18352" xr:uid="{00000000-0005-0000-0000-000090580000}"/>
    <cellStyle name="Normal 8 5 2 3 4 2" xfId="35221" xr:uid="{F95CF564-1738-4A9D-A436-F099575164CE}"/>
    <cellStyle name="Normal 8 5 2 3 5" xfId="9917" xr:uid="{00000000-0005-0000-0000-000091580000}"/>
    <cellStyle name="Normal 8 5 2 3 6" xfId="26787" xr:uid="{BA9F8E7C-F1AB-469D-B9AE-3213CB812310}"/>
    <cellStyle name="Normal 8 5 2 4" xfId="1805" xr:uid="{00000000-0005-0000-0000-000092580000}"/>
    <cellStyle name="Normal 8 5 2 4 2" xfId="4035" xr:uid="{00000000-0005-0000-0000-000093580000}"/>
    <cellStyle name="Normal 8 5 2 4 2 2" xfId="8258" xr:uid="{00000000-0005-0000-0000-000094580000}"/>
    <cellStyle name="Normal 8 5 2 4 2 2 2" xfId="25128" xr:uid="{00000000-0005-0000-0000-000095580000}"/>
    <cellStyle name="Normal 8 5 2 4 2 2 2 2" xfId="41996" xr:uid="{3C7485C1-6549-48E1-B8CC-97F58AC57FEA}"/>
    <cellStyle name="Normal 8 5 2 4 2 2 3" xfId="16693" xr:uid="{00000000-0005-0000-0000-000096580000}"/>
    <cellStyle name="Normal 8 5 2 4 2 2 4" xfId="33562" xr:uid="{0F5BAE1B-60D9-405A-A2E3-EA518F7BAB5D}"/>
    <cellStyle name="Normal 8 5 2 4 2 3" xfId="20910" xr:uid="{00000000-0005-0000-0000-000097580000}"/>
    <cellStyle name="Normal 8 5 2 4 2 3 2" xfId="37779" xr:uid="{56209193-C608-45BD-A034-A1267622E4FE}"/>
    <cellStyle name="Normal 8 5 2 4 2 4" xfId="12475" xr:uid="{00000000-0005-0000-0000-000098580000}"/>
    <cellStyle name="Normal 8 5 2 4 2 5" xfId="29345" xr:uid="{C062B1F8-867D-4875-988D-2505368C53BE}"/>
    <cellStyle name="Normal 8 5 2 4 3" xfId="6113" xr:uid="{00000000-0005-0000-0000-000099580000}"/>
    <cellStyle name="Normal 8 5 2 4 3 2" xfId="22983" xr:uid="{00000000-0005-0000-0000-00009A580000}"/>
    <cellStyle name="Normal 8 5 2 4 3 2 2" xfId="39851" xr:uid="{31324B1A-FC73-4F8C-B7AC-1F57DB88A487}"/>
    <cellStyle name="Normal 8 5 2 4 3 3" xfId="14548" xr:uid="{00000000-0005-0000-0000-00009B580000}"/>
    <cellStyle name="Normal 8 5 2 4 3 4" xfId="31417" xr:uid="{64D471B1-D050-4AF6-BC54-5E7B85A2C49E}"/>
    <cellStyle name="Normal 8 5 2 4 4" xfId="18765" xr:uid="{00000000-0005-0000-0000-00009C580000}"/>
    <cellStyle name="Normal 8 5 2 4 4 2" xfId="35634" xr:uid="{DF49F6D6-938D-40B5-AE8A-8585DAD62762}"/>
    <cellStyle name="Normal 8 5 2 4 5" xfId="10330" xr:uid="{00000000-0005-0000-0000-00009D580000}"/>
    <cellStyle name="Normal 8 5 2 4 6" xfId="27200" xr:uid="{3EDFA151-B2F3-4287-B7DE-F0542B7B635D}"/>
    <cellStyle name="Normal 8 5 2 5" xfId="2219" xr:uid="{00000000-0005-0000-0000-00009E580000}"/>
    <cellStyle name="Normal 8 5 2 5 2" xfId="4448" xr:uid="{00000000-0005-0000-0000-00009F580000}"/>
    <cellStyle name="Normal 8 5 2 5 2 2" xfId="8671" xr:uid="{00000000-0005-0000-0000-0000A0580000}"/>
    <cellStyle name="Normal 8 5 2 5 2 2 2" xfId="25541" xr:uid="{00000000-0005-0000-0000-0000A1580000}"/>
    <cellStyle name="Normal 8 5 2 5 2 2 2 2" xfId="42409" xr:uid="{C7497552-AF72-406B-A33C-AE3813C37681}"/>
    <cellStyle name="Normal 8 5 2 5 2 2 3" xfId="17106" xr:uid="{00000000-0005-0000-0000-0000A2580000}"/>
    <cellStyle name="Normal 8 5 2 5 2 2 4" xfId="33975" xr:uid="{0DA6CFAA-8FA8-400D-9809-E96E0BB867AA}"/>
    <cellStyle name="Normal 8 5 2 5 2 3" xfId="21323" xr:uid="{00000000-0005-0000-0000-0000A3580000}"/>
    <cellStyle name="Normal 8 5 2 5 2 3 2" xfId="38192" xr:uid="{E6554C33-B2D7-4DF0-90A0-6239BAD12850}"/>
    <cellStyle name="Normal 8 5 2 5 2 4" xfId="12888" xr:uid="{00000000-0005-0000-0000-0000A4580000}"/>
    <cellStyle name="Normal 8 5 2 5 2 5" xfId="29758" xr:uid="{3833EC53-83C9-477C-B9E2-91EA2792FB63}"/>
    <cellStyle name="Normal 8 5 2 5 3" xfId="6526" xr:uid="{00000000-0005-0000-0000-0000A5580000}"/>
    <cellStyle name="Normal 8 5 2 5 3 2" xfId="23396" xr:uid="{00000000-0005-0000-0000-0000A6580000}"/>
    <cellStyle name="Normal 8 5 2 5 3 2 2" xfId="40264" xr:uid="{4698A52D-0EDE-4DAD-834A-2873BA4CD192}"/>
    <cellStyle name="Normal 8 5 2 5 3 3" xfId="14961" xr:uid="{00000000-0005-0000-0000-0000A7580000}"/>
    <cellStyle name="Normal 8 5 2 5 3 4" xfId="31830" xr:uid="{8EFDEA17-05AF-4270-BB01-88CA32110FFA}"/>
    <cellStyle name="Normal 8 5 2 5 4" xfId="19178" xr:uid="{00000000-0005-0000-0000-0000A8580000}"/>
    <cellStyle name="Normal 8 5 2 5 4 2" xfId="36047" xr:uid="{9BEDCE14-5AB4-423F-84E1-BD563077219F}"/>
    <cellStyle name="Normal 8 5 2 5 5" xfId="10743" xr:uid="{00000000-0005-0000-0000-0000A9580000}"/>
    <cellStyle name="Normal 8 5 2 5 6" xfId="27613" xr:uid="{38C807FA-1F9E-4F48-A06F-73C1BC012381}"/>
    <cellStyle name="Normal 8 5 2 6" xfId="2655" xr:uid="{00000000-0005-0000-0000-0000AA580000}"/>
    <cellStyle name="Normal 8 5 2 6 2" xfId="6939" xr:uid="{00000000-0005-0000-0000-0000AB580000}"/>
    <cellStyle name="Normal 8 5 2 6 2 2" xfId="23809" xr:uid="{00000000-0005-0000-0000-0000AC580000}"/>
    <cellStyle name="Normal 8 5 2 6 2 2 2" xfId="40677" xr:uid="{91127DA2-A040-488C-8E1A-CDDA6BAC0D22}"/>
    <cellStyle name="Normal 8 5 2 6 2 3" xfId="15374" xr:uid="{00000000-0005-0000-0000-0000AD580000}"/>
    <cellStyle name="Normal 8 5 2 6 2 4" xfId="32243" xr:uid="{7A13C41A-E1D3-46E2-B666-948520205B79}"/>
    <cellStyle name="Normal 8 5 2 6 3" xfId="19591" xr:uid="{00000000-0005-0000-0000-0000AE580000}"/>
    <cellStyle name="Normal 8 5 2 6 3 2" xfId="36460" xr:uid="{2037F2E7-8C26-42E1-9613-2910F2437147}"/>
    <cellStyle name="Normal 8 5 2 6 4" xfId="11156" xr:uid="{00000000-0005-0000-0000-0000AF580000}"/>
    <cellStyle name="Normal 8 5 2 6 5" xfId="28026" xr:uid="{C7BA57BB-7399-4655-98F5-35786C96E609}"/>
    <cellStyle name="Normal 8 5 2 7" xfId="4874" xr:uid="{00000000-0005-0000-0000-0000B0580000}"/>
    <cellStyle name="Normal 8 5 2 7 2" xfId="21744" xr:uid="{00000000-0005-0000-0000-0000B1580000}"/>
    <cellStyle name="Normal 8 5 2 7 2 2" xfId="38612" xr:uid="{B561984F-5C9A-49BD-83E3-B9FFA1F4A65B}"/>
    <cellStyle name="Normal 8 5 2 7 3" xfId="13309" xr:uid="{00000000-0005-0000-0000-0000B2580000}"/>
    <cellStyle name="Normal 8 5 2 7 4" xfId="30178" xr:uid="{C77C39F6-3528-4241-82AA-7812A32BC5BC}"/>
    <cellStyle name="Normal 8 5 2 8" xfId="17526" xr:uid="{00000000-0005-0000-0000-0000B3580000}"/>
    <cellStyle name="Normal 8 5 2 8 2" xfId="34395" xr:uid="{596D6C66-7990-4311-90A8-533FDE52ACEE}"/>
    <cellStyle name="Normal 8 5 2 9" xfId="9091" xr:uid="{00000000-0005-0000-0000-0000B4580000}"/>
    <cellStyle name="Normal 8 5 3" xfId="974" xr:uid="{00000000-0005-0000-0000-0000B5580000}"/>
    <cellStyle name="Normal 8 5 3 2" xfId="3208" xr:uid="{00000000-0005-0000-0000-0000B6580000}"/>
    <cellStyle name="Normal 8 5 3 2 2" xfId="7431" xr:uid="{00000000-0005-0000-0000-0000B7580000}"/>
    <cellStyle name="Normal 8 5 3 2 2 2" xfId="24301" xr:uid="{00000000-0005-0000-0000-0000B8580000}"/>
    <cellStyle name="Normal 8 5 3 2 2 2 2" xfId="41169" xr:uid="{89AB7C3A-A892-44EC-8EBD-A70CB9ABB5DE}"/>
    <cellStyle name="Normal 8 5 3 2 2 3" xfId="15866" xr:uid="{00000000-0005-0000-0000-0000B9580000}"/>
    <cellStyle name="Normal 8 5 3 2 2 4" xfId="32735" xr:uid="{D8541662-5DA8-462F-826A-80C8BC68B420}"/>
    <cellStyle name="Normal 8 5 3 2 3" xfId="20083" xr:uid="{00000000-0005-0000-0000-0000BA580000}"/>
    <cellStyle name="Normal 8 5 3 2 3 2" xfId="36952" xr:uid="{7F2BA849-3C0D-4391-A2C5-F5A50B68E14D}"/>
    <cellStyle name="Normal 8 5 3 2 4" xfId="11648" xr:uid="{00000000-0005-0000-0000-0000BB580000}"/>
    <cellStyle name="Normal 8 5 3 2 5" xfId="28518" xr:uid="{DC960CFB-0AF6-480C-A786-18576E5BE0DD}"/>
    <cellStyle name="Normal 8 5 3 3" xfId="5286" xr:uid="{00000000-0005-0000-0000-0000BC580000}"/>
    <cellStyle name="Normal 8 5 3 3 2" xfId="22156" xr:uid="{00000000-0005-0000-0000-0000BD580000}"/>
    <cellStyle name="Normal 8 5 3 3 2 2" xfId="39024" xr:uid="{4720870E-37C2-4592-8FB6-EFB6D1A38FFE}"/>
    <cellStyle name="Normal 8 5 3 3 3" xfId="13721" xr:uid="{00000000-0005-0000-0000-0000BE580000}"/>
    <cellStyle name="Normal 8 5 3 3 4" xfId="30590" xr:uid="{6149358A-CD73-4E0B-A02F-7966B4F6366C}"/>
    <cellStyle name="Normal 8 5 3 4" xfId="17938" xr:uid="{00000000-0005-0000-0000-0000BF580000}"/>
    <cellStyle name="Normal 8 5 3 4 2" xfId="34807" xr:uid="{6D5F709B-5543-4F33-83F9-B4B1C85386E0}"/>
    <cellStyle name="Normal 8 5 3 5" xfId="9503" xr:uid="{00000000-0005-0000-0000-0000C0580000}"/>
    <cellStyle name="Normal 8 5 3 6" xfId="26373" xr:uid="{6115C21E-7F77-4388-8FDA-B7468823A833}"/>
    <cellStyle name="Normal 8 5 4" xfId="1391" xr:uid="{00000000-0005-0000-0000-0000C1580000}"/>
    <cellStyle name="Normal 8 5 4 2" xfId="3621" xr:uid="{00000000-0005-0000-0000-0000C2580000}"/>
    <cellStyle name="Normal 8 5 4 2 2" xfId="7844" xr:uid="{00000000-0005-0000-0000-0000C3580000}"/>
    <cellStyle name="Normal 8 5 4 2 2 2" xfId="24714" xr:uid="{00000000-0005-0000-0000-0000C4580000}"/>
    <cellStyle name="Normal 8 5 4 2 2 2 2" xfId="41582" xr:uid="{9AE5F1A7-298A-4FF9-AFCB-827A3548AF65}"/>
    <cellStyle name="Normal 8 5 4 2 2 3" xfId="16279" xr:uid="{00000000-0005-0000-0000-0000C5580000}"/>
    <cellStyle name="Normal 8 5 4 2 2 4" xfId="33148" xr:uid="{11BF322C-56DC-4458-A718-3CA526F50E3C}"/>
    <cellStyle name="Normal 8 5 4 2 3" xfId="20496" xr:uid="{00000000-0005-0000-0000-0000C6580000}"/>
    <cellStyle name="Normal 8 5 4 2 3 2" xfId="37365" xr:uid="{2A359571-94F0-4AFE-AA39-169AF0A79838}"/>
    <cellStyle name="Normal 8 5 4 2 4" xfId="12061" xr:uid="{00000000-0005-0000-0000-0000C7580000}"/>
    <cellStyle name="Normal 8 5 4 2 5" xfId="28931" xr:uid="{3714FDD3-D1C5-4DC5-9C19-B035459A7D77}"/>
    <cellStyle name="Normal 8 5 4 3" xfId="5699" xr:uid="{00000000-0005-0000-0000-0000C8580000}"/>
    <cellStyle name="Normal 8 5 4 3 2" xfId="22569" xr:uid="{00000000-0005-0000-0000-0000C9580000}"/>
    <cellStyle name="Normal 8 5 4 3 2 2" xfId="39437" xr:uid="{495B7519-1CFC-4CF9-9BC7-1E2A1EAEF33B}"/>
    <cellStyle name="Normal 8 5 4 3 3" xfId="14134" xr:uid="{00000000-0005-0000-0000-0000CA580000}"/>
    <cellStyle name="Normal 8 5 4 3 4" xfId="31003" xr:uid="{46DD6405-BF47-473E-AD1E-56891A066234}"/>
    <cellStyle name="Normal 8 5 4 4" xfId="18351" xr:uid="{00000000-0005-0000-0000-0000CB580000}"/>
    <cellStyle name="Normal 8 5 4 4 2" xfId="35220" xr:uid="{AF2B21AF-492E-4442-8879-4C0D5626F1F8}"/>
    <cellStyle name="Normal 8 5 4 5" xfId="9916" xr:uid="{00000000-0005-0000-0000-0000CC580000}"/>
    <cellStyle name="Normal 8 5 4 6" xfId="26786" xr:uid="{8DFF5879-6DEA-4046-B351-50F75FBBC338}"/>
    <cellStyle name="Normal 8 5 5" xfId="1804" xr:uid="{00000000-0005-0000-0000-0000CD580000}"/>
    <cellStyle name="Normal 8 5 5 2" xfId="4034" xr:uid="{00000000-0005-0000-0000-0000CE580000}"/>
    <cellStyle name="Normal 8 5 5 2 2" xfId="8257" xr:uid="{00000000-0005-0000-0000-0000CF580000}"/>
    <cellStyle name="Normal 8 5 5 2 2 2" xfId="25127" xr:uid="{00000000-0005-0000-0000-0000D0580000}"/>
    <cellStyle name="Normal 8 5 5 2 2 2 2" xfId="41995" xr:uid="{C9EEC42E-1901-472C-835F-6891DF759DDC}"/>
    <cellStyle name="Normal 8 5 5 2 2 3" xfId="16692" xr:uid="{00000000-0005-0000-0000-0000D1580000}"/>
    <cellStyle name="Normal 8 5 5 2 2 4" xfId="33561" xr:uid="{798A8B17-A754-4337-8302-7F62D9EF3F9C}"/>
    <cellStyle name="Normal 8 5 5 2 3" xfId="20909" xr:uid="{00000000-0005-0000-0000-0000D2580000}"/>
    <cellStyle name="Normal 8 5 5 2 3 2" xfId="37778" xr:uid="{B18ED957-2960-435C-9E9B-94EA9DAE7C15}"/>
    <cellStyle name="Normal 8 5 5 2 4" xfId="12474" xr:uid="{00000000-0005-0000-0000-0000D3580000}"/>
    <cellStyle name="Normal 8 5 5 2 5" xfId="29344" xr:uid="{D301A982-FD2B-4570-8D14-42DBB1517F16}"/>
    <cellStyle name="Normal 8 5 5 3" xfId="6112" xr:uid="{00000000-0005-0000-0000-0000D4580000}"/>
    <cellStyle name="Normal 8 5 5 3 2" xfId="22982" xr:uid="{00000000-0005-0000-0000-0000D5580000}"/>
    <cellStyle name="Normal 8 5 5 3 2 2" xfId="39850" xr:uid="{A230A0F9-616F-475F-A8E1-6E9A0173A034}"/>
    <cellStyle name="Normal 8 5 5 3 3" xfId="14547" xr:uid="{00000000-0005-0000-0000-0000D6580000}"/>
    <cellStyle name="Normal 8 5 5 3 4" xfId="31416" xr:uid="{E73319E0-E9FD-4B41-9BDA-52E417BEFFBD}"/>
    <cellStyle name="Normal 8 5 5 4" xfId="18764" xr:uid="{00000000-0005-0000-0000-0000D7580000}"/>
    <cellStyle name="Normal 8 5 5 4 2" xfId="35633" xr:uid="{9B5904CC-845D-428D-A8ED-84FCDEA3B9DA}"/>
    <cellStyle name="Normal 8 5 5 5" xfId="10329" xr:uid="{00000000-0005-0000-0000-0000D8580000}"/>
    <cellStyle name="Normal 8 5 5 6" xfId="27199" xr:uid="{AE98FC21-FBE5-49BB-ACC4-BA33AA2F2FC5}"/>
    <cellStyle name="Normal 8 5 6" xfId="2218" xr:uid="{00000000-0005-0000-0000-0000D9580000}"/>
    <cellStyle name="Normal 8 5 6 2" xfId="4447" xr:uid="{00000000-0005-0000-0000-0000DA580000}"/>
    <cellStyle name="Normal 8 5 6 2 2" xfId="8670" xr:uid="{00000000-0005-0000-0000-0000DB580000}"/>
    <cellStyle name="Normal 8 5 6 2 2 2" xfId="25540" xr:uid="{00000000-0005-0000-0000-0000DC580000}"/>
    <cellStyle name="Normal 8 5 6 2 2 2 2" xfId="42408" xr:uid="{B790827A-0134-420E-BC32-A74F597BD6E5}"/>
    <cellStyle name="Normal 8 5 6 2 2 3" xfId="17105" xr:uid="{00000000-0005-0000-0000-0000DD580000}"/>
    <cellStyle name="Normal 8 5 6 2 2 4" xfId="33974" xr:uid="{359020B8-5F7D-493D-8BA7-B7C212EA6CE4}"/>
    <cellStyle name="Normal 8 5 6 2 3" xfId="21322" xr:uid="{00000000-0005-0000-0000-0000DE580000}"/>
    <cellStyle name="Normal 8 5 6 2 3 2" xfId="38191" xr:uid="{4DD1A052-0480-4D1F-81A5-FC13F64CB31D}"/>
    <cellStyle name="Normal 8 5 6 2 4" xfId="12887" xr:uid="{00000000-0005-0000-0000-0000DF580000}"/>
    <cellStyle name="Normal 8 5 6 2 5" xfId="29757" xr:uid="{7A78896B-0103-4986-94BB-8BA0DDCB41D2}"/>
    <cellStyle name="Normal 8 5 6 3" xfId="6525" xr:uid="{00000000-0005-0000-0000-0000E0580000}"/>
    <cellStyle name="Normal 8 5 6 3 2" xfId="23395" xr:uid="{00000000-0005-0000-0000-0000E1580000}"/>
    <cellStyle name="Normal 8 5 6 3 2 2" xfId="40263" xr:uid="{F2733224-F915-4400-B314-B9B734F18DF8}"/>
    <cellStyle name="Normal 8 5 6 3 3" xfId="14960" xr:uid="{00000000-0005-0000-0000-0000E2580000}"/>
    <cellStyle name="Normal 8 5 6 3 4" xfId="31829" xr:uid="{894EE224-8FCB-4486-AC7B-4F80AA814BD5}"/>
    <cellStyle name="Normal 8 5 6 4" xfId="19177" xr:uid="{00000000-0005-0000-0000-0000E3580000}"/>
    <cellStyle name="Normal 8 5 6 4 2" xfId="36046" xr:uid="{3A3118A0-4E0A-4761-8905-1272EB2A7F23}"/>
    <cellStyle name="Normal 8 5 6 5" xfId="10742" xr:uid="{00000000-0005-0000-0000-0000E4580000}"/>
    <cellStyle name="Normal 8 5 6 6" xfId="27612" xr:uid="{3B12262F-C069-49CD-B84F-770EF5FD73A1}"/>
    <cellStyle name="Normal 8 5 7" xfId="2654" xr:uid="{00000000-0005-0000-0000-0000E5580000}"/>
    <cellStyle name="Normal 8 5 7 2" xfId="6938" xr:uid="{00000000-0005-0000-0000-0000E6580000}"/>
    <cellStyle name="Normal 8 5 7 2 2" xfId="23808" xr:uid="{00000000-0005-0000-0000-0000E7580000}"/>
    <cellStyle name="Normal 8 5 7 2 2 2" xfId="40676" xr:uid="{4BB97F60-CCCE-4432-B75B-0ED9DC31D234}"/>
    <cellStyle name="Normal 8 5 7 2 3" xfId="15373" xr:uid="{00000000-0005-0000-0000-0000E8580000}"/>
    <cellStyle name="Normal 8 5 7 2 4" xfId="32242" xr:uid="{A4CA6781-0A4F-4760-A042-F873A52815FC}"/>
    <cellStyle name="Normal 8 5 7 3" xfId="19590" xr:uid="{00000000-0005-0000-0000-0000E9580000}"/>
    <cellStyle name="Normal 8 5 7 3 2" xfId="36459" xr:uid="{C9B26034-B309-4716-8CBE-D04B915ACC67}"/>
    <cellStyle name="Normal 8 5 7 4" xfId="11155" xr:uid="{00000000-0005-0000-0000-0000EA580000}"/>
    <cellStyle name="Normal 8 5 7 5" xfId="28025" xr:uid="{DA9E8F94-DA0A-450D-9D9B-022BA1DC1E8B}"/>
    <cellStyle name="Normal 8 5 8" xfId="4873" xr:uid="{00000000-0005-0000-0000-0000EB580000}"/>
    <cellStyle name="Normal 8 5 8 2" xfId="21743" xr:uid="{00000000-0005-0000-0000-0000EC580000}"/>
    <cellStyle name="Normal 8 5 8 2 2" xfId="38611" xr:uid="{16E54E7E-A7F5-47D0-BFE4-E8CBBD0C80E6}"/>
    <cellStyle name="Normal 8 5 8 3" xfId="13308" xr:uid="{00000000-0005-0000-0000-0000ED580000}"/>
    <cellStyle name="Normal 8 5 8 4" xfId="30177" xr:uid="{30739B35-FD68-409A-B50B-FB2A8DB74CF9}"/>
    <cellStyle name="Normal 8 5 9" xfId="17525" xr:uid="{00000000-0005-0000-0000-0000EE580000}"/>
    <cellStyle name="Normal 8 5 9 2" xfId="34394" xr:uid="{93075DDD-C1EB-4C55-B4F2-5468155F0C89}"/>
    <cellStyle name="Normal 8 6" xfId="509" xr:uid="{00000000-0005-0000-0000-0000EF580000}"/>
    <cellStyle name="Normal 8 6 10" xfId="25962" xr:uid="{488132F9-BBA0-40AC-95FB-4A2F909C9CDE}"/>
    <cellStyle name="Normal 8 6 2" xfId="976" xr:uid="{00000000-0005-0000-0000-0000F0580000}"/>
    <cellStyle name="Normal 8 6 2 2" xfId="3210" xr:uid="{00000000-0005-0000-0000-0000F1580000}"/>
    <cellStyle name="Normal 8 6 2 2 2" xfId="7433" xr:uid="{00000000-0005-0000-0000-0000F2580000}"/>
    <cellStyle name="Normal 8 6 2 2 2 2" xfId="24303" xr:uid="{00000000-0005-0000-0000-0000F3580000}"/>
    <cellStyle name="Normal 8 6 2 2 2 2 2" xfId="41171" xr:uid="{14F6BD7B-DD5F-42D7-A6E0-91A598DF98C8}"/>
    <cellStyle name="Normal 8 6 2 2 2 3" xfId="15868" xr:uid="{00000000-0005-0000-0000-0000F4580000}"/>
    <cellStyle name="Normal 8 6 2 2 2 4" xfId="32737" xr:uid="{81EBD295-1A0D-4A8D-AB68-D8036C6300C8}"/>
    <cellStyle name="Normal 8 6 2 2 3" xfId="20085" xr:uid="{00000000-0005-0000-0000-0000F5580000}"/>
    <cellStyle name="Normal 8 6 2 2 3 2" xfId="36954" xr:uid="{D4B8026A-CD4A-43BC-9542-58F043669D2A}"/>
    <cellStyle name="Normal 8 6 2 2 4" xfId="11650" xr:uid="{00000000-0005-0000-0000-0000F6580000}"/>
    <cellStyle name="Normal 8 6 2 2 5" xfId="28520" xr:uid="{A003F48B-9BD7-4ED3-83C8-8FAFEA7EAFA3}"/>
    <cellStyle name="Normal 8 6 2 3" xfId="5288" xr:uid="{00000000-0005-0000-0000-0000F7580000}"/>
    <cellStyle name="Normal 8 6 2 3 2" xfId="22158" xr:uid="{00000000-0005-0000-0000-0000F8580000}"/>
    <cellStyle name="Normal 8 6 2 3 2 2" xfId="39026" xr:uid="{E56FD3F7-55B5-44F4-99C8-692AAD7A1D0C}"/>
    <cellStyle name="Normal 8 6 2 3 3" xfId="13723" xr:uid="{00000000-0005-0000-0000-0000F9580000}"/>
    <cellStyle name="Normal 8 6 2 3 4" xfId="30592" xr:uid="{CD965400-FAD7-49E9-8ACB-A245FA418A13}"/>
    <cellStyle name="Normal 8 6 2 4" xfId="17940" xr:uid="{00000000-0005-0000-0000-0000FA580000}"/>
    <cellStyle name="Normal 8 6 2 4 2" xfId="34809" xr:uid="{5E8363AA-3258-475E-A08A-F6723DBD5327}"/>
    <cellStyle name="Normal 8 6 2 5" xfId="9505" xr:uid="{00000000-0005-0000-0000-0000FB580000}"/>
    <cellStyle name="Normal 8 6 2 6" xfId="26375" xr:uid="{BF2E321C-CA11-4099-8C0A-94E97CBB2AAE}"/>
    <cellStyle name="Normal 8 6 3" xfId="1393" xr:uid="{00000000-0005-0000-0000-0000FC580000}"/>
    <cellStyle name="Normal 8 6 3 2" xfId="3623" xr:uid="{00000000-0005-0000-0000-0000FD580000}"/>
    <cellStyle name="Normal 8 6 3 2 2" xfId="7846" xr:uid="{00000000-0005-0000-0000-0000FE580000}"/>
    <cellStyle name="Normal 8 6 3 2 2 2" xfId="24716" xr:uid="{00000000-0005-0000-0000-0000FF580000}"/>
    <cellStyle name="Normal 8 6 3 2 2 2 2" xfId="41584" xr:uid="{1969C28E-AAF3-4A4D-B223-1DEC585AD21B}"/>
    <cellStyle name="Normal 8 6 3 2 2 3" xfId="16281" xr:uid="{00000000-0005-0000-0000-000000590000}"/>
    <cellStyle name="Normal 8 6 3 2 2 4" xfId="33150" xr:uid="{5263F8BA-FAD3-4E81-A710-67822ABADF86}"/>
    <cellStyle name="Normal 8 6 3 2 3" xfId="20498" xr:uid="{00000000-0005-0000-0000-000001590000}"/>
    <cellStyle name="Normal 8 6 3 2 3 2" xfId="37367" xr:uid="{5F8D29FD-A93F-4214-8DD7-E0AE0B66271C}"/>
    <cellStyle name="Normal 8 6 3 2 4" xfId="12063" xr:uid="{00000000-0005-0000-0000-000002590000}"/>
    <cellStyle name="Normal 8 6 3 2 5" xfId="28933" xr:uid="{31AB2070-0DB2-4239-9645-8CE753C6C705}"/>
    <cellStyle name="Normal 8 6 3 3" xfId="5701" xr:uid="{00000000-0005-0000-0000-000003590000}"/>
    <cellStyle name="Normal 8 6 3 3 2" xfId="22571" xr:uid="{00000000-0005-0000-0000-000004590000}"/>
    <cellStyle name="Normal 8 6 3 3 2 2" xfId="39439" xr:uid="{3EFAE01F-7F18-46F1-B603-19C103DA776B}"/>
    <cellStyle name="Normal 8 6 3 3 3" xfId="14136" xr:uid="{00000000-0005-0000-0000-000005590000}"/>
    <cellStyle name="Normal 8 6 3 3 4" xfId="31005" xr:uid="{506E5F41-CA75-44D6-BD61-3C3C2603E1B6}"/>
    <cellStyle name="Normal 8 6 3 4" xfId="18353" xr:uid="{00000000-0005-0000-0000-000006590000}"/>
    <cellStyle name="Normal 8 6 3 4 2" xfId="35222" xr:uid="{0D71ECF6-810D-4B42-B6B9-0CFD9DB86FD3}"/>
    <cellStyle name="Normal 8 6 3 5" xfId="9918" xr:uid="{00000000-0005-0000-0000-000007590000}"/>
    <cellStyle name="Normal 8 6 3 6" xfId="26788" xr:uid="{E1E7390A-0EEE-4881-99A7-BE5319896F6A}"/>
    <cellStyle name="Normal 8 6 4" xfId="1806" xr:uid="{00000000-0005-0000-0000-000008590000}"/>
    <cellStyle name="Normal 8 6 4 2" xfId="4036" xr:uid="{00000000-0005-0000-0000-000009590000}"/>
    <cellStyle name="Normal 8 6 4 2 2" xfId="8259" xr:uid="{00000000-0005-0000-0000-00000A590000}"/>
    <cellStyle name="Normal 8 6 4 2 2 2" xfId="25129" xr:uid="{00000000-0005-0000-0000-00000B590000}"/>
    <cellStyle name="Normal 8 6 4 2 2 2 2" xfId="41997" xr:uid="{1E548502-8E07-48DA-9FB6-2D7D896DAFF2}"/>
    <cellStyle name="Normal 8 6 4 2 2 3" xfId="16694" xr:uid="{00000000-0005-0000-0000-00000C590000}"/>
    <cellStyle name="Normal 8 6 4 2 2 4" xfId="33563" xr:uid="{C56BD385-AEB0-447E-9923-F51CF3C22405}"/>
    <cellStyle name="Normal 8 6 4 2 3" xfId="20911" xr:uid="{00000000-0005-0000-0000-00000D590000}"/>
    <cellStyle name="Normal 8 6 4 2 3 2" xfId="37780" xr:uid="{ECE30F4E-6BB7-433B-9322-7D3A4EE98A4D}"/>
    <cellStyle name="Normal 8 6 4 2 4" xfId="12476" xr:uid="{00000000-0005-0000-0000-00000E590000}"/>
    <cellStyle name="Normal 8 6 4 2 5" xfId="29346" xr:uid="{0CAF2C34-5DA2-43E6-A84E-A3F316CD0DA4}"/>
    <cellStyle name="Normal 8 6 4 3" xfId="6114" xr:uid="{00000000-0005-0000-0000-00000F590000}"/>
    <cellStyle name="Normal 8 6 4 3 2" xfId="22984" xr:uid="{00000000-0005-0000-0000-000010590000}"/>
    <cellStyle name="Normal 8 6 4 3 2 2" xfId="39852" xr:uid="{B67AC5D2-FE8E-4C62-9F74-1B7D6B06DA05}"/>
    <cellStyle name="Normal 8 6 4 3 3" xfId="14549" xr:uid="{00000000-0005-0000-0000-000011590000}"/>
    <cellStyle name="Normal 8 6 4 3 4" xfId="31418" xr:uid="{A011989A-7B60-4DB8-A13B-03B83D431643}"/>
    <cellStyle name="Normal 8 6 4 4" xfId="18766" xr:uid="{00000000-0005-0000-0000-000012590000}"/>
    <cellStyle name="Normal 8 6 4 4 2" xfId="35635" xr:uid="{A95269B1-881E-4837-A4FB-15170944057A}"/>
    <cellStyle name="Normal 8 6 4 5" xfId="10331" xr:uid="{00000000-0005-0000-0000-000013590000}"/>
    <cellStyle name="Normal 8 6 4 6" xfId="27201" xr:uid="{4F6DE532-E5B2-4C25-82DC-FB33CB78BEA9}"/>
    <cellStyle name="Normal 8 6 5" xfId="2220" xr:uid="{00000000-0005-0000-0000-000014590000}"/>
    <cellStyle name="Normal 8 6 5 2" xfId="4449" xr:uid="{00000000-0005-0000-0000-000015590000}"/>
    <cellStyle name="Normal 8 6 5 2 2" xfId="8672" xr:uid="{00000000-0005-0000-0000-000016590000}"/>
    <cellStyle name="Normal 8 6 5 2 2 2" xfId="25542" xr:uid="{00000000-0005-0000-0000-000017590000}"/>
    <cellStyle name="Normal 8 6 5 2 2 2 2" xfId="42410" xr:uid="{941764A1-3F1B-48A9-9E79-C29DCDAFCFCF}"/>
    <cellStyle name="Normal 8 6 5 2 2 3" xfId="17107" xr:uid="{00000000-0005-0000-0000-000018590000}"/>
    <cellStyle name="Normal 8 6 5 2 2 4" xfId="33976" xr:uid="{B29C6876-AC44-49E2-815E-135386DF4D6C}"/>
    <cellStyle name="Normal 8 6 5 2 3" xfId="21324" xr:uid="{00000000-0005-0000-0000-000019590000}"/>
    <cellStyle name="Normal 8 6 5 2 3 2" xfId="38193" xr:uid="{492F26D4-FDF8-48AE-8EA8-35F712166B22}"/>
    <cellStyle name="Normal 8 6 5 2 4" xfId="12889" xr:uid="{00000000-0005-0000-0000-00001A590000}"/>
    <cellStyle name="Normal 8 6 5 2 5" xfId="29759" xr:uid="{70392E04-8B1F-4E0F-9E58-528373C1045C}"/>
    <cellStyle name="Normal 8 6 5 3" xfId="6527" xr:uid="{00000000-0005-0000-0000-00001B590000}"/>
    <cellStyle name="Normal 8 6 5 3 2" xfId="23397" xr:uid="{00000000-0005-0000-0000-00001C590000}"/>
    <cellStyle name="Normal 8 6 5 3 2 2" xfId="40265" xr:uid="{2D2BA7DF-7836-4B96-92DB-087871AADD6D}"/>
    <cellStyle name="Normal 8 6 5 3 3" xfId="14962" xr:uid="{00000000-0005-0000-0000-00001D590000}"/>
    <cellStyle name="Normal 8 6 5 3 4" xfId="31831" xr:uid="{166975E4-2E42-44AD-AE2C-5C893901EBBF}"/>
    <cellStyle name="Normal 8 6 5 4" xfId="19179" xr:uid="{00000000-0005-0000-0000-00001E590000}"/>
    <cellStyle name="Normal 8 6 5 4 2" xfId="36048" xr:uid="{D6590A96-7544-4969-A119-A4D0A1D491B1}"/>
    <cellStyle name="Normal 8 6 5 5" xfId="10744" xr:uid="{00000000-0005-0000-0000-00001F590000}"/>
    <cellStyle name="Normal 8 6 5 6" xfId="27614" xr:uid="{7920B661-2EC3-474F-862E-4E36E26363F8}"/>
    <cellStyle name="Normal 8 6 6" xfId="2656" xr:uid="{00000000-0005-0000-0000-000020590000}"/>
    <cellStyle name="Normal 8 6 6 2" xfId="6940" xr:uid="{00000000-0005-0000-0000-000021590000}"/>
    <cellStyle name="Normal 8 6 6 2 2" xfId="23810" xr:uid="{00000000-0005-0000-0000-000022590000}"/>
    <cellStyle name="Normal 8 6 6 2 2 2" xfId="40678" xr:uid="{987D537A-7DA5-454E-8B39-DEC74156B227}"/>
    <cellStyle name="Normal 8 6 6 2 3" xfId="15375" xr:uid="{00000000-0005-0000-0000-000023590000}"/>
    <cellStyle name="Normal 8 6 6 2 4" xfId="32244" xr:uid="{A7A1B586-96D8-42C4-A435-39CE93AEEE51}"/>
    <cellStyle name="Normal 8 6 6 3" xfId="19592" xr:uid="{00000000-0005-0000-0000-000024590000}"/>
    <cellStyle name="Normal 8 6 6 3 2" xfId="36461" xr:uid="{6103E4C5-6B26-4D60-8AE3-9F3C089AD079}"/>
    <cellStyle name="Normal 8 6 6 4" xfId="11157" xr:uid="{00000000-0005-0000-0000-000025590000}"/>
    <cellStyle name="Normal 8 6 6 5" xfId="28027" xr:uid="{C59202C4-FB3C-4990-BEBB-9489EDCBEFEE}"/>
    <cellStyle name="Normal 8 6 7" xfId="4875" xr:uid="{00000000-0005-0000-0000-000026590000}"/>
    <cellStyle name="Normal 8 6 7 2" xfId="21745" xr:uid="{00000000-0005-0000-0000-000027590000}"/>
    <cellStyle name="Normal 8 6 7 2 2" xfId="38613" xr:uid="{6CAB825B-1239-4C4C-9D87-5B934F21D147}"/>
    <cellStyle name="Normal 8 6 7 3" xfId="13310" xr:uid="{00000000-0005-0000-0000-000028590000}"/>
    <cellStyle name="Normal 8 6 7 4" xfId="30179" xr:uid="{EE0A866A-7672-481D-8CCC-41CDED0E01E2}"/>
    <cellStyle name="Normal 8 6 8" xfId="17527" xr:uid="{00000000-0005-0000-0000-000029590000}"/>
    <cellStyle name="Normal 8 6 8 2" xfId="34396" xr:uid="{1799A1F9-CD6F-44BF-B319-D218D8E48B60}"/>
    <cellStyle name="Normal 8 6 9" xfId="9092" xr:uid="{00000000-0005-0000-0000-00002A590000}"/>
    <cellStyle name="Normal 8 7" xfId="945" xr:uid="{00000000-0005-0000-0000-00002B590000}"/>
    <cellStyle name="Normal 8 7 2" xfId="3179" xr:uid="{00000000-0005-0000-0000-00002C590000}"/>
    <cellStyle name="Normal 8 7 2 2" xfId="7402" xr:uid="{00000000-0005-0000-0000-00002D590000}"/>
    <cellStyle name="Normal 8 7 2 2 2" xfId="24272" xr:uid="{00000000-0005-0000-0000-00002E590000}"/>
    <cellStyle name="Normal 8 7 2 2 2 2" xfId="41140" xr:uid="{517AD90A-2487-48EB-B21C-11E2912F4037}"/>
    <cellStyle name="Normal 8 7 2 2 3" xfId="15837" xr:uid="{00000000-0005-0000-0000-00002F590000}"/>
    <cellStyle name="Normal 8 7 2 2 4" xfId="32706" xr:uid="{A922363E-D119-4263-9570-8BEF2913D224}"/>
    <cellStyle name="Normal 8 7 2 3" xfId="20054" xr:uid="{00000000-0005-0000-0000-000030590000}"/>
    <cellStyle name="Normal 8 7 2 3 2" xfId="36923" xr:uid="{39D974AE-95B6-4CAB-9B25-71263EC46A4E}"/>
    <cellStyle name="Normal 8 7 2 4" xfId="11619" xr:uid="{00000000-0005-0000-0000-000031590000}"/>
    <cellStyle name="Normal 8 7 2 5" xfId="28489" xr:uid="{AF40C7BC-F64E-464B-A6B6-8207F009FE1B}"/>
    <cellStyle name="Normal 8 7 3" xfId="5257" xr:uid="{00000000-0005-0000-0000-000032590000}"/>
    <cellStyle name="Normal 8 7 3 2" xfId="22127" xr:uid="{00000000-0005-0000-0000-000033590000}"/>
    <cellStyle name="Normal 8 7 3 2 2" xfId="38995" xr:uid="{232FD31B-9CFD-4E2E-8B66-AB595CF3D2CC}"/>
    <cellStyle name="Normal 8 7 3 3" xfId="13692" xr:uid="{00000000-0005-0000-0000-000034590000}"/>
    <cellStyle name="Normal 8 7 3 4" xfId="30561" xr:uid="{C271E752-5AAF-41F8-A814-BD12CE9FC2A1}"/>
    <cellStyle name="Normal 8 7 4" xfId="17909" xr:uid="{00000000-0005-0000-0000-000035590000}"/>
    <cellStyle name="Normal 8 7 4 2" xfId="34778" xr:uid="{40592F45-BA24-49AE-A4FC-F903BE1EF39F}"/>
    <cellStyle name="Normal 8 7 5" xfId="9474" xr:uid="{00000000-0005-0000-0000-000036590000}"/>
    <cellStyle name="Normal 8 7 6" xfId="26344" xr:uid="{C01BEB57-D1A5-4069-9C96-197991E6AFF5}"/>
    <cellStyle name="Normal 8 8" xfId="1362" xr:uid="{00000000-0005-0000-0000-000037590000}"/>
    <cellStyle name="Normal 8 8 2" xfId="3592" xr:uid="{00000000-0005-0000-0000-000038590000}"/>
    <cellStyle name="Normal 8 8 2 2" xfId="7815" xr:uid="{00000000-0005-0000-0000-000039590000}"/>
    <cellStyle name="Normal 8 8 2 2 2" xfId="24685" xr:uid="{00000000-0005-0000-0000-00003A590000}"/>
    <cellStyle name="Normal 8 8 2 2 2 2" xfId="41553" xr:uid="{E11CD5F5-3669-40DE-8AD8-6863D788F98B}"/>
    <cellStyle name="Normal 8 8 2 2 3" xfId="16250" xr:uid="{00000000-0005-0000-0000-00003B590000}"/>
    <cellStyle name="Normal 8 8 2 2 4" xfId="33119" xr:uid="{7A75DD21-29EC-4637-8454-5DA8E5E0B594}"/>
    <cellStyle name="Normal 8 8 2 3" xfId="20467" xr:uid="{00000000-0005-0000-0000-00003C590000}"/>
    <cellStyle name="Normal 8 8 2 3 2" xfId="37336" xr:uid="{EC862731-4AE3-4158-B510-D6053F1262F5}"/>
    <cellStyle name="Normal 8 8 2 4" xfId="12032" xr:uid="{00000000-0005-0000-0000-00003D590000}"/>
    <cellStyle name="Normal 8 8 2 5" xfId="28902" xr:uid="{92FD5F72-D730-4B77-92AC-445F5979CC64}"/>
    <cellStyle name="Normal 8 8 3" xfId="5670" xr:uid="{00000000-0005-0000-0000-00003E590000}"/>
    <cellStyle name="Normal 8 8 3 2" xfId="22540" xr:uid="{00000000-0005-0000-0000-00003F590000}"/>
    <cellStyle name="Normal 8 8 3 2 2" xfId="39408" xr:uid="{DF60D170-6CFD-4244-8461-9EBA20145084}"/>
    <cellStyle name="Normal 8 8 3 3" xfId="14105" xr:uid="{00000000-0005-0000-0000-000040590000}"/>
    <cellStyle name="Normal 8 8 3 4" xfId="30974" xr:uid="{2AC15E5C-0552-4D2B-B1A2-283B6B17FB24}"/>
    <cellStyle name="Normal 8 8 4" xfId="18322" xr:uid="{00000000-0005-0000-0000-000041590000}"/>
    <cellStyle name="Normal 8 8 4 2" xfId="35191" xr:uid="{AC82F614-C136-47ED-B669-67E2593240B8}"/>
    <cellStyle name="Normal 8 8 5" xfId="9887" xr:uid="{00000000-0005-0000-0000-000042590000}"/>
    <cellStyle name="Normal 8 8 6" xfId="26757" xr:uid="{A216C8F1-7DB3-42E5-AABC-7C67EE908D19}"/>
    <cellStyle name="Normal 8 9" xfId="1775" xr:uid="{00000000-0005-0000-0000-000043590000}"/>
    <cellStyle name="Normal 8 9 2" xfId="4005" xr:uid="{00000000-0005-0000-0000-000044590000}"/>
    <cellStyle name="Normal 8 9 2 2" xfId="8228" xr:uid="{00000000-0005-0000-0000-000045590000}"/>
    <cellStyle name="Normal 8 9 2 2 2" xfId="25098" xr:uid="{00000000-0005-0000-0000-000046590000}"/>
    <cellStyle name="Normal 8 9 2 2 2 2" xfId="41966" xr:uid="{9EDA2170-1EF4-4649-9546-8E94F5F1C084}"/>
    <cellStyle name="Normal 8 9 2 2 3" xfId="16663" xr:uid="{00000000-0005-0000-0000-000047590000}"/>
    <cellStyle name="Normal 8 9 2 2 4" xfId="33532" xr:uid="{C09D3B8D-1C34-44A2-8D2B-1D4FA199F062}"/>
    <cellStyle name="Normal 8 9 2 3" xfId="20880" xr:uid="{00000000-0005-0000-0000-000048590000}"/>
    <cellStyle name="Normal 8 9 2 3 2" xfId="37749" xr:uid="{93394708-7D17-4D5E-BBB2-575CD101B6BB}"/>
    <cellStyle name="Normal 8 9 2 4" xfId="12445" xr:uid="{00000000-0005-0000-0000-000049590000}"/>
    <cellStyle name="Normal 8 9 2 5" xfId="29315" xr:uid="{326727EA-080D-49DE-818C-FA632D359104}"/>
    <cellStyle name="Normal 8 9 3" xfId="6083" xr:uid="{00000000-0005-0000-0000-00004A590000}"/>
    <cellStyle name="Normal 8 9 3 2" xfId="22953" xr:uid="{00000000-0005-0000-0000-00004B590000}"/>
    <cellStyle name="Normal 8 9 3 2 2" xfId="39821" xr:uid="{3D9C91EB-7DAA-49CB-B360-F024D28D55DB}"/>
    <cellStyle name="Normal 8 9 3 3" xfId="14518" xr:uid="{00000000-0005-0000-0000-00004C590000}"/>
    <cellStyle name="Normal 8 9 3 4" xfId="31387" xr:uid="{592D735C-E1BA-46E8-8FD2-E633334E022E}"/>
    <cellStyle name="Normal 8 9 4" xfId="18735" xr:uid="{00000000-0005-0000-0000-00004D590000}"/>
    <cellStyle name="Normal 8 9 4 2" xfId="35604" xr:uid="{E25F0CE6-73C2-4A17-9872-00EBBE7D1AA9}"/>
    <cellStyle name="Normal 8 9 5" xfId="10300" xr:uid="{00000000-0005-0000-0000-00004E590000}"/>
    <cellStyle name="Normal 8 9 6" xfId="27170" xr:uid="{05EFC73E-4232-4605-A679-C4BA50BF3793}"/>
    <cellStyle name="Normal 9" xfId="510" xr:uid="{00000000-0005-0000-0000-00004F590000}"/>
    <cellStyle name="Normal 9 2" xfId="511" xr:uid="{00000000-0005-0000-0000-000050590000}"/>
    <cellStyle name="Normal 9 2 10" xfId="2657" xr:uid="{00000000-0005-0000-0000-000051590000}"/>
    <cellStyle name="Normal 9 2 10 2" xfId="6941" xr:uid="{00000000-0005-0000-0000-000052590000}"/>
    <cellStyle name="Normal 9 2 10 2 2" xfId="23811" xr:uid="{00000000-0005-0000-0000-000053590000}"/>
    <cellStyle name="Normal 9 2 10 2 2 2" xfId="40679" xr:uid="{7AAFF05E-BF81-4173-966B-30F37BC0D384}"/>
    <cellStyle name="Normal 9 2 10 2 3" xfId="15376" xr:uid="{00000000-0005-0000-0000-000054590000}"/>
    <cellStyle name="Normal 9 2 10 2 4" xfId="32245" xr:uid="{E6B50BEB-9C32-4B96-95B3-C97F90F4CEC0}"/>
    <cellStyle name="Normal 9 2 10 3" xfId="19593" xr:uid="{00000000-0005-0000-0000-000055590000}"/>
    <cellStyle name="Normal 9 2 10 3 2" xfId="36462" xr:uid="{C63D665D-3C5D-463B-83F8-8EB1DD23FBE0}"/>
    <cellStyle name="Normal 9 2 10 4" xfId="11158" xr:uid="{00000000-0005-0000-0000-000056590000}"/>
    <cellStyle name="Normal 9 2 10 5" xfId="28028" xr:uid="{A7AB6628-96A1-4C4F-9664-6A21EC003FAA}"/>
    <cellStyle name="Normal 9 2 11" xfId="4876" xr:uid="{00000000-0005-0000-0000-000057590000}"/>
    <cellStyle name="Normal 9 2 11 2" xfId="21746" xr:uid="{00000000-0005-0000-0000-000058590000}"/>
    <cellStyle name="Normal 9 2 11 2 2" xfId="38614" xr:uid="{B8E7F992-379E-42D5-8E6A-7F29C24E5675}"/>
    <cellStyle name="Normal 9 2 11 3" xfId="13311" xr:uid="{00000000-0005-0000-0000-000059590000}"/>
    <cellStyle name="Normal 9 2 11 4" xfId="30180" xr:uid="{51E24E68-D9C0-4E4D-B3E8-7A8179F99572}"/>
    <cellStyle name="Normal 9 2 12" xfId="17528" xr:uid="{00000000-0005-0000-0000-00005A590000}"/>
    <cellStyle name="Normal 9 2 12 2" xfId="34397" xr:uid="{10278ED0-C9AD-48F6-9AA7-8A7FC5947911}"/>
    <cellStyle name="Normal 9 2 13" xfId="9093" xr:uid="{00000000-0005-0000-0000-00005B590000}"/>
    <cellStyle name="Normal 9 2 14" xfId="25963" xr:uid="{7A1D4164-CF92-4909-A2BF-E3B0154454D6}"/>
    <cellStyle name="Normal 9 2 2" xfId="512" xr:uid="{00000000-0005-0000-0000-00005C590000}"/>
    <cellStyle name="Normal 9 2 2 10" xfId="4877" xr:uid="{00000000-0005-0000-0000-00005D590000}"/>
    <cellStyle name="Normal 9 2 2 10 2" xfId="21747" xr:uid="{00000000-0005-0000-0000-00005E590000}"/>
    <cellStyle name="Normal 9 2 2 10 2 2" xfId="38615" xr:uid="{014FE459-1828-4C57-98B8-B0F1E0B2D32C}"/>
    <cellStyle name="Normal 9 2 2 10 3" xfId="13312" xr:uid="{00000000-0005-0000-0000-00005F590000}"/>
    <cellStyle name="Normal 9 2 2 10 4" xfId="30181" xr:uid="{51577FE7-E2D1-487B-9899-B1CF06A09318}"/>
    <cellStyle name="Normal 9 2 2 11" xfId="17529" xr:uid="{00000000-0005-0000-0000-000060590000}"/>
    <cellStyle name="Normal 9 2 2 11 2" xfId="34398" xr:uid="{07176E35-9056-4823-BAAB-FE47D6144C92}"/>
    <cellStyle name="Normal 9 2 2 12" xfId="9094" xr:uid="{00000000-0005-0000-0000-000061590000}"/>
    <cellStyle name="Normal 9 2 2 13" xfId="25964" xr:uid="{ACC942D3-C4BD-4B5F-BF66-84097E449EEE}"/>
    <cellStyle name="Normal 9 2 2 2" xfId="513" xr:uid="{00000000-0005-0000-0000-000062590000}"/>
    <cellStyle name="Normal 9 2 2 2 10" xfId="17530" xr:uid="{00000000-0005-0000-0000-000063590000}"/>
    <cellStyle name="Normal 9 2 2 2 10 2" xfId="34399" xr:uid="{EEB3CF1D-E65E-4DEA-9178-48F8F1F1DBEC}"/>
    <cellStyle name="Normal 9 2 2 2 11" xfId="9095" xr:uid="{00000000-0005-0000-0000-000064590000}"/>
    <cellStyle name="Normal 9 2 2 2 12" xfId="25965" xr:uid="{2DADB9F7-665B-4683-933D-D441C5160214}"/>
    <cellStyle name="Normal 9 2 2 2 2" xfId="514" xr:uid="{00000000-0005-0000-0000-000065590000}"/>
    <cellStyle name="Normal 9 2 2 2 2 10" xfId="9096" xr:uid="{00000000-0005-0000-0000-000066590000}"/>
    <cellStyle name="Normal 9 2 2 2 2 11" xfId="25966" xr:uid="{E9C4E3C9-26A8-4BAD-8C55-3AD4F85768B5}"/>
    <cellStyle name="Normal 9 2 2 2 2 2" xfId="515" xr:uid="{00000000-0005-0000-0000-000067590000}"/>
    <cellStyle name="Normal 9 2 2 2 2 2 10" xfId="25967" xr:uid="{9815E673-9F07-48D5-AE2D-7C3CEBBECC16}"/>
    <cellStyle name="Normal 9 2 2 2 2 2 2" xfId="982" xr:uid="{00000000-0005-0000-0000-000068590000}"/>
    <cellStyle name="Normal 9 2 2 2 2 2 2 2" xfId="3215" xr:uid="{00000000-0005-0000-0000-000069590000}"/>
    <cellStyle name="Normal 9 2 2 2 2 2 2 2 2" xfId="7438" xr:uid="{00000000-0005-0000-0000-00006A590000}"/>
    <cellStyle name="Normal 9 2 2 2 2 2 2 2 2 2" xfId="24308" xr:uid="{00000000-0005-0000-0000-00006B590000}"/>
    <cellStyle name="Normal 9 2 2 2 2 2 2 2 2 2 2" xfId="41176" xr:uid="{FD17CFE8-FEB8-4193-A3F3-C30BC7DC4471}"/>
    <cellStyle name="Normal 9 2 2 2 2 2 2 2 2 3" xfId="15873" xr:uid="{00000000-0005-0000-0000-00006C590000}"/>
    <cellStyle name="Normal 9 2 2 2 2 2 2 2 2 4" xfId="32742" xr:uid="{F9707192-BC48-4C92-857E-04E21566D01A}"/>
    <cellStyle name="Normal 9 2 2 2 2 2 2 2 3" xfId="20090" xr:uid="{00000000-0005-0000-0000-00006D590000}"/>
    <cellStyle name="Normal 9 2 2 2 2 2 2 2 3 2" xfId="36959" xr:uid="{3CB29BEC-9BCA-487F-8DF0-D6C28CD5CF3C}"/>
    <cellStyle name="Normal 9 2 2 2 2 2 2 2 4" xfId="11655" xr:uid="{00000000-0005-0000-0000-00006E590000}"/>
    <cellStyle name="Normal 9 2 2 2 2 2 2 2 5" xfId="28525" xr:uid="{18185BFA-6222-4AE0-AB75-990D61B7AAFC}"/>
    <cellStyle name="Normal 9 2 2 2 2 2 2 3" xfId="5293" xr:uid="{00000000-0005-0000-0000-00006F590000}"/>
    <cellStyle name="Normal 9 2 2 2 2 2 2 3 2" xfId="22163" xr:uid="{00000000-0005-0000-0000-000070590000}"/>
    <cellStyle name="Normal 9 2 2 2 2 2 2 3 2 2" xfId="39031" xr:uid="{70DB2BA9-AE73-4A6D-98AA-F30C8CA2C32E}"/>
    <cellStyle name="Normal 9 2 2 2 2 2 2 3 3" xfId="13728" xr:uid="{00000000-0005-0000-0000-000071590000}"/>
    <cellStyle name="Normal 9 2 2 2 2 2 2 3 4" xfId="30597" xr:uid="{2D878A07-0994-4E80-8DD1-97D079822C23}"/>
    <cellStyle name="Normal 9 2 2 2 2 2 2 4" xfId="17945" xr:uid="{00000000-0005-0000-0000-000072590000}"/>
    <cellStyle name="Normal 9 2 2 2 2 2 2 4 2" xfId="34814" xr:uid="{71088B78-BC72-45C6-BB72-CE87D420F0F7}"/>
    <cellStyle name="Normal 9 2 2 2 2 2 2 5" xfId="9510" xr:uid="{00000000-0005-0000-0000-000073590000}"/>
    <cellStyle name="Normal 9 2 2 2 2 2 2 6" xfId="26380" xr:uid="{DFDF83C8-62A9-4A2C-A3CA-C9E93FC10535}"/>
    <cellStyle name="Normal 9 2 2 2 2 2 3" xfId="1398" xr:uid="{00000000-0005-0000-0000-000074590000}"/>
    <cellStyle name="Normal 9 2 2 2 2 2 3 2" xfId="3628" xr:uid="{00000000-0005-0000-0000-000075590000}"/>
    <cellStyle name="Normal 9 2 2 2 2 2 3 2 2" xfId="7851" xr:uid="{00000000-0005-0000-0000-000076590000}"/>
    <cellStyle name="Normal 9 2 2 2 2 2 3 2 2 2" xfId="24721" xr:uid="{00000000-0005-0000-0000-000077590000}"/>
    <cellStyle name="Normal 9 2 2 2 2 2 3 2 2 2 2" xfId="41589" xr:uid="{FEF2661E-8D69-4219-9719-F8049E2AF830}"/>
    <cellStyle name="Normal 9 2 2 2 2 2 3 2 2 3" xfId="16286" xr:uid="{00000000-0005-0000-0000-000078590000}"/>
    <cellStyle name="Normal 9 2 2 2 2 2 3 2 2 4" xfId="33155" xr:uid="{4DB6A560-996D-4638-BD15-1E87BF35B757}"/>
    <cellStyle name="Normal 9 2 2 2 2 2 3 2 3" xfId="20503" xr:uid="{00000000-0005-0000-0000-000079590000}"/>
    <cellStyle name="Normal 9 2 2 2 2 2 3 2 3 2" xfId="37372" xr:uid="{FA829EF3-C7AC-4B1F-BD20-E1C33D0E6718}"/>
    <cellStyle name="Normal 9 2 2 2 2 2 3 2 4" xfId="12068" xr:uid="{00000000-0005-0000-0000-00007A590000}"/>
    <cellStyle name="Normal 9 2 2 2 2 2 3 2 5" xfId="28938" xr:uid="{AA3EECED-36E9-4446-B608-7CF26555BA8B}"/>
    <cellStyle name="Normal 9 2 2 2 2 2 3 3" xfId="5706" xr:uid="{00000000-0005-0000-0000-00007B590000}"/>
    <cellStyle name="Normal 9 2 2 2 2 2 3 3 2" xfId="22576" xr:uid="{00000000-0005-0000-0000-00007C590000}"/>
    <cellStyle name="Normal 9 2 2 2 2 2 3 3 2 2" xfId="39444" xr:uid="{12E6578B-A081-4C55-8553-9615B5A3837E}"/>
    <cellStyle name="Normal 9 2 2 2 2 2 3 3 3" xfId="14141" xr:uid="{00000000-0005-0000-0000-00007D590000}"/>
    <cellStyle name="Normal 9 2 2 2 2 2 3 3 4" xfId="31010" xr:uid="{4D2D218F-8FBC-46A7-A594-FD71B4669489}"/>
    <cellStyle name="Normal 9 2 2 2 2 2 3 4" xfId="18358" xr:uid="{00000000-0005-0000-0000-00007E590000}"/>
    <cellStyle name="Normal 9 2 2 2 2 2 3 4 2" xfId="35227" xr:uid="{D3EDE7DD-94F4-4ED5-A0F8-A97A077A89A6}"/>
    <cellStyle name="Normal 9 2 2 2 2 2 3 5" xfId="9923" xr:uid="{00000000-0005-0000-0000-00007F590000}"/>
    <cellStyle name="Normal 9 2 2 2 2 2 3 6" xfId="26793" xr:uid="{1691856D-A5AC-47EF-96E8-734C182EBF95}"/>
    <cellStyle name="Normal 9 2 2 2 2 2 4" xfId="1811" xr:uid="{00000000-0005-0000-0000-000080590000}"/>
    <cellStyle name="Normal 9 2 2 2 2 2 4 2" xfId="4041" xr:uid="{00000000-0005-0000-0000-000081590000}"/>
    <cellStyle name="Normal 9 2 2 2 2 2 4 2 2" xfId="8264" xr:uid="{00000000-0005-0000-0000-000082590000}"/>
    <cellStyle name="Normal 9 2 2 2 2 2 4 2 2 2" xfId="25134" xr:uid="{00000000-0005-0000-0000-000083590000}"/>
    <cellStyle name="Normal 9 2 2 2 2 2 4 2 2 2 2" xfId="42002" xr:uid="{EDB78507-5127-46F1-960E-1A808915445C}"/>
    <cellStyle name="Normal 9 2 2 2 2 2 4 2 2 3" xfId="16699" xr:uid="{00000000-0005-0000-0000-000084590000}"/>
    <cellStyle name="Normal 9 2 2 2 2 2 4 2 2 4" xfId="33568" xr:uid="{1C731E96-C506-4216-8A7F-47C12E2EDC9F}"/>
    <cellStyle name="Normal 9 2 2 2 2 2 4 2 3" xfId="20916" xr:uid="{00000000-0005-0000-0000-000085590000}"/>
    <cellStyle name="Normal 9 2 2 2 2 2 4 2 3 2" xfId="37785" xr:uid="{C9D9EE5C-B9D7-4E32-8484-89FC34E73DFB}"/>
    <cellStyle name="Normal 9 2 2 2 2 2 4 2 4" xfId="12481" xr:uid="{00000000-0005-0000-0000-000086590000}"/>
    <cellStyle name="Normal 9 2 2 2 2 2 4 2 5" xfId="29351" xr:uid="{26A11FF6-933E-4D51-B63F-EC9467FDFB30}"/>
    <cellStyle name="Normal 9 2 2 2 2 2 4 3" xfId="6119" xr:uid="{00000000-0005-0000-0000-000087590000}"/>
    <cellStyle name="Normal 9 2 2 2 2 2 4 3 2" xfId="22989" xr:uid="{00000000-0005-0000-0000-000088590000}"/>
    <cellStyle name="Normal 9 2 2 2 2 2 4 3 2 2" xfId="39857" xr:uid="{E818AE83-C522-495E-9157-8FBD7A32EAB3}"/>
    <cellStyle name="Normal 9 2 2 2 2 2 4 3 3" xfId="14554" xr:uid="{00000000-0005-0000-0000-000089590000}"/>
    <cellStyle name="Normal 9 2 2 2 2 2 4 3 4" xfId="31423" xr:uid="{922D0F18-7C2E-4C3D-9180-84F5F661CDB2}"/>
    <cellStyle name="Normal 9 2 2 2 2 2 4 4" xfId="18771" xr:uid="{00000000-0005-0000-0000-00008A590000}"/>
    <cellStyle name="Normal 9 2 2 2 2 2 4 4 2" xfId="35640" xr:uid="{0FC098DC-9DA8-436D-88ED-CD265B1C0C50}"/>
    <cellStyle name="Normal 9 2 2 2 2 2 4 5" xfId="10336" xr:uid="{00000000-0005-0000-0000-00008B590000}"/>
    <cellStyle name="Normal 9 2 2 2 2 2 4 6" xfId="27206" xr:uid="{A2531E4D-CBDA-40B1-97B5-4473E06855E2}"/>
    <cellStyle name="Normal 9 2 2 2 2 2 5" xfId="2225" xr:uid="{00000000-0005-0000-0000-00008C590000}"/>
    <cellStyle name="Normal 9 2 2 2 2 2 5 2" xfId="4454" xr:uid="{00000000-0005-0000-0000-00008D590000}"/>
    <cellStyle name="Normal 9 2 2 2 2 2 5 2 2" xfId="8677" xr:uid="{00000000-0005-0000-0000-00008E590000}"/>
    <cellStyle name="Normal 9 2 2 2 2 2 5 2 2 2" xfId="25547" xr:uid="{00000000-0005-0000-0000-00008F590000}"/>
    <cellStyle name="Normal 9 2 2 2 2 2 5 2 2 2 2" xfId="42415" xr:uid="{786F17C9-1766-415E-BBDC-8447F30AF6AD}"/>
    <cellStyle name="Normal 9 2 2 2 2 2 5 2 2 3" xfId="17112" xr:uid="{00000000-0005-0000-0000-000090590000}"/>
    <cellStyle name="Normal 9 2 2 2 2 2 5 2 2 4" xfId="33981" xr:uid="{A8848B66-9845-4BDD-B77A-72B999D3FF8D}"/>
    <cellStyle name="Normal 9 2 2 2 2 2 5 2 3" xfId="21329" xr:uid="{00000000-0005-0000-0000-000091590000}"/>
    <cellStyle name="Normal 9 2 2 2 2 2 5 2 3 2" xfId="38198" xr:uid="{CD69EDF5-932E-4FC8-9B24-DD591B88CBBC}"/>
    <cellStyle name="Normal 9 2 2 2 2 2 5 2 4" xfId="12894" xr:uid="{00000000-0005-0000-0000-000092590000}"/>
    <cellStyle name="Normal 9 2 2 2 2 2 5 2 5" xfId="29764" xr:uid="{46EF6CDC-5F5C-444B-81A0-7CE0A199E592}"/>
    <cellStyle name="Normal 9 2 2 2 2 2 5 3" xfId="6532" xr:uid="{00000000-0005-0000-0000-000093590000}"/>
    <cellStyle name="Normal 9 2 2 2 2 2 5 3 2" xfId="23402" xr:uid="{00000000-0005-0000-0000-000094590000}"/>
    <cellStyle name="Normal 9 2 2 2 2 2 5 3 2 2" xfId="40270" xr:uid="{73C13BFF-C0A8-4E79-BFE6-FECC212E54E6}"/>
    <cellStyle name="Normal 9 2 2 2 2 2 5 3 3" xfId="14967" xr:uid="{00000000-0005-0000-0000-000095590000}"/>
    <cellStyle name="Normal 9 2 2 2 2 2 5 3 4" xfId="31836" xr:uid="{F1D60536-7ADF-4030-B6A6-6FE4B62D0A16}"/>
    <cellStyle name="Normal 9 2 2 2 2 2 5 4" xfId="19184" xr:uid="{00000000-0005-0000-0000-000096590000}"/>
    <cellStyle name="Normal 9 2 2 2 2 2 5 4 2" xfId="36053" xr:uid="{FA3A9607-585F-4083-8210-C6BEB9066831}"/>
    <cellStyle name="Normal 9 2 2 2 2 2 5 5" xfId="10749" xr:uid="{00000000-0005-0000-0000-000097590000}"/>
    <cellStyle name="Normal 9 2 2 2 2 2 5 6" xfId="27619" xr:uid="{F9164D2E-B846-4FFA-B5FF-6C17E419242F}"/>
    <cellStyle name="Normal 9 2 2 2 2 2 6" xfId="2661" xr:uid="{00000000-0005-0000-0000-000098590000}"/>
    <cellStyle name="Normal 9 2 2 2 2 2 6 2" xfId="6945" xr:uid="{00000000-0005-0000-0000-000099590000}"/>
    <cellStyle name="Normal 9 2 2 2 2 2 6 2 2" xfId="23815" xr:uid="{00000000-0005-0000-0000-00009A590000}"/>
    <cellStyle name="Normal 9 2 2 2 2 2 6 2 2 2" xfId="40683" xr:uid="{3265C999-C46C-4537-B939-0ECE2DDC078B}"/>
    <cellStyle name="Normal 9 2 2 2 2 2 6 2 3" xfId="15380" xr:uid="{00000000-0005-0000-0000-00009B590000}"/>
    <cellStyle name="Normal 9 2 2 2 2 2 6 2 4" xfId="32249" xr:uid="{0CD0D43E-30C2-412A-9935-6D0BB5D849F4}"/>
    <cellStyle name="Normal 9 2 2 2 2 2 6 3" xfId="19597" xr:uid="{00000000-0005-0000-0000-00009C590000}"/>
    <cellStyle name="Normal 9 2 2 2 2 2 6 3 2" xfId="36466" xr:uid="{96B3EF18-F8B1-4B8D-8E8F-D8A9342F6D0F}"/>
    <cellStyle name="Normal 9 2 2 2 2 2 6 4" xfId="11162" xr:uid="{00000000-0005-0000-0000-00009D590000}"/>
    <cellStyle name="Normal 9 2 2 2 2 2 6 5" xfId="28032" xr:uid="{8CCC4639-A51E-472D-867B-A89D17712D90}"/>
    <cellStyle name="Normal 9 2 2 2 2 2 7" xfId="4880" xr:uid="{00000000-0005-0000-0000-00009E590000}"/>
    <cellStyle name="Normal 9 2 2 2 2 2 7 2" xfId="21750" xr:uid="{00000000-0005-0000-0000-00009F590000}"/>
    <cellStyle name="Normal 9 2 2 2 2 2 7 2 2" xfId="38618" xr:uid="{42CDEF02-271C-4236-AADF-1B3636FFDD4C}"/>
    <cellStyle name="Normal 9 2 2 2 2 2 7 3" xfId="13315" xr:uid="{00000000-0005-0000-0000-0000A0590000}"/>
    <cellStyle name="Normal 9 2 2 2 2 2 7 4" xfId="30184" xr:uid="{1A0C1FDB-FC6E-46CC-B1A3-FE46DBE68FFF}"/>
    <cellStyle name="Normal 9 2 2 2 2 2 8" xfId="17532" xr:uid="{00000000-0005-0000-0000-0000A1590000}"/>
    <cellStyle name="Normal 9 2 2 2 2 2 8 2" xfId="34401" xr:uid="{1BE7C8B8-CC84-43A2-A53C-D77421543ADD}"/>
    <cellStyle name="Normal 9 2 2 2 2 2 9" xfId="9097" xr:uid="{00000000-0005-0000-0000-0000A2590000}"/>
    <cellStyle name="Normal 9 2 2 2 2 3" xfId="981" xr:uid="{00000000-0005-0000-0000-0000A3590000}"/>
    <cellStyle name="Normal 9 2 2 2 2 3 2" xfId="3214" xr:uid="{00000000-0005-0000-0000-0000A4590000}"/>
    <cellStyle name="Normal 9 2 2 2 2 3 2 2" xfId="7437" xr:uid="{00000000-0005-0000-0000-0000A5590000}"/>
    <cellStyle name="Normal 9 2 2 2 2 3 2 2 2" xfId="24307" xr:uid="{00000000-0005-0000-0000-0000A6590000}"/>
    <cellStyle name="Normal 9 2 2 2 2 3 2 2 2 2" xfId="41175" xr:uid="{41615721-6C15-474B-A843-7666C0A0476F}"/>
    <cellStyle name="Normal 9 2 2 2 2 3 2 2 3" xfId="15872" xr:uid="{00000000-0005-0000-0000-0000A7590000}"/>
    <cellStyle name="Normal 9 2 2 2 2 3 2 2 4" xfId="32741" xr:uid="{D3D5034F-1DA4-431B-BE68-187B56394D47}"/>
    <cellStyle name="Normal 9 2 2 2 2 3 2 3" xfId="20089" xr:uid="{00000000-0005-0000-0000-0000A8590000}"/>
    <cellStyle name="Normal 9 2 2 2 2 3 2 3 2" xfId="36958" xr:uid="{66E2BE9D-CBCA-4B3B-9ED7-138DF5BE0C62}"/>
    <cellStyle name="Normal 9 2 2 2 2 3 2 4" xfId="11654" xr:uid="{00000000-0005-0000-0000-0000A9590000}"/>
    <cellStyle name="Normal 9 2 2 2 2 3 2 5" xfId="28524" xr:uid="{ED867E58-C3E2-4BEB-9A61-E87C8BA8C27D}"/>
    <cellStyle name="Normal 9 2 2 2 2 3 3" xfId="5292" xr:uid="{00000000-0005-0000-0000-0000AA590000}"/>
    <cellStyle name="Normal 9 2 2 2 2 3 3 2" xfId="22162" xr:uid="{00000000-0005-0000-0000-0000AB590000}"/>
    <cellStyle name="Normal 9 2 2 2 2 3 3 2 2" xfId="39030" xr:uid="{56CC0968-ADDE-4B60-BC1C-9ABD9F63A0D5}"/>
    <cellStyle name="Normal 9 2 2 2 2 3 3 3" xfId="13727" xr:uid="{00000000-0005-0000-0000-0000AC590000}"/>
    <cellStyle name="Normal 9 2 2 2 2 3 3 4" xfId="30596" xr:uid="{3CB6B17E-794D-4AE6-AC0D-3404C3A5A966}"/>
    <cellStyle name="Normal 9 2 2 2 2 3 4" xfId="17944" xr:uid="{00000000-0005-0000-0000-0000AD590000}"/>
    <cellStyle name="Normal 9 2 2 2 2 3 4 2" xfId="34813" xr:uid="{E885D77E-C686-42FC-B20F-5D0EB3831CF4}"/>
    <cellStyle name="Normal 9 2 2 2 2 3 5" xfId="9509" xr:uid="{00000000-0005-0000-0000-0000AE590000}"/>
    <cellStyle name="Normal 9 2 2 2 2 3 6" xfId="26379" xr:uid="{93CFAFBA-D507-4DA3-A14A-A28E3703D0A6}"/>
    <cellStyle name="Normal 9 2 2 2 2 4" xfId="1397" xr:uid="{00000000-0005-0000-0000-0000AF590000}"/>
    <cellStyle name="Normal 9 2 2 2 2 4 2" xfId="3627" xr:uid="{00000000-0005-0000-0000-0000B0590000}"/>
    <cellStyle name="Normal 9 2 2 2 2 4 2 2" xfId="7850" xr:uid="{00000000-0005-0000-0000-0000B1590000}"/>
    <cellStyle name="Normal 9 2 2 2 2 4 2 2 2" xfId="24720" xr:uid="{00000000-0005-0000-0000-0000B2590000}"/>
    <cellStyle name="Normal 9 2 2 2 2 4 2 2 2 2" xfId="41588" xr:uid="{B9BADA94-3D0D-4CE2-ADAB-D04493F4A8BD}"/>
    <cellStyle name="Normal 9 2 2 2 2 4 2 2 3" xfId="16285" xr:uid="{00000000-0005-0000-0000-0000B3590000}"/>
    <cellStyle name="Normal 9 2 2 2 2 4 2 2 4" xfId="33154" xr:uid="{C004B3E3-DB64-4FE7-AB24-D07D265241C0}"/>
    <cellStyle name="Normal 9 2 2 2 2 4 2 3" xfId="20502" xr:uid="{00000000-0005-0000-0000-0000B4590000}"/>
    <cellStyle name="Normal 9 2 2 2 2 4 2 3 2" xfId="37371" xr:uid="{4912E67F-71D7-4507-9031-2B442CAD5A80}"/>
    <cellStyle name="Normal 9 2 2 2 2 4 2 4" xfId="12067" xr:uid="{00000000-0005-0000-0000-0000B5590000}"/>
    <cellStyle name="Normal 9 2 2 2 2 4 2 5" xfId="28937" xr:uid="{98FC7A43-ADE6-4E98-B0D7-F414CBB81DBE}"/>
    <cellStyle name="Normal 9 2 2 2 2 4 3" xfId="5705" xr:uid="{00000000-0005-0000-0000-0000B6590000}"/>
    <cellStyle name="Normal 9 2 2 2 2 4 3 2" xfId="22575" xr:uid="{00000000-0005-0000-0000-0000B7590000}"/>
    <cellStyle name="Normal 9 2 2 2 2 4 3 2 2" xfId="39443" xr:uid="{06E3B679-A6E5-488A-BDA0-525842EF5168}"/>
    <cellStyle name="Normal 9 2 2 2 2 4 3 3" xfId="14140" xr:uid="{00000000-0005-0000-0000-0000B8590000}"/>
    <cellStyle name="Normal 9 2 2 2 2 4 3 4" xfId="31009" xr:uid="{3A9013C9-9B97-4B45-9659-8F03620CB25C}"/>
    <cellStyle name="Normal 9 2 2 2 2 4 4" xfId="18357" xr:uid="{00000000-0005-0000-0000-0000B9590000}"/>
    <cellStyle name="Normal 9 2 2 2 2 4 4 2" xfId="35226" xr:uid="{DF53650E-3B47-4123-BB4F-28A16EF38DEC}"/>
    <cellStyle name="Normal 9 2 2 2 2 4 5" xfId="9922" xr:uid="{00000000-0005-0000-0000-0000BA590000}"/>
    <cellStyle name="Normal 9 2 2 2 2 4 6" xfId="26792" xr:uid="{9AD0F7C9-B19E-444A-966E-A6E7A13D21EA}"/>
    <cellStyle name="Normal 9 2 2 2 2 5" xfId="1810" xr:uid="{00000000-0005-0000-0000-0000BB590000}"/>
    <cellStyle name="Normal 9 2 2 2 2 5 2" xfId="4040" xr:uid="{00000000-0005-0000-0000-0000BC590000}"/>
    <cellStyle name="Normal 9 2 2 2 2 5 2 2" xfId="8263" xr:uid="{00000000-0005-0000-0000-0000BD590000}"/>
    <cellStyle name="Normal 9 2 2 2 2 5 2 2 2" xfId="25133" xr:uid="{00000000-0005-0000-0000-0000BE590000}"/>
    <cellStyle name="Normal 9 2 2 2 2 5 2 2 2 2" xfId="42001" xr:uid="{86FC6D27-9BBA-4B8A-B0FE-6847C9C6AB49}"/>
    <cellStyle name="Normal 9 2 2 2 2 5 2 2 3" xfId="16698" xr:uid="{00000000-0005-0000-0000-0000BF590000}"/>
    <cellStyle name="Normal 9 2 2 2 2 5 2 2 4" xfId="33567" xr:uid="{3E267C9B-EB45-49ED-88B9-17E16D328404}"/>
    <cellStyle name="Normal 9 2 2 2 2 5 2 3" xfId="20915" xr:uid="{00000000-0005-0000-0000-0000C0590000}"/>
    <cellStyle name="Normal 9 2 2 2 2 5 2 3 2" xfId="37784" xr:uid="{697646D2-6DBD-4D69-85D7-2969E0707B9E}"/>
    <cellStyle name="Normal 9 2 2 2 2 5 2 4" xfId="12480" xr:uid="{00000000-0005-0000-0000-0000C1590000}"/>
    <cellStyle name="Normal 9 2 2 2 2 5 2 5" xfId="29350" xr:uid="{A41F7723-E403-4610-94EF-9BE48B2EC7A5}"/>
    <cellStyle name="Normal 9 2 2 2 2 5 3" xfId="6118" xr:uid="{00000000-0005-0000-0000-0000C2590000}"/>
    <cellStyle name="Normal 9 2 2 2 2 5 3 2" xfId="22988" xr:uid="{00000000-0005-0000-0000-0000C3590000}"/>
    <cellStyle name="Normal 9 2 2 2 2 5 3 2 2" xfId="39856" xr:uid="{FFB9C0CE-4A66-4166-9F4F-F14C4C247AD1}"/>
    <cellStyle name="Normal 9 2 2 2 2 5 3 3" xfId="14553" xr:uid="{00000000-0005-0000-0000-0000C4590000}"/>
    <cellStyle name="Normal 9 2 2 2 2 5 3 4" xfId="31422" xr:uid="{FCFE801D-BBAA-4698-9837-66079365AD0F}"/>
    <cellStyle name="Normal 9 2 2 2 2 5 4" xfId="18770" xr:uid="{00000000-0005-0000-0000-0000C5590000}"/>
    <cellStyle name="Normal 9 2 2 2 2 5 4 2" xfId="35639" xr:uid="{9ADE5537-45EF-4AF3-A552-BF1E7A82BEB8}"/>
    <cellStyle name="Normal 9 2 2 2 2 5 5" xfId="10335" xr:uid="{00000000-0005-0000-0000-0000C6590000}"/>
    <cellStyle name="Normal 9 2 2 2 2 5 6" xfId="27205" xr:uid="{F2078E5F-4A99-4CD1-86C5-A7CC501B7C73}"/>
    <cellStyle name="Normal 9 2 2 2 2 6" xfId="2224" xr:uid="{00000000-0005-0000-0000-0000C7590000}"/>
    <cellStyle name="Normal 9 2 2 2 2 6 2" xfId="4453" xr:uid="{00000000-0005-0000-0000-0000C8590000}"/>
    <cellStyle name="Normal 9 2 2 2 2 6 2 2" xfId="8676" xr:uid="{00000000-0005-0000-0000-0000C9590000}"/>
    <cellStyle name="Normal 9 2 2 2 2 6 2 2 2" xfId="25546" xr:uid="{00000000-0005-0000-0000-0000CA590000}"/>
    <cellStyle name="Normal 9 2 2 2 2 6 2 2 2 2" xfId="42414" xr:uid="{4F2E8D6C-F97A-492A-B6F1-A04434486781}"/>
    <cellStyle name="Normal 9 2 2 2 2 6 2 2 3" xfId="17111" xr:uid="{00000000-0005-0000-0000-0000CB590000}"/>
    <cellStyle name="Normal 9 2 2 2 2 6 2 2 4" xfId="33980" xr:uid="{097A8972-61F3-4C3E-BE04-E2D4A7267769}"/>
    <cellStyle name="Normal 9 2 2 2 2 6 2 3" xfId="21328" xr:uid="{00000000-0005-0000-0000-0000CC590000}"/>
    <cellStyle name="Normal 9 2 2 2 2 6 2 3 2" xfId="38197" xr:uid="{6DCEF61E-776D-4AEE-A0F8-03F21D9BBBB2}"/>
    <cellStyle name="Normal 9 2 2 2 2 6 2 4" xfId="12893" xr:uid="{00000000-0005-0000-0000-0000CD590000}"/>
    <cellStyle name="Normal 9 2 2 2 2 6 2 5" xfId="29763" xr:uid="{439C4DC9-C5FE-4E09-A844-0AF3E0A6095E}"/>
    <cellStyle name="Normal 9 2 2 2 2 6 3" xfId="6531" xr:uid="{00000000-0005-0000-0000-0000CE590000}"/>
    <cellStyle name="Normal 9 2 2 2 2 6 3 2" xfId="23401" xr:uid="{00000000-0005-0000-0000-0000CF590000}"/>
    <cellStyle name="Normal 9 2 2 2 2 6 3 2 2" xfId="40269" xr:uid="{F939AA04-DBE0-40BD-9665-82FD202ECB87}"/>
    <cellStyle name="Normal 9 2 2 2 2 6 3 3" xfId="14966" xr:uid="{00000000-0005-0000-0000-0000D0590000}"/>
    <cellStyle name="Normal 9 2 2 2 2 6 3 4" xfId="31835" xr:uid="{F3C52A32-5E3C-4FDC-954C-88D4DFE6525F}"/>
    <cellStyle name="Normal 9 2 2 2 2 6 4" xfId="19183" xr:uid="{00000000-0005-0000-0000-0000D1590000}"/>
    <cellStyle name="Normal 9 2 2 2 2 6 4 2" xfId="36052" xr:uid="{25265717-BA4F-4339-8FE7-52655DA857B4}"/>
    <cellStyle name="Normal 9 2 2 2 2 6 5" xfId="10748" xr:uid="{00000000-0005-0000-0000-0000D2590000}"/>
    <cellStyle name="Normal 9 2 2 2 2 6 6" xfId="27618" xr:uid="{F87067BD-E819-4396-B3D4-84E51AD9681A}"/>
    <cellStyle name="Normal 9 2 2 2 2 7" xfId="2660" xr:uid="{00000000-0005-0000-0000-0000D3590000}"/>
    <cellStyle name="Normal 9 2 2 2 2 7 2" xfId="6944" xr:uid="{00000000-0005-0000-0000-0000D4590000}"/>
    <cellStyle name="Normal 9 2 2 2 2 7 2 2" xfId="23814" xr:uid="{00000000-0005-0000-0000-0000D5590000}"/>
    <cellStyle name="Normal 9 2 2 2 2 7 2 2 2" xfId="40682" xr:uid="{FF0888C4-9DF3-4D7B-BCEB-58B7515E75E1}"/>
    <cellStyle name="Normal 9 2 2 2 2 7 2 3" xfId="15379" xr:uid="{00000000-0005-0000-0000-0000D6590000}"/>
    <cellStyle name="Normal 9 2 2 2 2 7 2 4" xfId="32248" xr:uid="{A27B3D9F-C17E-415D-AA8D-0F48F2B00D42}"/>
    <cellStyle name="Normal 9 2 2 2 2 7 3" xfId="19596" xr:uid="{00000000-0005-0000-0000-0000D7590000}"/>
    <cellStyle name="Normal 9 2 2 2 2 7 3 2" xfId="36465" xr:uid="{40DEB4BE-18F4-42BF-84CF-FE6F0F6A5227}"/>
    <cellStyle name="Normal 9 2 2 2 2 7 4" xfId="11161" xr:uid="{00000000-0005-0000-0000-0000D8590000}"/>
    <cellStyle name="Normal 9 2 2 2 2 7 5" xfId="28031" xr:uid="{E240C3D8-575F-4BC1-93C0-A6BBD0A33E40}"/>
    <cellStyle name="Normal 9 2 2 2 2 8" xfId="4879" xr:uid="{00000000-0005-0000-0000-0000D9590000}"/>
    <cellStyle name="Normal 9 2 2 2 2 8 2" xfId="21749" xr:uid="{00000000-0005-0000-0000-0000DA590000}"/>
    <cellStyle name="Normal 9 2 2 2 2 8 2 2" xfId="38617" xr:uid="{E420C042-9B03-468A-82F8-74A16FF6B8AB}"/>
    <cellStyle name="Normal 9 2 2 2 2 8 3" xfId="13314" xr:uid="{00000000-0005-0000-0000-0000DB590000}"/>
    <cellStyle name="Normal 9 2 2 2 2 8 4" xfId="30183" xr:uid="{76CFA8B3-5F42-42D8-8AF0-3949600CACE4}"/>
    <cellStyle name="Normal 9 2 2 2 2 9" xfId="17531" xr:uid="{00000000-0005-0000-0000-0000DC590000}"/>
    <cellStyle name="Normal 9 2 2 2 2 9 2" xfId="34400" xr:uid="{CB3DBDAA-FE2E-41BA-9798-E2722A89E867}"/>
    <cellStyle name="Normal 9 2 2 2 3" xfId="516" xr:uid="{00000000-0005-0000-0000-0000DD590000}"/>
    <cellStyle name="Normal 9 2 2 2 3 10" xfId="25968" xr:uid="{D4731274-ED13-47D3-AF5F-76345D8F6C9F}"/>
    <cellStyle name="Normal 9 2 2 2 3 2" xfId="983" xr:uid="{00000000-0005-0000-0000-0000DE590000}"/>
    <cellStyle name="Normal 9 2 2 2 3 2 2" xfId="3216" xr:uid="{00000000-0005-0000-0000-0000DF590000}"/>
    <cellStyle name="Normal 9 2 2 2 3 2 2 2" xfId="7439" xr:uid="{00000000-0005-0000-0000-0000E0590000}"/>
    <cellStyle name="Normal 9 2 2 2 3 2 2 2 2" xfId="24309" xr:uid="{00000000-0005-0000-0000-0000E1590000}"/>
    <cellStyle name="Normal 9 2 2 2 3 2 2 2 2 2" xfId="41177" xr:uid="{1E148A91-AD42-4895-8571-F6A6A5BC6769}"/>
    <cellStyle name="Normal 9 2 2 2 3 2 2 2 3" xfId="15874" xr:uid="{00000000-0005-0000-0000-0000E2590000}"/>
    <cellStyle name="Normal 9 2 2 2 3 2 2 2 4" xfId="32743" xr:uid="{C17B7168-64ED-4BE7-8F70-DC196E00AA5B}"/>
    <cellStyle name="Normal 9 2 2 2 3 2 2 3" xfId="20091" xr:uid="{00000000-0005-0000-0000-0000E3590000}"/>
    <cellStyle name="Normal 9 2 2 2 3 2 2 3 2" xfId="36960" xr:uid="{E32BA04C-DB41-4FDA-A73C-2A3B6C89295A}"/>
    <cellStyle name="Normal 9 2 2 2 3 2 2 4" xfId="11656" xr:uid="{00000000-0005-0000-0000-0000E4590000}"/>
    <cellStyle name="Normal 9 2 2 2 3 2 2 5" xfId="28526" xr:uid="{96084E73-5CE4-4B82-9F06-56AA308B10D2}"/>
    <cellStyle name="Normal 9 2 2 2 3 2 3" xfId="5294" xr:uid="{00000000-0005-0000-0000-0000E5590000}"/>
    <cellStyle name="Normal 9 2 2 2 3 2 3 2" xfId="22164" xr:uid="{00000000-0005-0000-0000-0000E6590000}"/>
    <cellStyle name="Normal 9 2 2 2 3 2 3 2 2" xfId="39032" xr:uid="{0A8E8CD8-CE29-4ACE-AA13-098C7CED1E77}"/>
    <cellStyle name="Normal 9 2 2 2 3 2 3 3" xfId="13729" xr:uid="{00000000-0005-0000-0000-0000E7590000}"/>
    <cellStyle name="Normal 9 2 2 2 3 2 3 4" xfId="30598" xr:uid="{B9A194E0-2911-435D-9755-21F32B8FCA3E}"/>
    <cellStyle name="Normal 9 2 2 2 3 2 4" xfId="17946" xr:uid="{00000000-0005-0000-0000-0000E8590000}"/>
    <cellStyle name="Normal 9 2 2 2 3 2 4 2" xfId="34815" xr:uid="{BC0CFB25-CEA5-4686-AA3E-D956FBE1A7B2}"/>
    <cellStyle name="Normal 9 2 2 2 3 2 5" xfId="9511" xr:uid="{00000000-0005-0000-0000-0000E9590000}"/>
    <cellStyle name="Normal 9 2 2 2 3 2 6" xfId="26381" xr:uid="{E0CD6289-1344-49DB-B47A-06F1E99B7BC1}"/>
    <cellStyle name="Normal 9 2 2 2 3 3" xfId="1399" xr:uid="{00000000-0005-0000-0000-0000EA590000}"/>
    <cellStyle name="Normal 9 2 2 2 3 3 2" xfId="3629" xr:uid="{00000000-0005-0000-0000-0000EB590000}"/>
    <cellStyle name="Normal 9 2 2 2 3 3 2 2" xfId="7852" xr:uid="{00000000-0005-0000-0000-0000EC590000}"/>
    <cellStyle name="Normal 9 2 2 2 3 3 2 2 2" xfId="24722" xr:uid="{00000000-0005-0000-0000-0000ED590000}"/>
    <cellStyle name="Normal 9 2 2 2 3 3 2 2 2 2" xfId="41590" xr:uid="{E23EBA3A-0B5D-472E-B010-EE1CDF2FCCAC}"/>
    <cellStyle name="Normal 9 2 2 2 3 3 2 2 3" xfId="16287" xr:uid="{00000000-0005-0000-0000-0000EE590000}"/>
    <cellStyle name="Normal 9 2 2 2 3 3 2 2 4" xfId="33156" xr:uid="{24F4D2D2-6FFF-43B4-8FED-1CF6822D12F4}"/>
    <cellStyle name="Normal 9 2 2 2 3 3 2 3" xfId="20504" xr:uid="{00000000-0005-0000-0000-0000EF590000}"/>
    <cellStyle name="Normal 9 2 2 2 3 3 2 3 2" xfId="37373" xr:uid="{62DE2931-794D-40A3-BD0D-53D739EA3324}"/>
    <cellStyle name="Normal 9 2 2 2 3 3 2 4" xfId="12069" xr:uid="{00000000-0005-0000-0000-0000F0590000}"/>
    <cellStyle name="Normal 9 2 2 2 3 3 2 5" xfId="28939" xr:uid="{49AC6F0C-3B61-44C0-B447-2DF009A9EC1B}"/>
    <cellStyle name="Normal 9 2 2 2 3 3 3" xfId="5707" xr:uid="{00000000-0005-0000-0000-0000F1590000}"/>
    <cellStyle name="Normal 9 2 2 2 3 3 3 2" xfId="22577" xr:uid="{00000000-0005-0000-0000-0000F2590000}"/>
    <cellStyle name="Normal 9 2 2 2 3 3 3 2 2" xfId="39445" xr:uid="{AABDC141-5744-4217-84A4-DACD41894EEA}"/>
    <cellStyle name="Normal 9 2 2 2 3 3 3 3" xfId="14142" xr:uid="{00000000-0005-0000-0000-0000F3590000}"/>
    <cellStyle name="Normal 9 2 2 2 3 3 3 4" xfId="31011" xr:uid="{9826E92A-5880-4EB8-807C-50B935FFE453}"/>
    <cellStyle name="Normal 9 2 2 2 3 3 4" xfId="18359" xr:uid="{00000000-0005-0000-0000-0000F4590000}"/>
    <cellStyle name="Normal 9 2 2 2 3 3 4 2" xfId="35228" xr:uid="{9119D584-C0EA-4A59-AD30-B5B898B64494}"/>
    <cellStyle name="Normal 9 2 2 2 3 3 5" xfId="9924" xr:uid="{00000000-0005-0000-0000-0000F5590000}"/>
    <cellStyle name="Normal 9 2 2 2 3 3 6" xfId="26794" xr:uid="{0A6C0107-2CF0-4276-827B-57E54562CDE5}"/>
    <cellStyle name="Normal 9 2 2 2 3 4" xfId="1812" xr:uid="{00000000-0005-0000-0000-0000F6590000}"/>
    <cellStyle name="Normal 9 2 2 2 3 4 2" xfId="4042" xr:uid="{00000000-0005-0000-0000-0000F7590000}"/>
    <cellStyle name="Normal 9 2 2 2 3 4 2 2" xfId="8265" xr:uid="{00000000-0005-0000-0000-0000F8590000}"/>
    <cellStyle name="Normal 9 2 2 2 3 4 2 2 2" xfId="25135" xr:uid="{00000000-0005-0000-0000-0000F9590000}"/>
    <cellStyle name="Normal 9 2 2 2 3 4 2 2 2 2" xfId="42003" xr:uid="{17555DD5-ACC7-4C66-BE46-4B8BA208BC1E}"/>
    <cellStyle name="Normal 9 2 2 2 3 4 2 2 3" xfId="16700" xr:uid="{00000000-0005-0000-0000-0000FA590000}"/>
    <cellStyle name="Normal 9 2 2 2 3 4 2 2 4" xfId="33569" xr:uid="{8A8F54B6-2DF9-4153-94BD-997CD0B7CB04}"/>
    <cellStyle name="Normal 9 2 2 2 3 4 2 3" xfId="20917" xr:uid="{00000000-0005-0000-0000-0000FB590000}"/>
    <cellStyle name="Normal 9 2 2 2 3 4 2 3 2" xfId="37786" xr:uid="{4E0B4660-02DD-4E15-ADED-2766069236A1}"/>
    <cellStyle name="Normal 9 2 2 2 3 4 2 4" xfId="12482" xr:uid="{00000000-0005-0000-0000-0000FC590000}"/>
    <cellStyle name="Normal 9 2 2 2 3 4 2 5" xfId="29352" xr:uid="{4760AD97-1E87-44F0-8878-50E28896B6AA}"/>
    <cellStyle name="Normal 9 2 2 2 3 4 3" xfId="6120" xr:uid="{00000000-0005-0000-0000-0000FD590000}"/>
    <cellStyle name="Normal 9 2 2 2 3 4 3 2" xfId="22990" xr:uid="{00000000-0005-0000-0000-0000FE590000}"/>
    <cellStyle name="Normal 9 2 2 2 3 4 3 2 2" xfId="39858" xr:uid="{BAB478E0-F0CD-487F-8FC7-9C0D8AFE4ED0}"/>
    <cellStyle name="Normal 9 2 2 2 3 4 3 3" xfId="14555" xr:uid="{00000000-0005-0000-0000-0000FF590000}"/>
    <cellStyle name="Normal 9 2 2 2 3 4 3 4" xfId="31424" xr:uid="{BC73AFA7-6336-4F74-B671-85F2397B9DC4}"/>
    <cellStyle name="Normal 9 2 2 2 3 4 4" xfId="18772" xr:uid="{00000000-0005-0000-0000-0000005A0000}"/>
    <cellStyle name="Normal 9 2 2 2 3 4 4 2" xfId="35641" xr:uid="{A4741A44-AD0C-468F-8692-E9606E7E2260}"/>
    <cellStyle name="Normal 9 2 2 2 3 4 5" xfId="10337" xr:uid="{00000000-0005-0000-0000-0000015A0000}"/>
    <cellStyle name="Normal 9 2 2 2 3 4 6" xfId="27207" xr:uid="{60ADE8C8-EDE7-460C-85F5-2A13E856A366}"/>
    <cellStyle name="Normal 9 2 2 2 3 5" xfId="2226" xr:uid="{00000000-0005-0000-0000-0000025A0000}"/>
    <cellStyle name="Normal 9 2 2 2 3 5 2" xfId="4455" xr:uid="{00000000-0005-0000-0000-0000035A0000}"/>
    <cellStyle name="Normal 9 2 2 2 3 5 2 2" xfId="8678" xr:uid="{00000000-0005-0000-0000-0000045A0000}"/>
    <cellStyle name="Normal 9 2 2 2 3 5 2 2 2" xfId="25548" xr:uid="{00000000-0005-0000-0000-0000055A0000}"/>
    <cellStyle name="Normal 9 2 2 2 3 5 2 2 2 2" xfId="42416" xr:uid="{1855F497-D584-413B-8E26-712DACDC1532}"/>
    <cellStyle name="Normal 9 2 2 2 3 5 2 2 3" xfId="17113" xr:uid="{00000000-0005-0000-0000-0000065A0000}"/>
    <cellStyle name="Normal 9 2 2 2 3 5 2 2 4" xfId="33982" xr:uid="{60924012-4A07-4DFD-B962-5248E80710C7}"/>
    <cellStyle name="Normal 9 2 2 2 3 5 2 3" xfId="21330" xr:uid="{00000000-0005-0000-0000-0000075A0000}"/>
    <cellStyle name="Normal 9 2 2 2 3 5 2 3 2" xfId="38199" xr:uid="{FEEF994C-A74F-4237-A7EB-311273414A95}"/>
    <cellStyle name="Normal 9 2 2 2 3 5 2 4" xfId="12895" xr:uid="{00000000-0005-0000-0000-0000085A0000}"/>
    <cellStyle name="Normal 9 2 2 2 3 5 2 5" xfId="29765" xr:uid="{6AAB194F-01FD-4924-8404-844C1DB32FF8}"/>
    <cellStyle name="Normal 9 2 2 2 3 5 3" xfId="6533" xr:uid="{00000000-0005-0000-0000-0000095A0000}"/>
    <cellStyle name="Normal 9 2 2 2 3 5 3 2" xfId="23403" xr:uid="{00000000-0005-0000-0000-00000A5A0000}"/>
    <cellStyle name="Normal 9 2 2 2 3 5 3 2 2" xfId="40271" xr:uid="{7B6A58F7-AB9B-47D9-985C-390C129923FB}"/>
    <cellStyle name="Normal 9 2 2 2 3 5 3 3" xfId="14968" xr:uid="{00000000-0005-0000-0000-00000B5A0000}"/>
    <cellStyle name="Normal 9 2 2 2 3 5 3 4" xfId="31837" xr:uid="{ADD3090F-C333-481D-91EC-921176E2BAD2}"/>
    <cellStyle name="Normal 9 2 2 2 3 5 4" xfId="19185" xr:uid="{00000000-0005-0000-0000-00000C5A0000}"/>
    <cellStyle name="Normal 9 2 2 2 3 5 4 2" xfId="36054" xr:uid="{EF74C6D1-1001-4406-9A7C-F0A8B4B14EBF}"/>
    <cellStyle name="Normal 9 2 2 2 3 5 5" xfId="10750" xr:uid="{00000000-0005-0000-0000-00000D5A0000}"/>
    <cellStyle name="Normal 9 2 2 2 3 5 6" xfId="27620" xr:uid="{56B6790A-2123-463C-B1CF-E5725C94731F}"/>
    <cellStyle name="Normal 9 2 2 2 3 6" xfId="2662" xr:uid="{00000000-0005-0000-0000-00000E5A0000}"/>
    <cellStyle name="Normal 9 2 2 2 3 6 2" xfId="6946" xr:uid="{00000000-0005-0000-0000-00000F5A0000}"/>
    <cellStyle name="Normal 9 2 2 2 3 6 2 2" xfId="23816" xr:uid="{00000000-0005-0000-0000-0000105A0000}"/>
    <cellStyle name="Normal 9 2 2 2 3 6 2 2 2" xfId="40684" xr:uid="{16A215E8-E2D3-4A10-A4AE-FC90DE4AA09C}"/>
    <cellStyle name="Normal 9 2 2 2 3 6 2 3" xfId="15381" xr:uid="{00000000-0005-0000-0000-0000115A0000}"/>
    <cellStyle name="Normal 9 2 2 2 3 6 2 4" xfId="32250" xr:uid="{C234A784-1F13-4FF3-82F9-7A517050A45B}"/>
    <cellStyle name="Normal 9 2 2 2 3 6 3" xfId="19598" xr:uid="{00000000-0005-0000-0000-0000125A0000}"/>
    <cellStyle name="Normal 9 2 2 2 3 6 3 2" xfId="36467" xr:uid="{6A145A83-7FA9-4ED4-91DF-A5C24CC5E5E1}"/>
    <cellStyle name="Normal 9 2 2 2 3 6 4" xfId="11163" xr:uid="{00000000-0005-0000-0000-0000135A0000}"/>
    <cellStyle name="Normal 9 2 2 2 3 6 5" xfId="28033" xr:uid="{7136C157-1016-4014-A089-3DB8C6D29871}"/>
    <cellStyle name="Normal 9 2 2 2 3 7" xfId="4881" xr:uid="{00000000-0005-0000-0000-0000145A0000}"/>
    <cellStyle name="Normal 9 2 2 2 3 7 2" xfId="21751" xr:uid="{00000000-0005-0000-0000-0000155A0000}"/>
    <cellStyle name="Normal 9 2 2 2 3 7 2 2" xfId="38619" xr:uid="{CD83B4A4-E80E-4AC5-94BB-EEFB8557FAB3}"/>
    <cellStyle name="Normal 9 2 2 2 3 7 3" xfId="13316" xr:uid="{00000000-0005-0000-0000-0000165A0000}"/>
    <cellStyle name="Normal 9 2 2 2 3 7 4" xfId="30185" xr:uid="{DA870F32-0371-4ADF-A26A-B555466D664E}"/>
    <cellStyle name="Normal 9 2 2 2 3 8" xfId="17533" xr:uid="{00000000-0005-0000-0000-0000175A0000}"/>
    <cellStyle name="Normal 9 2 2 2 3 8 2" xfId="34402" xr:uid="{FBF4150F-F6DC-4602-82C0-06DD02755632}"/>
    <cellStyle name="Normal 9 2 2 2 3 9" xfId="9098" xr:uid="{00000000-0005-0000-0000-0000185A0000}"/>
    <cellStyle name="Normal 9 2 2 2 4" xfId="980" xr:uid="{00000000-0005-0000-0000-0000195A0000}"/>
    <cellStyle name="Normal 9 2 2 2 4 2" xfId="3213" xr:uid="{00000000-0005-0000-0000-00001A5A0000}"/>
    <cellStyle name="Normal 9 2 2 2 4 2 2" xfId="7436" xr:uid="{00000000-0005-0000-0000-00001B5A0000}"/>
    <cellStyle name="Normal 9 2 2 2 4 2 2 2" xfId="24306" xr:uid="{00000000-0005-0000-0000-00001C5A0000}"/>
    <cellStyle name="Normal 9 2 2 2 4 2 2 2 2" xfId="41174" xr:uid="{40DDFD80-6B2C-4F29-A8DA-BC9021BAB21A}"/>
    <cellStyle name="Normal 9 2 2 2 4 2 2 3" xfId="15871" xr:uid="{00000000-0005-0000-0000-00001D5A0000}"/>
    <cellStyle name="Normal 9 2 2 2 4 2 2 4" xfId="32740" xr:uid="{93507B9E-A676-4BF7-BC4F-1C3B9CE7B48E}"/>
    <cellStyle name="Normal 9 2 2 2 4 2 3" xfId="20088" xr:uid="{00000000-0005-0000-0000-00001E5A0000}"/>
    <cellStyle name="Normal 9 2 2 2 4 2 3 2" xfId="36957" xr:uid="{7636E2AC-8871-4A60-8878-8B84DF9A7E8A}"/>
    <cellStyle name="Normal 9 2 2 2 4 2 4" xfId="11653" xr:uid="{00000000-0005-0000-0000-00001F5A0000}"/>
    <cellStyle name="Normal 9 2 2 2 4 2 5" xfId="28523" xr:uid="{D0940B9C-47E9-4F5B-91CF-E774F72C6A8E}"/>
    <cellStyle name="Normal 9 2 2 2 4 3" xfId="5291" xr:uid="{00000000-0005-0000-0000-0000205A0000}"/>
    <cellStyle name="Normal 9 2 2 2 4 3 2" xfId="22161" xr:uid="{00000000-0005-0000-0000-0000215A0000}"/>
    <cellStyle name="Normal 9 2 2 2 4 3 2 2" xfId="39029" xr:uid="{FD94B38E-4271-4C81-885A-8E7CF26CFA8C}"/>
    <cellStyle name="Normal 9 2 2 2 4 3 3" xfId="13726" xr:uid="{00000000-0005-0000-0000-0000225A0000}"/>
    <cellStyle name="Normal 9 2 2 2 4 3 4" xfId="30595" xr:uid="{7B87E778-961E-4BE5-8D8F-F4326474DC46}"/>
    <cellStyle name="Normal 9 2 2 2 4 4" xfId="17943" xr:uid="{00000000-0005-0000-0000-0000235A0000}"/>
    <cellStyle name="Normal 9 2 2 2 4 4 2" xfId="34812" xr:uid="{FC141708-8522-4E6E-A2FB-447C833A5BC8}"/>
    <cellStyle name="Normal 9 2 2 2 4 5" xfId="9508" xr:uid="{00000000-0005-0000-0000-0000245A0000}"/>
    <cellStyle name="Normal 9 2 2 2 4 6" xfId="26378" xr:uid="{D86C8CCF-255A-4C80-9F85-B8415A59F497}"/>
    <cellStyle name="Normal 9 2 2 2 5" xfId="1396" xr:uid="{00000000-0005-0000-0000-0000255A0000}"/>
    <cellStyle name="Normal 9 2 2 2 5 2" xfId="3626" xr:uid="{00000000-0005-0000-0000-0000265A0000}"/>
    <cellStyle name="Normal 9 2 2 2 5 2 2" xfId="7849" xr:uid="{00000000-0005-0000-0000-0000275A0000}"/>
    <cellStyle name="Normal 9 2 2 2 5 2 2 2" xfId="24719" xr:uid="{00000000-0005-0000-0000-0000285A0000}"/>
    <cellStyle name="Normal 9 2 2 2 5 2 2 2 2" xfId="41587" xr:uid="{BFFCFEC8-7CB7-4EB1-9C2D-8E701A6BDD35}"/>
    <cellStyle name="Normal 9 2 2 2 5 2 2 3" xfId="16284" xr:uid="{00000000-0005-0000-0000-0000295A0000}"/>
    <cellStyle name="Normal 9 2 2 2 5 2 2 4" xfId="33153" xr:uid="{2A3C652E-F5BA-4F5A-B061-E7CDA0936F57}"/>
    <cellStyle name="Normal 9 2 2 2 5 2 3" xfId="20501" xr:uid="{00000000-0005-0000-0000-00002A5A0000}"/>
    <cellStyle name="Normal 9 2 2 2 5 2 3 2" xfId="37370" xr:uid="{6762A2BE-30BC-4518-AD64-AEC433B0DA8A}"/>
    <cellStyle name="Normal 9 2 2 2 5 2 4" xfId="12066" xr:uid="{00000000-0005-0000-0000-00002B5A0000}"/>
    <cellStyle name="Normal 9 2 2 2 5 2 5" xfId="28936" xr:uid="{D3C46C29-14C3-4A54-9BD4-59AA16CDE3CE}"/>
    <cellStyle name="Normal 9 2 2 2 5 3" xfId="5704" xr:uid="{00000000-0005-0000-0000-00002C5A0000}"/>
    <cellStyle name="Normal 9 2 2 2 5 3 2" xfId="22574" xr:uid="{00000000-0005-0000-0000-00002D5A0000}"/>
    <cellStyle name="Normal 9 2 2 2 5 3 2 2" xfId="39442" xr:uid="{E6552D5C-3A3D-4FDD-852A-BBE78CEF529A}"/>
    <cellStyle name="Normal 9 2 2 2 5 3 3" xfId="14139" xr:uid="{00000000-0005-0000-0000-00002E5A0000}"/>
    <cellStyle name="Normal 9 2 2 2 5 3 4" xfId="31008" xr:uid="{ECE00FFC-7123-420C-80E6-EEE05DE86927}"/>
    <cellStyle name="Normal 9 2 2 2 5 4" xfId="18356" xr:uid="{00000000-0005-0000-0000-00002F5A0000}"/>
    <cellStyle name="Normal 9 2 2 2 5 4 2" xfId="35225" xr:uid="{4A749816-2FF7-47AE-B121-45711AF03E46}"/>
    <cellStyle name="Normal 9 2 2 2 5 5" xfId="9921" xr:uid="{00000000-0005-0000-0000-0000305A0000}"/>
    <cellStyle name="Normal 9 2 2 2 5 6" xfId="26791" xr:uid="{B3F80D07-C355-4797-B4FD-7E8C5302CFBB}"/>
    <cellStyle name="Normal 9 2 2 2 6" xfId="1809" xr:uid="{00000000-0005-0000-0000-0000315A0000}"/>
    <cellStyle name="Normal 9 2 2 2 6 2" xfId="4039" xr:uid="{00000000-0005-0000-0000-0000325A0000}"/>
    <cellStyle name="Normal 9 2 2 2 6 2 2" xfId="8262" xr:uid="{00000000-0005-0000-0000-0000335A0000}"/>
    <cellStyle name="Normal 9 2 2 2 6 2 2 2" xfId="25132" xr:uid="{00000000-0005-0000-0000-0000345A0000}"/>
    <cellStyle name="Normal 9 2 2 2 6 2 2 2 2" xfId="42000" xr:uid="{AA893E05-991E-4E8A-A556-EFB8E78C904E}"/>
    <cellStyle name="Normal 9 2 2 2 6 2 2 3" xfId="16697" xr:uid="{00000000-0005-0000-0000-0000355A0000}"/>
    <cellStyle name="Normal 9 2 2 2 6 2 2 4" xfId="33566" xr:uid="{F310D2FF-B17A-4A67-AB65-67D091DC5213}"/>
    <cellStyle name="Normal 9 2 2 2 6 2 3" xfId="20914" xr:uid="{00000000-0005-0000-0000-0000365A0000}"/>
    <cellStyle name="Normal 9 2 2 2 6 2 3 2" xfId="37783" xr:uid="{4AF8371F-85F3-4C3B-A81E-31261E51C4FE}"/>
    <cellStyle name="Normal 9 2 2 2 6 2 4" xfId="12479" xr:uid="{00000000-0005-0000-0000-0000375A0000}"/>
    <cellStyle name="Normal 9 2 2 2 6 2 5" xfId="29349" xr:uid="{B503E1B6-97CF-487D-92EC-4F37F525BBEB}"/>
    <cellStyle name="Normal 9 2 2 2 6 3" xfId="6117" xr:uid="{00000000-0005-0000-0000-0000385A0000}"/>
    <cellStyle name="Normal 9 2 2 2 6 3 2" xfId="22987" xr:uid="{00000000-0005-0000-0000-0000395A0000}"/>
    <cellStyle name="Normal 9 2 2 2 6 3 2 2" xfId="39855" xr:uid="{851DF45A-5D4F-4821-8604-76AC9F43DD18}"/>
    <cellStyle name="Normal 9 2 2 2 6 3 3" xfId="14552" xr:uid="{00000000-0005-0000-0000-00003A5A0000}"/>
    <cellStyle name="Normal 9 2 2 2 6 3 4" xfId="31421" xr:uid="{50A6B109-8000-45A8-9496-E9CC8754BA5D}"/>
    <cellStyle name="Normal 9 2 2 2 6 4" xfId="18769" xr:uid="{00000000-0005-0000-0000-00003B5A0000}"/>
    <cellStyle name="Normal 9 2 2 2 6 4 2" xfId="35638" xr:uid="{56B0CE79-C3F7-426C-95FF-3E062C9D2E14}"/>
    <cellStyle name="Normal 9 2 2 2 6 5" xfId="10334" xr:uid="{00000000-0005-0000-0000-00003C5A0000}"/>
    <cellStyle name="Normal 9 2 2 2 6 6" xfId="27204" xr:uid="{4BB8A14C-17D2-4986-985E-8393D5992C4B}"/>
    <cellStyle name="Normal 9 2 2 2 7" xfId="2223" xr:uid="{00000000-0005-0000-0000-00003D5A0000}"/>
    <cellStyle name="Normal 9 2 2 2 7 2" xfId="4452" xr:uid="{00000000-0005-0000-0000-00003E5A0000}"/>
    <cellStyle name="Normal 9 2 2 2 7 2 2" xfId="8675" xr:uid="{00000000-0005-0000-0000-00003F5A0000}"/>
    <cellStyle name="Normal 9 2 2 2 7 2 2 2" xfId="25545" xr:uid="{00000000-0005-0000-0000-0000405A0000}"/>
    <cellStyle name="Normal 9 2 2 2 7 2 2 2 2" xfId="42413" xr:uid="{60C7A951-0DD1-4814-B5FB-E32A96D01FD7}"/>
    <cellStyle name="Normal 9 2 2 2 7 2 2 3" xfId="17110" xr:uid="{00000000-0005-0000-0000-0000415A0000}"/>
    <cellStyle name="Normal 9 2 2 2 7 2 2 4" xfId="33979" xr:uid="{C0DF9B35-3ECA-4896-BC7C-EB5E095A52B2}"/>
    <cellStyle name="Normal 9 2 2 2 7 2 3" xfId="21327" xr:uid="{00000000-0005-0000-0000-0000425A0000}"/>
    <cellStyle name="Normal 9 2 2 2 7 2 3 2" xfId="38196" xr:uid="{397E7139-7F78-4B17-95CE-A36CBA935CDD}"/>
    <cellStyle name="Normal 9 2 2 2 7 2 4" xfId="12892" xr:uid="{00000000-0005-0000-0000-0000435A0000}"/>
    <cellStyle name="Normal 9 2 2 2 7 2 5" xfId="29762" xr:uid="{712E62B6-043D-465A-9304-2FDB279FCE89}"/>
    <cellStyle name="Normal 9 2 2 2 7 3" xfId="6530" xr:uid="{00000000-0005-0000-0000-0000445A0000}"/>
    <cellStyle name="Normal 9 2 2 2 7 3 2" xfId="23400" xr:uid="{00000000-0005-0000-0000-0000455A0000}"/>
    <cellStyle name="Normal 9 2 2 2 7 3 2 2" xfId="40268" xr:uid="{D4906592-3A50-4747-BAFF-73BF4CBA3F44}"/>
    <cellStyle name="Normal 9 2 2 2 7 3 3" xfId="14965" xr:uid="{00000000-0005-0000-0000-0000465A0000}"/>
    <cellStyle name="Normal 9 2 2 2 7 3 4" xfId="31834" xr:uid="{7D4015D7-C3FC-4B05-92D7-68E363FA4F90}"/>
    <cellStyle name="Normal 9 2 2 2 7 4" xfId="19182" xr:uid="{00000000-0005-0000-0000-0000475A0000}"/>
    <cellStyle name="Normal 9 2 2 2 7 4 2" xfId="36051" xr:uid="{CB6ACA7C-CCBC-476C-ADA2-40B90605444B}"/>
    <cellStyle name="Normal 9 2 2 2 7 5" xfId="10747" xr:uid="{00000000-0005-0000-0000-0000485A0000}"/>
    <cellStyle name="Normal 9 2 2 2 7 6" xfId="27617" xr:uid="{F51C9B91-96CC-4FCD-B2C8-BF61AAA12D9E}"/>
    <cellStyle name="Normal 9 2 2 2 8" xfId="2659" xr:uid="{00000000-0005-0000-0000-0000495A0000}"/>
    <cellStyle name="Normal 9 2 2 2 8 2" xfId="6943" xr:uid="{00000000-0005-0000-0000-00004A5A0000}"/>
    <cellStyle name="Normal 9 2 2 2 8 2 2" xfId="23813" xr:uid="{00000000-0005-0000-0000-00004B5A0000}"/>
    <cellStyle name="Normal 9 2 2 2 8 2 2 2" xfId="40681" xr:uid="{56F348E0-0C47-4DA5-A678-E5243E07538F}"/>
    <cellStyle name="Normal 9 2 2 2 8 2 3" xfId="15378" xr:uid="{00000000-0005-0000-0000-00004C5A0000}"/>
    <cellStyle name="Normal 9 2 2 2 8 2 4" xfId="32247" xr:uid="{F8D027CE-117F-457F-87F3-03F43BB66FD8}"/>
    <cellStyle name="Normal 9 2 2 2 8 3" xfId="19595" xr:uid="{00000000-0005-0000-0000-00004D5A0000}"/>
    <cellStyle name="Normal 9 2 2 2 8 3 2" xfId="36464" xr:uid="{A48BC705-E946-40B8-862A-14E95AECBED4}"/>
    <cellStyle name="Normal 9 2 2 2 8 4" xfId="11160" xr:uid="{00000000-0005-0000-0000-00004E5A0000}"/>
    <cellStyle name="Normal 9 2 2 2 8 5" xfId="28030" xr:uid="{48F15F97-0EFA-4AF2-A86E-6F6D28406F4A}"/>
    <cellStyle name="Normal 9 2 2 2 9" xfId="4878" xr:uid="{00000000-0005-0000-0000-00004F5A0000}"/>
    <cellStyle name="Normal 9 2 2 2 9 2" xfId="21748" xr:uid="{00000000-0005-0000-0000-0000505A0000}"/>
    <cellStyle name="Normal 9 2 2 2 9 2 2" xfId="38616" xr:uid="{D40F2F1B-B7C5-4CCE-BBD5-FFD22E868F11}"/>
    <cellStyle name="Normal 9 2 2 2 9 3" xfId="13313" xr:uid="{00000000-0005-0000-0000-0000515A0000}"/>
    <cellStyle name="Normal 9 2 2 2 9 4" xfId="30182" xr:uid="{60D424F1-F28C-4A73-BF71-F1CED9AD87CB}"/>
    <cellStyle name="Normal 9 2 2 3" xfId="517" xr:uid="{00000000-0005-0000-0000-0000525A0000}"/>
    <cellStyle name="Normal 9 2 2 3 10" xfId="9099" xr:uid="{00000000-0005-0000-0000-0000535A0000}"/>
    <cellStyle name="Normal 9 2 2 3 11" xfId="25969" xr:uid="{DD0F32A3-47EB-4F97-B71C-E6C11D40308B}"/>
    <cellStyle name="Normal 9 2 2 3 2" xfId="518" xr:uid="{00000000-0005-0000-0000-0000545A0000}"/>
    <cellStyle name="Normal 9 2 2 3 2 10" xfId="25970" xr:uid="{CF50AB1B-2BAD-4203-808F-3E68CAC65927}"/>
    <cellStyle name="Normal 9 2 2 3 2 2" xfId="985" xr:uid="{00000000-0005-0000-0000-0000555A0000}"/>
    <cellStyle name="Normal 9 2 2 3 2 2 2" xfId="3218" xr:uid="{00000000-0005-0000-0000-0000565A0000}"/>
    <cellStyle name="Normal 9 2 2 3 2 2 2 2" xfId="7441" xr:uid="{00000000-0005-0000-0000-0000575A0000}"/>
    <cellStyle name="Normal 9 2 2 3 2 2 2 2 2" xfId="24311" xr:uid="{00000000-0005-0000-0000-0000585A0000}"/>
    <cellStyle name="Normal 9 2 2 3 2 2 2 2 2 2" xfId="41179" xr:uid="{ADDAB28D-17FF-4414-BA89-CEAD40C79175}"/>
    <cellStyle name="Normal 9 2 2 3 2 2 2 2 3" xfId="15876" xr:uid="{00000000-0005-0000-0000-0000595A0000}"/>
    <cellStyle name="Normal 9 2 2 3 2 2 2 2 4" xfId="32745" xr:uid="{73616AB6-5228-41E5-B5D2-4D265586179B}"/>
    <cellStyle name="Normal 9 2 2 3 2 2 2 3" xfId="20093" xr:uid="{00000000-0005-0000-0000-00005A5A0000}"/>
    <cellStyle name="Normal 9 2 2 3 2 2 2 3 2" xfId="36962" xr:uid="{6CC02AEB-7489-4132-8267-B9DD53C66DB9}"/>
    <cellStyle name="Normal 9 2 2 3 2 2 2 4" xfId="11658" xr:uid="{00000000-0005-0000-0000-00005B5A0000}"/>
    <cellStyle name="Normal 9 2 2 3 2 2 2 5" xfId="28528" xr:uid="{6D92A463-1D0B-46B3-8EB3-68F5DAA43EF9}"/>
    <cellStyle name="Normal 9 2 2 3 2 2 3" xfId="5296" xr:uid="{00000000-0005-0000-0000-00005C5A0000}"/>
    <cellStyle name="Normal 9 2 2 3 2 2 3 2" xfId="22166" xr:uid="{00000000-0005-0000-0000-00005D5A0000}"/>
    <cellStyle name="Normal 9 2 2 3 2 2 3 2 2" xfId="39034" xr:uid="{9F5027F7-55B0-454C-95F6-4C041A8A9C0E}"/>
    <cellStyle name="Normal 9 2 2 3 2 2 3 3" xfId="13731" xr:uid="{00000000-0005-0000-0000-00005E5A0000}"/>
    <cellStyle name="Normal 9 2 2 3 2 2 3 4" xfId="30600" xr:uid="{A6AAF022-503A-47C3-B398-18E89B55308D}"/>
    <cellStyle name="Normal 9 2 2 3 2 2 4" xfId="17948" xr:uid="{00000000-0005-0000-0000-00005F5A0000}"/>
    <cellStyle name="Normal 9 2 2 3 2 2 4 2" xfId="34817" xr:uid="{3CE567A8-76C1-4C70-9B82-F79833973763}"/>
    <cellStyle name="Normal 9 2 2 3 2 2 5" xfId="9513" xr:uid="{00000000-0005-0000-0000-0000605A0000}"/>
    <cellStyle name="Normal 9 2 2 3 2 2 6" xfId="26383" xr:uid="{44AB1611-C071-4245-825B-100C6034952F}"/>
    <cellStyle name="Normal 9 2 2 3 2 3" xfId="1401" xr:uid="{00000000-0005-0000-0000-0000615A0000}"/>
    <cellStyle name="Normal 9 2 2 3 2 3 2" xfId="3631" xr:uid="{00000000-0005-0000-0000-0000625A0000}"/>
    <cellStyle name="Normal 9 2 2 3 2 3 2 2" xfId="7854" xr:uid="{00000000-0005-0000-0000-0000635A0000}"/>
    <cellStyle name="Normal 9 2 2 3 2 3 2 2 2" xfId="24724" xr:uid="{00000000-0005-0000-0000-0000645A0000}"/>
    <cellStyle name="Normal 9 2 2 3 2 3 2 2 2 2" xfId="41592" xr:uid="{E94D861A-4EF5-4C2B-92EB-E756307DD56A}"/>
    <cellStyle name="Normal 9 2 2 3 2 3 2 2 3" xfId="16289" xr:uid="{00000000-0005-0000-0000-0000655A0000}"/>
    <cellStyle name="Normal 9 2 2 3 2 3 2 2 4" xfId="33158" xr:uid="{FE8F6D89-31CC-4606-9B4D-4E5DD2CF7A05}"/>
    <cellStyle name="Normal 9 2 2 3 2 3 2 3" xfId="20506" xr:uid="{00000000-0005-0000-0000-0000665A0000}"/>
    <cellStyle name="Normal 9 2 2 3 2 3 2 3 2" xfId="37375" xr:uid="{FE6B4B22-E566-44F8-ABD6-0A445577C134}"/>
    <cellStyle name="Normal 9 2 2 3 2 3 2 4" xfId="12071" xr:uid="{00000000-0005-0000-0000-0000675A0000}"/>
    <cellStyle name="Normal 9 2 2 3 2 3 2 5" xfId="28941" xr:uid="{10D24F8D-A3E5-4630-84F6-FC4C0D7A8336}"/>
    <cellStyle name="Normal 9 2 2 3 2 3 3" xfId="5709" xr:uid="{00000000-0005-0000-0000-0000685A0000}"/>
    <cellStyle name="Normal 9 2 2 3 2 3 3 2" xfId="22579" xr:uid="{00000000-0005-0000-0000-0000695A0000}"/>
    <cellStyle name="Normal 9 2 2 3 2 3 3 2 2" xfId="39447" xr:uid="{532F5575-299E-4CBE-A685-250502C39818}"/>
    <cellStyle name="Normal 9 2 2 3 2 3 3 3" xfId="14144" xr:uid="{00000000-0005-0000-0000-00006A5A0000}"/>
    <cellStyle name="Normal 9 2 2 3 2 3 3 4" xfId="31013" xr:uid="{27C66A87-8298-4BB1-8748-6A548586A4D8}"/>
    <cellStyle name="Normal 9 2 2 3 2 3 4" xfId="18361" xr:uid="{00000000-0005-0000-0000-00006B5A0000}"/>
    <cellStyle name="Normal 9 2 2 3 2 3 4 2" xfId="35230" xr:uid="{A1D89ABD-3881-4EDD-9372-3756689EB4D4}"/>
    <cellStyle name="Normal 9 2 2 3 2 3 5" xfId="9926" xr:uid="{00000000-0005-0000-0000-00006C5A0000}"/>
    <cellStyle name="Normal 9 2 2 3 2 3 6" xfId="26796" xr:uid="{F80DA13B-22CA-45A0-A019-B5EA7F72961F}"/>
    <cellStyle name="Normal 9 2 2 3 2 4" xfId="1814" xr:uid="{00000000-0005-0000-0000-00006D5A0000}"/>
    <cellStyle name="Normal 9 2 2 3 2 4 2" xfId="4044" xr:uid="{00000000-0005-0000-0000-00006E5A0000}"/>
    <cellStyle name="Normal 9 2 2 3 2 4 2 2" xfId="8267" xr:uid="{00000000-0005-0000-0000-00006F5A0000}"/>
    <cellStyle name="Normal 9 2 2 3 2 4 2 2 2" xfId="25137" xr:uid="{00000000-0005-0000-0000-0000705A0000}"/>
    <cellStyle name="Normal 9 2 2 3 2 4 2 2 2 2" xfId="42005" xr:uid="{C0002557-AC4A-4C7F-AAEC-BBFDF6286917}"/>
    <cellStyle name="Normal 9 2 2 3 2 4 2 2 3" xfId="16702" xr:uid="{00000000-0005-0000-0000-0000715A0000}"/>
    <cellStyle name="Normal 9 2 2 3 2 4 2 2 4" xfId="33571" xr:uid="{C188773E-196C-480B-9890-646FA7202D47}"/>
    <cellStyle name="Normal 9 2 2 3 2 4 2 3" xfId="20919" xr:uid="{00000000-0005-0000-0000-0000725A0000}"/>
    <cellStyle name="Normal 9 2 2 3 2 4 2 3 2" xfId="37788" xr:uid="{5EFD1C68-8D18-4FC8-859E-351E41AF4C21}"/>
    <cellStyle name="Normal 9 2 2 3 2 4 2 4" xfId="12484" xr:uid="{00000000-0005-0000-0000-0000735A0000}"/>
    <cellStyle name="Normal 9 2 2 3 2 4 2 5" xfId="29354" xr:uid="{CC4D408C-2755-44E1-A6EB-BD7B32AD5D28}"/>
    <cellStyle name="Normal 9 2 2 3 2 4 3" xfId="6122" xr:uid="{00000000-0005-0000-0000-0000745A0000}"/>
    <cellStyle name="Normal 9 2 2 3 2 4 3 2" xfId="22992" xr:uid="{00000000-0005-0000-0000-0000755A0000}"/>
    <cellStyle name="Normal 9 2 2 3 2 4 3 2 2" xfId="39860" xr:uid="{D54E143C-30AC-4C95-B914-0A4D0232EC36}"/>
    <cellStyle name="Normal 9 2 2 3 2 4 3 3" xfId="14557" xr:uid="{00000000-0005-0000-0000-0000765A0000}"/>
    <cellStyle name="Normal 9 2 2 3 2 4 3 4" xfId="31426" xr:uid="{49A28EA6-C67D-4C7B-BBF3-B6C7A6F075E6}"/>
    <cellStyle name="Normal 9 2 2 3 2 4 4" xfId="18774" xr:uid="{00000000-0005-0000-0000-0000775A0000}"/>
    <cellStyle name="Normal 9 2 2 3 2 4 4 2" xfId="35643" xr:uid="{1C2E7FC1-36F5-41BA-A468-AFCE75949C12}"/>
    <cellStyle name="Normal 9 2 2 3 2 4 5" xfId="10339" xr:uid="{00000000-0005-0000-0000-0000785A0000}"/>
    <cellStyle name="Normal 9 2 2 3 2 4 6" xfId="27209" xr:uid="{B373DB38-70AB-40B0-930E-032493AF6ADF}"/>
    <cellStyle name="Normal 9 2 2 3 2 5" xfId="2228" xr:uid="{00000000-0005-0000-0000-0000795A0000}"/>
    <cellStyle name="Normal 9 2 2 3 2 5 2" xfId="4457" xr:uid="{00000000-0005-0000-0000-00007A5A0000}"/>
    <cellStyle name="Normal 9 2 2 3 2 5 2 2" xfId="8680" xr:uid="{00000000-0005-0000-0000-00007B5A0000}"/>
    <cellStyle name="Normal 9 2 2 3 2 5 2 2 2" xfId="25550" xr:uid="{00000000-0005-0000-0000-00007C5A0000}"/>
    <cellStyle name="Normal 9 2 2 3 2 5 2 2 2 2" xfId="42418" xr:uid="{CF2CB0D0-19BA-4761-9335-1114D65652AE}"/>
    <cellStyle name="Normal 9 2 2 3 2 5 2 2 3" xfId="17115" xr:uid="{00000000-0005-0000-0000-00007D5A0000}"/>
    <cellStyle name="Normal 9 2 2 3 2 5 2 2 4" xfId="33984" xr:uid="{E6941A24-5BCD-4A5F-8BAF-9BEEA72D103F}"/>
    <cellStyle name="Normal 9 2 2 3 2 5 2 3" xfId="21332" xr:uid="{00000000-0005-0000-0000-00007E5A0000}"/>
    <cellStyle name="Normal 9 2 2 3 2 5 2 3 2" xfId="38201" xr:uid="{CF85B17E-305B-4C91-B94F-77F26851A592}"/>
    <cellStyle name="Normal 9 2 2 3 2 5 2 4" xfId="12897" xr:uid="{00000000-0005-0000-0000-00007F5A0000}"/>
    <cellStyle name="Normal 9 2 2 3 2 5 2 5" xfId="29767" xr:uid="{F06A52B5-3F85-43F9-89BA-DB8717F74973}"/>
    <cellStyle name="Normal 9 2 2 3 2 5 3" xfId="6535" xr:uid="{00000000-0005-0000-0000-0000805A0000}"/>
    <cellStyle name="Normal 9 2 2 3 2 5 3 2" xfId="23405" xr:uid="{00000000-0005-0000-0000-0000815A0000}"/>
    <cellStyle name="Normal 9 2 2 3 2 5 3 2 2" xfId="40273" xr:uid="{ADB460E4-0756-4C46-9E6A-25B6AB6B7DC9}"/>
    <cellStyle name="Normal 9 2 2 3 2 5 3 3" xfId="14970" xr:uid="{00000000-0005-0000-0000-0000825A0000}"/>
    <cellStyle name="Normal 9 2 2 3 2 5 3 4" xfId="31839" xr:uid="{16F4356C-1970-4314-B2EC-97E1B40D1D38}"/>
    <cellStyle name="Normal 9 2 2 3 2 5 4" xfId="19187" xr:uid="{00000000-0005-0000-0000-0000835A0000}"/>
    <cellStyle name="Normal 9 2 2 3 2 5 4 2" xfId="36056" xr:uid="{433C076B-3A82-495D-BC21-640A1FEBC1DC}"/>
    <cellStyle name="Normal 9 2 2 3 2 5 5" xfId="10752" xr:uid="{00000000-0005-0000-0000-0000845A0000}"/>
    <cellStyle name="Normal 9 2 2 3 2 5 6" xfId="27622" xr:uid="{A9032A04-D383-4B99-918C-F7D02758C40D}"/>
    <cellStyle name="Normal 9 2 2 3 2 6" xfId="2664" xr:uid="{00000000-0005-0000-0000-0000855A0000}"/>
    <cellStyle name="Normal 9 2 2 3 2 6 2" xfId="6948" xr:uid="{00000000-0005-0000-0000-0000865A0000}"/>
    <cellStyle name="Normal 9 2 2 3 2 6 2 2" xfId="23818" xr:uid="{00000000-0005-0000-0000-0000875A0000}"/>
    <cellStyle name="Normal 9 2 2 3 2 6 2 2 2" xfId="40686" xr:uid="{1FB01F96-80F4-4ED2-8242-778A29C34C81}"/>
    <cellStyle name="Normal 9 2 2 3 2 6 2 3" xfId="15383" xr:uid="{00000000-0005-0000-0000-0000885A0000}"/>
    <cellStyle name="Normal 9 2 2 3 2 6 2 4" xfId="32252" xr:uid="{2A049E5C-F1C0-48B0-9DD0-5E7CF79C76FB}"/>
    <cellStyle name="Normal 9 2 2 3 2 6 3" xfId="19600" xr:uid="{00000000-0005-0000-0000-0000895A0000}"/>
    <cellStyle name="Normal 9 2 2 3 2 6 3 2" xfId="36469" xr:uid="{0BF48096-CC96-4648-8B56-93A393D32DEF}"/>
    <cellStyle name="Normal 9 2 2 3 2 6 4" xfId="11165" xr:uid="{00000000-0005-0000-0000-00008A5A0000}"/>
    <cellStyle name="Normal 9 2 2 3 2 6 5" xfId="28035" xr:uid="{29FABE64-AB7B-4597-886F-6B96020DAD40}"/>
    <cellStyle name="Normal 9 2 2 3 2 7" xfId="4883" xr:uid="{00000000-0005-0000-0000-00008B5A0000}"/>
    <cellStyle name="Normal 9 2 2 3 2 7 2" xfId="21753" xr:uid="{00000000-0005-0000-0000-00008C5A0000}"/>
    <cellStyle name="Normal 9 2 2 3 2 7 2 2" xfId="38621" xr:uid="{6E5A1F7D-0408-48E8-8762-8AC2D591DDF0}"/>
    <cellStyle name="Normal 9 2 2 3 2 7 3" xfId="13318" xr:uid="{00000000-0005-0000-0000-00008D5A0000}"/>
    <cellStyle name="Normal 9 2 2 3 2 7 4" xfId="30187" xr:uid="{C187F73D-2F6D-4B61-ADC5-30A2CF19919B}"/>
    <cellStyle name="Normal 9 2 2 3 2 8" xfId="17535" xr:uid="{00000000-0005-0000-0000-00008E5A0000}"/>
    <cellStyle name="Normal 9 2 2 3 2 8 2" xfId="34404" xr:uid="{E91CA4B6-E9D3-4BB6-A296-500F431A574D}"/>
    <cellStyle name="Normal 9 2 2 3 2 9" xfId="9100" xr:uid="{00000000-0005-0000-0000-00008F5A0000}"/>
    <cellStyle name="Normal 9 2 2 3 3" xfId="984" xr:uid="{00000000-0005-0000-0000-0000905A0000}"/>
    <cellStyle name="Normal 9 2 2 3 3 2" xfId="3217" xr:uid="{00000000-0005-0000-0000-0000915A0000}"/>
    <cellStyle name="Normal 9 2 2 3 3 2 2" xfId="7440" xr:uid="{00000000-0005-0000-0000-0000925A0000}"/>
    <cellStyle name="Normal 9 2 2 3 3 2 2 2" xfId="24310" xr:uid="{00000000-0005-0000-0000-0000935A0000}"/>
    <cellStyle name="Normal 9 2 2 3 3 2 2 2 2" xfId="41178" xr:uid="{0E2E3366-C001-44DB-9EAB-6FB1B3E776EA}"/>
    <cellStyle name="Normal 9 2 2 3 3 2 2 3" xfId="15875" xr:uid="{00000000-0005-0000-0000-0000945A0000}"/>
    <cellStyle name="Normal 9 2 2 3 3 2 2 4" xfId="32744" xr:uid="{585D13A8-280E-41D2-9CEA-A771B12F1E57}"/>
    <cellStyle name="Normal 9 2 2 3 3 2 3" xfId="20092" xr:uid="{00000000-0005-0000-0000-0000955A0000}"/>
    <cellStyle name="Normal 9 2 2 3 3 2 3 2" xfId="36961" xr:uid="{A76B6687-FC68-4B97-85FA-99D2C9C9663B}"/>
    <cellStyle name="Normal 9 2 2 3 3 2 4" xfId="11657" xr:uid="{00000000-0005-0000-0000-0000965A0000}"/>
    <cellStyle name="Normal 9 2 2 3 3 2 5" xfId="28527" xr:uid="{B0FB98AB-5EF1-4AC7-B9EB-0EA50AE2550B}"/>
    <cellStyle name="Normal 9 2 2 3 3 3" xfId="5295" xr:uid="{00000000-0005-0000-0000-0000975A0000}"/>
    <cellStyle name="Normal 9 2 2 3 3 3 2" xfId="22165" xr:uid="{00000000-0005-0000-0000-0000985A0000}"/>
    <cellStyle name="Normal 9 2 2 3 3 3 2 2" xfId="39033" xr:uid="{EA9C66F3-07A0-47B4-A8C3-92AFE2941381}"/>
    <cellStyle name="Normal 9 2 2 3 3 3 3" xfId="13730" xr:uid="{00000000-0005-0000-0000-0000995A0000}"/>
    <cellStyle name="Normal 9 2 2 3 3 3 4" xfId="30599" xr:uid="{F6518A3E-8737-4152-AB01-69B0F253FB86}"/>
    <cellStyle name="Normal 9 2 2 3 3 4" xfId="17947" xr:uid="{00000000-0005-0000-0000-00009A5A0000}"/>
    <cellStyle name="Normal 9 2 2 3 3 4 2" xfId="34816" xr:uid="{08EF9EFB-4B48-4A7B-A649-BA699A1F270E}"/>
    <cellStyle name="Normal 9 2 2 3 3 5" xfId="9512" xr:uid="{00000000-0005-0000-0000-00009B5A0000}"/>
    <cellStyle name="Normal 9 2 2 3 3 6" xfId="26382" xr:uid="{74A54954-3552-4654-8D40-23188047AA24}"/>
    <cellStyle name="Normal 9 2 2 3 4" xfId="1400" xr:uid="{00000000-0005-0000-0000-00009C5A0000}"/>
    <cellStyle name="Normal 9 2 2 3 4 2" xfId="3630" xr:uid="{00000000-0005-0000-0000-00009D5A0000}"/>
    <cellStyle name="Normal 9 2 2 3 4 2 2" xfId="7853" xr:uid="{00000000-0005-0000-0000-00009E5A0000}"/>
    <cellStyle name="Normal 9 2 2 3 4 2 2 2" xfId="24723" xr:uid="{00000000-0005-0000-0000-00009F5A0000}"/>
    <cellStyle name="Normal 9 2 2 3 4 2 2 2 2" xfId="41591" xr:uid="{7AF79BEB-FAB9-4387-BEBE-1AEE536ECB36}"/>
    <cellStyle name="Normal 9 2 2 3 4 2 2 3" xfId="16288" xr:uid="{00000000-0005-0000-0000-0000A05A0000}"/>
    <cellStyle name="Normal 9 2 2 3 4 2 2 4" xfId="33157" xr:uid="{C14507BA-FAAD-46A1-A469-2B6F42BE21D5}"/>
    <cellStyle name="Normal 9 2 2 3 4 2 3" xfId="20505" xr:uid="{00000000-0005-0000-0000-0000A15A0000}"/>
    <cellStyle name="Normal 9 2 2 3 4 2 3 2" xfId="37374" xr:uid="{9FAA4CC7-AB42-4EDE-A816-E2B7AC337B54}"/>
    <cellStyle name="Normal 9 2 2 3 4 2 4" xfId="12070" xr:uid="{00000000-0005-0000-0000-0000A25A0000}"/>
    <cellStyle name="Normal 9 2 2 3 4 2 5" xfId="28940" xr:uid="{2364CDD7-E3C8-4F21-B951-D3FA3410381F}"/>
    <cellStyle name="Normal 9 2 2 3 4 3" xfId="5708" xr:uid="{00000000-0005-0000-0000-0000A35A0000}"/>
    <cellStyle name="Normal 9 2 2 3 4 3 2" xfId="22578" xr:uid="{00000000-0005-0000-0000-0000A45A0000}"/>
    <cellStyle name="Normal 9 2 2 3 4 3 2 2" xfId="39446" xr:uid="{EE462DAD-27D3-4E02-B4D6-29B21C1E0932}"/>
    <cellStyle name="Normal 9 2 2 3 4 3 3" xfId="14143" xr:uid="{00000000-0005-0000-0000-0000A55A0000}"/>
    <cellStyle name="Normal 9 2 2 3 4 3 4" xfId="31012" xr:uid="{8E3D4CB2-A7CA-44BD-B081-BF92BC7A1D4F}"/>
    <cellStyle name="Normal 9 2 2 3 4 4" xfId="18360" xr:uid="{00000000-0005-0000-0000-0000A65A0000}"/>
    <cellStyle name="Normal 9 2 2 3 4 4 2" xfId="35229" xr:uid="{002C7A30-29BA-4795-B0C1-E3E5B5298147}"/>
    <cellStyle name="Normal 9 2 2 3 4 5" xfId="9925" xr:uid="{00000000-0005-0000-0000-0000A75A0000}"/>
    <cellStyle name="Normal 9 2 2 3 4 6" xfId="26795" xr:uid="{F54F7FF7-C2AA-49D3-AA27-79B22F96FF85}"/>
    <cellStyle name="Normal 9 2 2 3 5" xfId="1813" xr:uid="{00000000-0005-0000-0000-0000A85A0000}"/>
    <cellStyle name="Normal 9 2 2 3 5 2" xfId="4043" xr:uid="{00000000-0005-0000-0000-0000A95A0000}"/>
    <cellStyle name="Normal 9 2 2 3 5 2 2" xfId="8266" xr:uid="{00000000-0005-0000-0000-0000AA5A0000}"/>
    <cellStyle name="Normal 9 2 2 3 5 2 2 2" xfId="25136" xr:uid="{00000000-0005-0000-0000-0000AB5A0000}"/>
    <cellStyle name="Normal 9 2 2 3 5 2 2 2 2" xfId="42004" xr:uid="{EA70F7A1-BDE9-4074-82A1-E4035A61CD92}"/>
    <cellStyle name="Normal 9 2 2 3 5 2 2 3" xfId="16701" xr:uid="{00000000-0005-0000-0000-0000AC5A0000}"/>
    <cellStyle name="Normal 9 2 2 3 5 2 2 4" xfId="33570" xr:uid="{E46A290D-9295-4A94-81DA-F3DA5F7890BF}"/>
    <cellStyle name="Normal 9 2 2 3 5 2 3" xfId="20918" xr:uid="{00000000-0005-0000-0000-0000AD5A0000}"/>
    <cellStyle name="Normal 9 2 2 3 5 2 3 2" xfId="37787" xr:uid="{6E965769-B914-4A0C-AEB2-281FC63E5F62}"/>
    <cellStyle name="Normal 9 2 2 3 5 2 4" xfId="12483" xr:uid="{00000000-0005-0000-0000-0000AE5A0000}"/>
    <cellStyle name="Normal 9 2 2 3 5 2 5" xfId="29353" xr:uid="{E22FB48F-1444-42DA-A500-179AAD101320}"/>
    <cellStyle name="Normal 9 2 2 3 5 3" xfId="6121" xr:uid="{00000000-0005-0000-0000-0000AF5A0000}"/>
    <cellStyle name="Normal 9 2 2 3 5 3 2" xfId="22991" xr:uid="{00000000-0005-0000-0000-0000B05A0000}"/>
    <cellStyle name="Normal 9 2 2 3 5 3 2 2" xfId="39859" xr:uid="{4A01DD94-C798-4F2B-92F9-1FAFD3307AC7}"/>
    <cellStyle name="Normal 9 2 2 3 5 3 3" xfId="14556" xr:uid="{00000000-0005-0000-0000-0000B15A0000}"/>
    <cellStyle name="Normal 9 2 2 3 5 3 4" xfId="31425" xr:uid="{F7ED79FE-C82D-47E3-9C17-F61D8DA56BC3}"/>
    <cellStyle name="Normal 9 2 2 3 5 4" xfId="18773" xr:uid="{00000000-0005-0000-0000-0000B25A0000}"/>
    <cellStyle name="Normal 9 2 2 3 5 4 2" xfId="35642" xr:uid="{3444A071-B159-4E11-8F4D-3E1A21474500}"/>
    <cellStyle name="Normal 9 2 2 3 5 5" xfId="10338" xr:uid="{00000000-0005-0000-0000-0000B35A0000}"/>
    <cellStyle name="Normal 9 2 2 3 5 6" xfId="27208" xr:uid="{B60B3189-1AF5-4DC6-977D-B9712D77FC5C}"/>
    <cellStyle name="Normal 9 2 2 3 6" xfId="2227" xr:uid="{00000000-0005-0000-0000-0000B45A0000}"/>
    <cellStyle name="Normal 9 2 2 3 6 2" xfId="4456" xr:uid="{00000000-0005-0000-0000-0000B55A0000}"/>
    <cellStyle name="Normal 9 2 2 3 6 2 2" xfId="8679" xr:uid="{00000000-0005-0000-0000-0000B65A0000}"/>
    <cellStyle name="Normal 9 2 2 3 6 2 2 2" xfId="25549" xr:uid="{00000000-0005-0000-0000-0000B75A0000}"/>
    <cellStyle name="Normal 9 2 2 3 6 2 2 2 2" xfId="42417" xr:uid="{6BE044CB-367B-4D17-A34E-EF3BBCC86E48}"/>
    <cellStyle name="Normal 9 2 2 3 6 2 2 3" xfId="17114" xr:uid="{00000000-0005-0000-0000-0000B85A0000}"/>
    <cellStyle name="Normal 9 2 2 3 6 2 2 4" xfId="33983" xr:uid="{22C801A4-8142-4C8A-B2D7-955C20A7EB20}"/>
    <cellStyle name="Normal 9 2 2 3 6 2 3" xfId="21331" xr:uid="{00000000-0005-0000-0000-0000B95A0000}"/>
    <cellStyle name="Normal 9 2 2 3 6 2 3 2" xfId="38200" xr:uid="{860092FF-D4CC-4606-BBBD-6CAC7DFBF3CE}"/>
    <cellStyle name="Normal 9 2 2 3 6 2 4" xfId="12896" xr:uid="{00000000-0005-0000-0000-0000BA5A0000}"/>
    <cellStyle name="Normal 9 2 2 3 6 2 5" xfId="29766" xr:uid="{92F96121-70C3-421E-8166-1070BAE44D4F}"/>
    <cellStyle name="Normal 9 2 2 3 6 3" xfId="6534" xr:uid="{00000000-0005-0000-0000-0000BB5A0000}"/>
    <cellStyle name="Normal 9 2 2 3 6 3 2" xfId="23404" xr:uid="{00000000-0005-0000-0000-0000BC5A0000}"/>
    <cellStyle name="Normal 9 2 2 3 6 3 2 2" xfId="40272" xr:uid="{3E4E149C-CE87-4F46-AFD9-A67035EF784E}"/>
    <cellStyle name="Normal 9 2 2 3 6 3 3" xfId="14969" xr:uid="{00000000-0005-0000-0000-0000BD5A0000}"/>
    <cellStyle name="Normal 9 2 2 3 6 3 4" xfId="31838" xr:uid="{7DB4E098-BBCB-4C76-AA0C-18D5DC9EC273}"/>
    <cellStyle name="Normal 9 2 2 3 6 4" xfId="19186" xr:uid="{00000000-0005-0000-0000-0000BE5A0000}"/>
    <cellStyle name="Normal 9 2 2 3 6 4 2" xfId="36055" xr:uid="{F87D2572-9FA5-40FD-9F9A-FCF46F9B1319}"/>
    <cellStyle name="Normal 9 2 2 3 6 5" xfId="10751" xr:uid="{00000000-0005-0000-0000-0000BF5A0000}"/>
    <cellStyle name="Normal 9 2 2 3 6 6" xfId="27621" xr:uid="{4DBF8199-D2C5-420C-A8B5-4EF3D749DEFA}"/>
    <cellStyle name="Normal 9 2 2 3 7" xfId="2663" xr:uid="{00000000-0005-0000-0000-0000C05A0000}"/>
    <cellStyle name="Normal 9 2 2 3 7 2" xfId="6947" xr:uid="{00000000-0005-0000-0000-0000C15A0000}"/>
    <cellStyle name="Normal 9 2 2 3 7 2 2" xfId="23817" xr:uid="{00000000-0005-0000-0000-0000C25A0000}"/>
    <cellStyle name="Normal 9 2 2 3 7 2 2 2" xfId="40685" xr:uid="{1B6FED54-7CE3-4522-9F4C-F19953F9FC64}"/>
    <cellStyle name="Normal 9 2 2 3 7 2 3" xfId="15382" xr:uid="{00000000-0005-0000-0000-0000C35A0000}"/>
    <cellStyle name="Normal 9 2 2 3 7 2 4" xfId="32251" xr:uid="{4E1D062D-E807-494D-8DCA-0732D16E9702}"/>
    <cellStyle name="Normal 9 2 2 3 7 3" xfId="19599" xr:uid="{00000000-0005-0000-0000-0000C45A0000}"/>
    <cellStyle name="Normal 9 2 2 3 7 3 2" xfId="36468" xr:uid="{6637E53D-4C42-46A6-88E1-B358A58ABC06}"/>
    <cellStyle name="Normal 9 2 2 3 7 4" xfId="11164" xr:uid="{00000000-0005-0000-0000-0000C55A0000}"/>
    <cellStyle name="Normal 9 2 2 3 7 5" xfId="28034" xr:uid="{971536D8-D632-44C0-8A7D-5CEDE2EAD3EC}"/>
    <cellStyle name="Normal 9 2 2 3 8" xfId="4882" xr:uid="{00000000-0005-0000-0000-0000C65A0000}"/>
    <cellStyle name="Normal 9 2 2 3 8 2" xfId="21752" xr:uid="{00000000-0005-0000-0000-0000C75A0000}"/>
    <cellStyle name="Normal 9 2 2 3 8 2 2" xfId="38620" xr:uid="{6E10551B-B484-48F9-98E5-A9618266F7A1}"/>
    <cellStyle name="Normal 9 2 2 3 8 3" xfId="13317" xr:uid="{00000000-0005-0000-0000-0000C85A0000}"/>
    <cellStyle name="Normal 9 2 2 3 8 4" xfId="30186" xr:uid="{F316B047-9A00-47FE-99E1-628CF4F90012}"/>
    <cellStyle name="Normal 9 2 2 3 9" xfId="17534" xr:uid="{00000000-0005-0000-0000-0000C95A0000}"/>
    <cellStyle name="Normal 9 2 2 3 9 2" xfId="34403" xr:uid="{CE775B10-C235-43BA-B6BD-57BB1B5BBC5C}"/>
    <cellStyle name="Normal 9 2 2 4" xfId="519" xr:uid="{00000000-0005-0000-0000-0000CA5A0000}"/>
    <cellStyle name="Normal 9 2 2 4 10" xfId="25971" xr:uid="{3A6A2C00-41DC-4891-BF6F-67467BCBCB01}"/>
    <cellStyle name="Normal 9 2 2 4 2" xfId="986" xr:uid="{00000000-0005-0000-0000-0000CB5A0000}"/>
    <cellStyle name="Normal 9 2 2 4 2 2" xfId="3219" xr:uid="{00000000-0005-0000-0000-0000CC5A0000}"/>
    <cellStyle name="Normal 9 2 2 4 2 2 2" xfId="7442" xr:uid="{00000000-0005-0000-0000-0000CD5A0000}"/>
    <cellStyle name="Normal 9 2 2 4 2 2 2 2" xfId="24312" xr:uid="{00000000-0005-0000-0000-0000CE5A0000}"/>
    <cellStyle name="Normal 9 2 2 4 2 2 2 2 2" xfId="41180" xr:uid="{23C24A8A-B62C-4E5A-9DFB-AB2D8796D580}"/>
    <cellStyle name="Normal 9 2 2 4 2 2 2 3" xfId="15877" xr:uid="{00000000-0005-0000-0000-0000CF5A0000}"/>
    <cellStyle name="Normal 9 2 2 4 2 2 2 4" xfId="32746" xr:uid="{07B692B9-48AF-4E92-8749-09EF1CF5D413}"/>
    <cellStyle name="Normal 9 2 2 4 2 2 3" xfId="20094" xr:uid="{00000000-0005-0000-0000-0000D05A0000}"/>
    <cellStyle name="Normal 9 2 2 4 2 2 3 2" xfId="36963" xr:uid="{0F3B6B7D-AAA7-42D2-8CBE-43F2E63F23DC}"/>
    <cellStyle name="Normal 9 2 2 4 2 2 4" xfId="11659" xr:uid="{00000000-0005-0000-0000-0000D15A0000}"/>
    <cellStyle name="Normal 9 2 2 4 2 2 5" xfId="28529" xr:uid="{AAC83CD2-8723-44EA-8308-15A9B50BD869}"/>
    <cellStyle name="Normal 9 2 2 4 2 3" xfId="5297" xr:uid="{00000000-0005-0000-0000-0000D25A0000}"/>
    <cellStyle name="Normal 9 2 2 4 2 3 2" xfId="22167" xr:uid="{00000000-0005-0000-0000-0000D35A0000}"/>
    <cellStyle name="Normal 9 2 2 4 2 3 2 2" xfId="39035" xr:uid="{70102ABA-52E2-458C-AD15-C61D349DE061}"/>
    <cellStyle name="Normal 9 2 2 4 2 3 3" xfId="13732" xr:uid="{00000000-0005-0000-0000-0000D45A0000}"/>
    <cellStyle name="Normal 9 2 2 4 2 3 4" xfId="30601" xr:uid="{0D5613BA-22FC-4AA5-B0A7-C1636B2DE3DF}"/>
    <cellStyle name="Normal 9 2 2 4 2 4" xfId="17949" xr:uid="{00000000-0005-0000-0000-0000D55A0000}"/>
    <cellStyle name="Normal 9 2 2 4 2 4 2" xfId="34818" xr:uid="{DAF6964B-4084-4810-BF0B-993CA5A9C2CB}"/>
    <cellStyle name="Normal 9 2 2 4 2 5" xfId="9514" xr:uid="{00000000-0005-0000-0000-0000D65A0000}"/>
    <cellStyle name="Normal 9 2 2 4 2 6" xfId="26384" xr:uid="{DC6D72A1-10D0-4FDB-B18B-398416C0E2BF}"/>
    <cellStyle name="Normal 9 2 2 4 3" xfId="1402" xr:uid="{00000000-0005-0000-0000-0000D75A0000}"/>
    <cellStyle name="Normal 9 2 2 4 3 2" xfId="3632" xr:uid="{00000000-0005-0000-0000-0000D85A0000}"/>
    <cellStyle name="Normal 9 2 2 4 3 2 2" xfId="7855" xr:uid="{00000000-0005-0000-0000-0000D95A0000}"/>
    <cellStyle name="Normal 9 2 2 4 3 2 2 2" xfId="24725" xr:uid="{00000000-0005-0000-0000-0000DA5A0000}"/>
    <cellStyle name="Normal 9 2 2 4 3 2 2 2 2" xfId="41593" xr:uid="{3717CDE6-CE12-47D1-8D2B-F604EA8AAFDE}"/>
    <cellStyle name="Normal 9 2 2 4 3 2 2 3" xfId="16290" xr:uid="{00000000-0005-0000-0000-0000DB5A0000}"/>
    <cellStyle name="Normal 9 2 2 4 3 2 2 4" xfId="33159" xr:uid="{F7A765F9-F7C6-40E2-9A33-B1CBA4661ECF}"/>
    <cellStyle name="Normal 9 2 2 4 3 2 3" xfId="20507" xr:uid="{00000000-0005-0000-0000-0000DC5A0000}"/>
    <cellStyle name="Normal 9 2 2 4 3 2 3 2" xfId="37376" xr:uid="{1FA51B05-B584-4E71-AF53-E0B86E6ACF6A}"/>
    <cellStyle name="Normal 9 2 2 4 3 2 4" xfId="12072" xr:uid="{00000000-0005-0000-0000-0000DD5A0000}"/>
    <cellStyle name="Normal 9 2 2 4 3 2 5" xfId="28942" xr:uid="{6FF8DBEB-AA62-4830-A948-B51206879F14}"/>
    <cellStyle name="Normal 9 2 2 4 3 3" xfId="5710" xr:uid="{00000000-0005-0000-0000-0000DE5A0000}"/>
    <cellStyle name="Normal 9 2 2 4 3 3 2" xfId="22580" xr:uid="{00000000-0005-0000-0000-0000DF5A0000}"/>
    <cellStyle name="Normal 9 2 2 4 3 3 2 2" xfId="39448" xr:uid="{6C1CBBC6-64A7-4D2E-855A-E5338FD35F2E}"/>
    <cellStyle name="Normal 9 2 2 4 3 3 3" xfId="14145" xr:uid="{00000000-0005-0000-0000-0000E05A0000}"/>
    <cellStyle name="Normal 9 2 2 4 3 3 4" xfId="31014" xr:uid="{3F1F125A-2D34-4AFF-A98A-25A4C07199D6}"/>
    <cellStyle name="Normal 9 2 2 4 3 4" xfId="18362" xr:uid="{00000000-0005-0000-0000-0000E15A0000}"/>
    <cellStyle name="Normal 9 2 2 4 3 4 2" xfId="35231" xr:uid="{14CBEB5A-ABDB-44EC-B412-3FA2903DD1A8}"/>
    <cellStyle name="Normal 9 2 2 4 3 5" xfId="9927" xr:uid="{00000000-0005-0000-0000-0000E25A0000}"/>
    <cellStyle name="Normal 9 2 2 4 3 6" xfId="26797" xr:uid="{76E955A6-2F05-44AF-971E-109399FDC95F}"/>
    <cellStyle name="Normal 9 2 2 4 4" xfId="1815" xr:uid="{00000000-0005-0000-0000-0000E35A0000}"/>
    <cellStyle name="Normal 9 2 2 4 4 2" xfId="4045" xr:uid="{00000000-0005-0000-0000-0000E45A0000}"/>
    <cellStyle name="Normal 9 2 2 4 4 2 2" xfId="8268" xr:uid="{00000000-0005-0000-0000-0000E55A0000}"/>
    <cellStyle name="Normal 9 2 2 4 4 2 2 2" xfId="25138" xr:uid="{00000000-0005-0000-0000-0000E65A0000}"/>
    <cellStyle name="Normal 9 2 2 4 4 2 2 2 2" xfId="42006" xr:uid="{DB6AE598-E177-4089-806E-509CF4800DE7}"/>
    <cellStyle name="Normal 9 2 2 4 4 2 2 3" xfId="16703" xr:uid="{00000000-0005-0000-0000-0000E75A0000}"/>
    <cellStyle name="Normal 9 2 2 4 4 2 2 4" xfId="33572" xr:uid="{B89B8749-39DD-48D9-95B7-5B809BFA2EEE}"/>
    <cellStyle name="Normal 9 2 2 4 4 2 3" xfId="20920" xr:uid="{00000000-0005-0000-0000-0000E85A0000}"/>
    <cellStyle name="Normal 9 2 2 4 4 2 3 2" xfId="37789" xr:uid="{D171F8E7-1E3E-4A22-B130-C5A933A40FFF}"/>
    <cellStyle name="Normal 9 2 2 4 4 2 4" xfId="12485" xr:uid="{00000000-0005-0000-0000-0000E95A0000}"/>
    <cellStyle name="Normal 9 2 2 4 4 2 5" xfId="29355" xr:uid="{1CA6BE45-8F2C-4750-8618-A08FBD64CCE4}"/>
    <cellStyle name="Normal 9 2 2 4 4 3" xfId="6123" xr:uid="{00000000-0005-0000-0000-0000EA5A0000}"/>
    <cellStyle name="Normal 9 2 2 4 4 3 2" xfId="22993" xr:uid="{00000000-0005-0000-0000-0000EB5A0000}"/>
    <cellStyle name="Normal 9 2 2 4 4 3 2 2" xfId="39861" xr:uid="{ECFC70E5-8533-4E7E-9D85-19E6718F92DE}"/>
    <cellStyle name="Normal 9 2 2 4 4 3 3" xfId="14558" xr:uid="{00000000-0005-0000-0000-0000EC5A0000}"/>
    <cellStyle name="Normal 9 2 2 4 4 3 4" xfId="31427" xr:uid="{CF4F2094-795C-40EF-8FFC-835298A18702}"/>
    <cellStyle name="Normal 9 2 2 4 4 4" xfId="18775" xr:uid="{00000000-0005-0000-0000-0000ED5A0000}"/>
    <cellStyle name="Normal 9 2 2 4 4 4 2" xfId="35644" xr:uid="{AC9BAFF3-0D1B-4C5A-89AF-42F197395652}"/>
    <cellStyle name="Normal 9 2 2 4 4 5" xfId="10340" xr:uid="{00000000-0005-0000-0000-0000EE5A0000}"/>
    <cellStyle name="Normal 9 2 2 4 4 6" xfId="27210" xr:uid="{A73EF97D-79A9-4756-8FD4-A3D7A5A5DA0E}"/>
    <cellStyle name="Normal 9 2 2 4 5" xfId="2229" xr:uid="{00000000-0005-0000-0000-0000EF5A0000}"/>
    <cellStyle name="Normal 9 2 2 4 5 2" xfId="4458" xr:uid="{00000000-0005-0000-0000-0000F05A0000}"/>
    <cellStyle name="Normal 9 2 2 4 5 2 2" xfId="8681" xr:uid="{00000000-0005-0000-0000-0000F15A0000}"/>
    <cellStyle name="Normal 9 2 2 4 5 2 2 2" xfId="25551" xr:uid="{00000000-0005-0000-0000-0000F25A0000}"/>
    <cellStyle name="Normal 9 2 2 4 5 2 2 2 2" xfId="42419" xr:uid="{47C6D94C-6E35-4748-91D4-72DD62916B7E}"/>
    <cellStyle name="Normal 9 2 2 4 5 2 2 3" xfId="17116" xr:uid="{00000000-0005-0000-0000-0000F35A0000}"/>
    <cellStyle name="Normal 9 2 2 4 5 2 2 4" xfId="33985" xr:uid="{C6588842-337D-4917-87BE-423FAD7F5950}"/>
    <cellStyle name="Normal 9 2 2 4 5 2 3" xfId="21333" xr:uid="{00000000-0005-0000-0000-0000F45A0000}"/>
    <cellStyle name="Normal 9 2 2 4 5 2 3 2" xfId="38202" xr:uid="{42228D2A-546A-43DB-87F4-9EE51E67947E}"/>
    <cellStyle name="Normal 9 2 2 4 5 2 4" xfId="12898" xr:uid="{00000000-0005-0000-0000-0000F55A0000}"/>
    <cellStyle name="Normal 9 2 2 4 5 2 5" xfId="29768" xr:uid="{301A09D5-844E-4D6E-8B51-AD76C308AA88}"/>
    <cellStyle name="Normal 9 2 2 4 5 3" xfId="6536" xr:uid="{00000000-0005-0000-0000-0000F65A0000}"/>
    <cellStyle name="Normal 9 2 2 4 5 3 2" xfId="23406" xr:uid="{00000000-0005-0000-0000-0000F75A0000}"/>
    <cellStyle name="Normal 9 2 2 4 5 3 2 2" xfId="40274" xr:uid="{D2AC97BD-E064-42D3-9045-24389BBEC33D}"/>
    <cellStyle name="Normal 9 2 2 4 5 3 3" xfId="14971" xr:uid="{00000000-0005-0000-0000-0000F85A0000}"/>
    <cellStyle name="Normal 9 2 2 4 5 3 4" xfId="31840" xr:uid="{37E24BEE-CCEF-4128-A738-D40EFA876D31}"/>
    <cellStyle name="Normal 9 2 2 4 5 4" xfId="19188" xr:uid="{00000000-0005-0000-0000-0000F95A0000}"/>
    <cellStyle name="Normal 9 2 2 4 5 4 2" xfId="36057" xr:uid="{DD818123-B5E7-41E1-A8B2-7E8564F50D4F}"/>
    <cellStyle name="Normal 9 2 2 4 5 5" xfId="10753" xr:uid="{00000000-0005-0000-0000-0000FA5A0000}"/>
    <cellStyle name="Normal 9 2 2 4 5 6" xfId="27623" xr:uid="{465426D1-C4C2-443C-A396-363392F23F6C}"/>
    <cellStyle name="Normal 9 2 2 4 6" xfId="2665" xr:uid="{00000000-0005-0000-0000-0000FB5A0000}"/>
    <cellStyle name="Normal 9 2 2 4 6 2" xfId="6949" xr:uid="{00000000-0005-0000-0000-0000FC5A0000}"/>
    <cellStyle name="Normal 9 2 2 4 6 2 2" xfId="23819" xr:uid="{00000000-0005-0000-0000-0000FD5A0000}"/>
    <cellStyle name="Normal 9 2 2 4 6 2 2 2" xfId="40687" xr:uid="{87D405BF-9A35-4443-B1E8-805CE29DB489}"/>
    <cellStyle name="Normal 9 2 2 4 6 2 3" xfId="15384" xr:uid="{00000000-0005-0000-0000-0000FE5A0000}"/>
    <cellStyle name="Normal 9 2 2 4 6 2 4" xfId="32253" xr:uid="{1D030228-9860-4CF6-A892-F3AEDF09148C}"/>
    <cellStyle name="Normal 9 2 2 4 6 3" xfId="19601" xr:uid="{00000000-0005-0000-0000-0000FF5A0000}"/>
    <cellStyle name="Normal 9 2 2 4 6 3 2" xfId="36470" xr:uid="{C2B919A0-2E5C-4BBD-B10D-592FB6D551AD}"/>
    <cellStyle name="Normal 9 2 2 4 6 4" xfId="11166" xr:uid="{00000000-0005-0000-0000-0000005B0000}"/>
    <cellStyle name="Normal 9 2 2 4 6 5" xfId="28036" xr:uid="{FEB0FEDA-18DB-48F1-A1C8-7EADB76DC1C4}"/>
    <cellStyle name="Normal 9 2 2 4 7" xfId="4884" xr:uid="{00000000-0005-0000-0000-0000015B0000}"/>
    <cellStyle name="Normal 9 2 2 4 7 2" xfId="21754" xr:uid="{00000000-0005-0000-0000-0000025B0000}"/>
    <cellStyle name="Normal 9 2 2 4 7 2 2" xfId="38622" xr:uid="{74370E0F-6494-4942-BB43-3977CE8730CE}"/>
    <cellStyle name="Normal 9 2 2 4 7 3" xfId="13319" xr:uid="{00000000-0005-0000-0000-0000035B0000}"/>
    <cellStyle name="Normal 9 2 2 4 7 4" xfId="30188" xr:uid="{EDB42739-988F-4D38-9C3D-3EDBDE7287F9}"/>
    <cellStyle name="Normal 9 2 2 4 8" xfId="17536" xr:uid="{00000000-0005-0000-0000-0000045B0000}"/>
    <cellStyle name="Normal 9 2 2 4 8 2" xfId="34405" xr:uid="{6E6E4A06-DC78-4EB8-BCA2-410435EEC471}"/>
    <cellStyle name="Normal 9 2 2 4 9" xfId="9101" xr:uid="{00000000-0005-0000-0000-0000055B0000}"/>
    <cellStyle name="Normal 9 2 2 5" xfId="979" xr:uid="{00000000-0005-0000-0000-0000065B0000}"/>
    <cellStyle name="Normal 9 2 2 5 2" xfId="3212" xr:uid="{00000000-0005-0000-0000-0000075B0000}"/>
    <cellStyle name="Normal 9 2 2 5 2 2" xfId="7435" xr:uid="{00000000-0005-0000-0000-0000085B0000}"/>
    <cellStyle name="Normal 9 2 2 5 2 2 2" xfId="24305" xr:uid="{00000000-0005-0000-0000-0000095B0000}"/>
    <cellStyle name="Normal 9 2 2 5 2 2 2 2" xfId="41173" xr:uid="{23D8F886-BF26-4FC7-B46E-5C62BC585A52}"/>
    <cellStyle name="Normal 9 2 2 5 2 2 3" xfId="15870" xr:uid="{00000000-0005-0000-0000-00000A5B0000}"/>
    <cellStyle name="Normal 9 2 2 5 2 2 4" xfId="32739" xr:uid="{41E0D1DE-9FC5-48EE-A228-987EE91A9E0F}"/>
    <cellStyle name="Normal 9 2 2 5 2 3" xfId="20087" xr:uid="{00000000-0005-0000-0000-00000B5B0000}"/>
    <cellStyle name="Normal 9 2 2 5 2 3 2" xfId="36956" xr:uid="{D099533A-3856-4642-A309-C656EDB7424C}"/>
    <cellStyle name="Normal 9 2 2 5 2 4" xfId="11652" xr:uid="{00000000-0005-0000-0000-00000C5B0000}"/>
    <cellStyle name="Normal 9 2 2 5 2 5" xfId="28522" xr:uid="{B8A1C56D-62AB-494B-ADD6-16E5409D488B}"/>
    <cellStyle name="Normal 9 2 2 5 3" xfId="5290" xr:uid="{00000000-0005-0000-0000-00000D5B0000}"/>
    <cellStyle name="Normal 9 2 2 5 3 2" xfId="22160" xr:uid="{00000000-0005-0000-0000-00000E5B0000}"/>
    <cellStyle name="Normal 9 2 2 5 3 2 2" xfId="39028" xr:uid="{3FDD6953-D271-489B-B5EF-DA350A52EF96}"/>
    <cellStyle name="Normal 9 2 2 5 3 3" xfId="13725" xr:uid="{00000000-0005-0000-0000-00000F5B0000}"/>
    <cellStyle name="Normal 9 2 2 5 3 4" xfId="30594" xr:uid="{BC41D2FF-CC30-4CC1-A40A-CE8F348D3053}"/>
    <cellStyle name="Normal 9 2 2 5 4" xfId="17942" xr:uid="{00000000-0005-0000-0000-0000105B0000}"/>
    <cellStyle name="Normal 9 2 2 5 4 2" xfId="34811" xr:uid="{7F5D77EC-75C7-4B3B-AF4B-533DF2DBDE84}"/>
    <cellStyle name="Normal 9 2 2 5 5" xfId="9507" xr:uid="{00000000-0005-0000-0000-0000115B0000}"/>
    <cellStyle name="Normal 9 2 2 5 6" xfId="26377" xr:uid="{92C331D0-B7E7-4E0C-9D9C-4948E607BBF0}"/>
    <cellStyle name="Normal 9 2 2 6" xfId="1395" xr:uid="{00000000-0005-0000-0000-0000125B0000}"/>
    <cellStyle name="Normal 9 2 2 6 2" xfId="3625" xr:uid="{00000000-0005-0000-0000-0000135B0000}"/>
    <cellStyle name="Normal 9 2 2 6 2 2" xfId="7848" xr:uid="{00000000-0005-0000-0000-0000145B0000}"/>
    <cellStyle name="Normal 9 2 2 6 2 2 2" xfId="24718" xr:uid="{00000000-0005-0000-0000-0000155B0000}"/>
    <cellStyle name="Normal 9 2 2 6 2 2 2 2" xfId="41586" xr:uid="{67F5001C-1E56-4722-9AA4-6D7C7F34DF78}"/>
    <cellStyle name="Normal 9 2 2 6 2 2 3" xfId="16283" xr:uid="{00000000-0005-0000-0000-0000165B0000}"/>
    <cellStyle name="Normal 9 2 2 6 2 2 4" xfId="33152" xr:uid="{58C91BAE-E63D-4307-8BFC-34963B5C496C}"/>
    <cellStyle name="Normal 9 2 2 6 2 3" xfId="20500" xr:uid="{00000000-0005-0000-0000-0000175B0000}"/>
    <cellStyle name="Normal 9 2 2 6 2 3 2" xfId="37369" xr:uid="{9341796C-7680-4D92-AEFF-5558BC1DAD05}"/>
    <cellStyle name="Normal 9 2 2 6 2 4" xfId="12065" xr:uid="{00000000-0005-0000-0000-0000185B0000}"/>
    <cellStyle name="Normal 9 2 2 6 2 5" xfId="28935" xr:uid="{5BC8C989-680C-46F1-B616-FB6AE9D6E63F}"/>
    <cellStyle name="Normal 9 2 2 6 3" xfId="5703" xr:uid="{00000000-0005-0000-0000-0000195B0000}"/>
    <cellStyle name="Normal 9 2 2 6 3 2" xfId="22573" xr:uid="{00000000-0005-0000-0000-00001A5B0000}"/>
    <cellStyle name="Normal 9 2 2 6 3 2 2" xfId="39441" xr:uid="{B49AF38E-AFDE-4942-954D-711388BEFA69}"/>
    <cellStyle name="Normal 9 2 2 6 3 3" xfId="14138" xr:uid="{00000000-0005-0000-0000-00001B5B0000}"/>
    <cellStyle name="Normal 9 2 2 6 3 4" xfId="31007" xr:uid="{9A754172-2B9D-4804-A7F8-B36A8F285856}"/>
    <cellStyle name="Normal 9 2 2 6 4" xfId="18355" xr:uid="{00000000-0005-0000-0000-00001C5B0000}"/>
    <cellStyle name="Normal 9 2 2 6 4 2" xfId="35224" xr:uid="{37090448-2406-4498-B1E5-BA0D3AC10225}"/>
    <cellStyle name="Normal 9 2 2 6 5" xfId="9920" xr:uid="{00000000-0005-0000-0000-00001D5B0000}"/>
    <cellStyle name="Normal 9 2 2 6 6" xfId="26790" xr:uid="{C4C00B85-3021-41D1-8BD5-4C006EE1E637}"/>
    <cellStyle name="Normal 9 2 2 7" xfId="1808" xr:uid="{00000000-0005-0000-0000-00001E5B0000}"/>
    <cellStyle name="Normal 9 2 2 7 2" xfId="4038" xr:uid="{00000000-0005-0000-0000-00001F5B0000}"/>
    <cellStyle name="Normal 9 2 2 7 2 2" xfId="8261" xr:uid="{00000000-0005-0000-0000-0000205B0000}"/>
    <cellStyle name="Normal 9 2 2 7 2 2 2" xfId="25131" xr:uid="{00000000-0005-0000-0000-0000215B0000}"/>
    <cellStyle name="Normal 9 2 2 7 2 2 2 2" xfId="41999" xr:uid="{AE3698E6-E43F-4EA6-A19F-95AC0169A395}"/>
    <cellStyle name="Normal 9 2 2 7 2 2 3" xfId="16696" xr:uid="{00000000-0005-0000-0000-0000225B0000}"/>
    <cellStyle name="Normal 9 2 2 7 2 2 4" xfId="33565" xr:uid="{0881FDD0-481D-4F3D-822A-2EAC919037C6}"/>
    <cellStyle name="Normal 9 2 2 7 2 3" xfId="20913" xr:uid="{00000000-0005-0000-0000-0000235B0000}"/>
    <cellStyle name="Normal 9 2 2 7 2 3 2" xfId="37782" xr:uid="{339D6AB9-88B0-489D-963C-A012B2C5B9A2}"/>
    <cellStyle name="Normal 9 2 2 7 2 4" xfId="12478" xr:uid="{00000000-0005-0000-0000-0000245B0000}"/>
    <cellStyle name="Normal 9 2 2 7 2 5" xfId="29348" xr:uid="{0A9C1CF9-50D1-4013-B488-B9C737BA3751}"/>
    <cellStyle name="Normal 9 2 2 7 3" xfId="6116" xr:uid="{00000000-0005-0000-0000-0000255B0000}"/>
    <cellStyle name="Normal 9 2 2 7 3 2" xfId="22986" xr:uid="{00000000-0005-0000-0000-0000265B0000}"/>
    <cellStyle name="Normal 9 2 2 7 3 2 2" xfId="39854" xr:uid="{04CB7198-A6CE-47BF-8DB2-04D326AB00BB}"/>
    <cellStyle name="Normal 9 2 2 7 3 3" xfId="14551" xr:uid="{00000000-0005-0000-0000-0000275B0000}"/>
    <cellStyle name="Normal 9 2 2 7 3 4" xfId="31420" xr:uid="{B1CD29C3-9F0A-46AD-84A9-FFCC3B93CABC}"/>
    <cellStyle name="Normal 9 2 2 7 4" xfId="18768" xr:uid="{00000000-0005-0000-0000-0000285B0000}"/>
    <cellStyle name="Normal 9 2 2 7 4 2" xfId="35637" xr:uid="{ED723AE8-917E-431C-BFD8-5167E7476E6E}"/>
    <cellStyle name="Normal 9 2 2 7 5" xfId="10333" xr:uid="{00000000-0005-0000-0000-0000295B0000}"/>
    <cellStyle name="Normal 9 2 2 7 6" xfId="27203" xr:uid="{9B95844A-964D-4C6F-A5C9-4CCBEE4D135F}"/>
    <cellStyle name="Normal 9 2 2 8" xfId="2222" xr:uid="{00000000-0005-0000-0000-00002A5B0000}"/>
    <cellStyle name="Normal 9 2 2 8 2" xfId="4451" xr:uid="{00000000-0005-0000-0000-00002B5B0000}"/>
    <cellStyle name="Normal 9 2 2 8 2 2" xfId="8674" xr:uid="{00000000-0005-0000-0000-00002C5B0000}"/>
    <cellStyle name="Normal 9 2 2 8 2 2 2" xfId="25544" xr:uid="{00000000-0005-0000-0000-00002D5B0000}"/>
    <cellStyle name="Normal 9 2 2 8 2 2 2 2" xfId="42412" xr:uid="{38CB25C8-614F-4229-B840-06FBB0E92038}"/>
    <cellStyle name="Normal 9 2 2 8 2 2 3" xfId="17109" xr:uid="{00000000-0005-0000-0000-00002E5B0000}"/>
    <cellStyle name="Normal 9 2 2 8 2 2 4" xfId="33978" xr:uid="{73046F61-5193-45B3-99BD-5232C58CE73D}"/>
    <cellStyle name="Normal 9 2 2 8 2 3" xfId="21326" xr:uid="{00000000-0005-0000-0000-00002F5B0000}"/>
    <cellStyle name="Normal 9 2 2 8 2 3 2" xfId="38195" xr:uid="{FF6C202C-ECD9-4E3B-A183-3600D6B662EF}"/>
    <cellStyle name="Normal 9 2 2 8 2 4" xfId="12891" xr:uid="{00000000-0005-0000-0000-0000305B0000}"/>
    <cellStyle name="Normal 9 2 2 8 2 5" xfId="29761" xr:uid="{A3A55D25-AA72-46B2-9C4F-9E4B59357603}"/>
    <cellStyle name="Normal 9 2 2 8 3" xfId="6529" xr:uid="{00000000-0005-0000-0000-0000315B0000}"/>
    <cellStyle name="Normal 9 2 2 8 3 2" xfId="23399" xr:uid="{00000000-0005-0000-0000-0000325B0000}"/>
    <cellStyle name="Normal 9 2 2 8 3 2 2" xfId="40267" xr:uid="{83D014B1-4B86-454D-9BC9-29E8E9E27973}"/>
    <cellStyle name="Normal 9 2 2 8 3 3" xfId="14964" xr:uid="{00000000-0005-0000-0000-0000335B0000}"/>
    <cellStyle name="Normal 9 2 2 8 3 4" xfId="31833" xr:uid="{532BD482-9196-497A-9775-217D1CD8EA54}"/>
    <cellStyle name="Normal 9 2 2 8 4" xfId="19181" xr:uid="{00000000-0005-0000-0000-0000345B0000}"/>
    <cellStyle name="Normal 9 2 2 8 4 2" xfId="36050" xr:uid="{62E67A35-10F8-4871-80B9-78F0C1053A0A}"/>
    <cellStyle name="Normal 9 2 2 8 5" xfId="10746" xr:uid="{00000000-0005-0000-0000-0000355B0000}"/>
    <cellStyle name="Normal 9 2 2 8 6" xfId="27616" xr:uid="{8D014B6F-989B-4AA0-A979-7112371D154D}"/>
    <cellStyle name="Normal 9 2 2 9" xfId="2658" xr:uid="{00000000-0005-0000-0000-0000365B0000}"/>
    <cellStyle name="Normal 9 2 2 9 2" xfId="6942" xr:uid="{00000000-0005-0000-0000-0000375B0000}"/>
    <cellStyle name="Normal 9 2 2 9 2 2" xfId="23812" xr:uid="{00000000-0005-0000-0000-0000385B0000}"/>
    <cellStyle name="Normal 9 2 2 9 2 2 2" xfId="40680" xr:uid="{65EAE20D-5B0E-4262-ACBD-3527C5CCC3AD}"/>
    <cellStyle name="Normal 9 2 2 9 2 3" xfId="15377" xr:uid="{00000000-0005-0000-0000-0000395B0000}"/>
    <cellStyle name="Normal 9 2 2 9 2 4" xfId="32246" xr:uid="{A2E2374D-F792-4DEA-A2BC-4977DB239943}"/>
    <cellStyle name="Normal 9 2 2 9 3" xfId="19594" xr:uid="{00000000-0005-0000-0000-00003A5B0000}"/>
    <cellStyle name="Normal 9 2 2 9 3 2" xfId="36463" xr:uid="{AACB5D72-E5FE-48B0-8BCA-E9D924A45669}"/>
    <cellStyle name="Normal 9 2 2 9 4" xfId="11159" xr:uid="{00000000-0005-0000-0000-00003B5B0000}"/>
    <cellStyle name="Normal 9 2 2 9 5" xfId="28029" xr:uid="{57F454FE-B726-4429-97DB-2F7716A333CE}"/>
    <cellStyle name="Normal 9 2 3" xfId="520" xr:uid="{00000000-0005-0000-0000-00003C5B0000}"/>
    <cellStyle name="Normal 9 2 3 10" xfId="17537" xr:uid="{00000000-0005-0000-0000-00003D5B0000}"/>
    <cellStyle name="Normal 9 2 3 10 2" xfId="34406" xr:uid="{88611860-6AFD-4E68-A2D1-6A1BB4DBC93D}"/>
    <cellStyle name="Normal 9 2 3 11" xfId="9102" xr:uid="{00000000-0005-0000-0000-00003E5B0000}"/>
    <cellStyle name="Normal 9 2 3 12" xfId="25972" xr:uid="{D82447FE-AFAD-4B09-90E7-89B6D3BDB3A1}"/>
    <cellStyle name="Normal 9 2 3 2" xfId="521" xr:uid="{00000000-0005-0000-0000-00003F5B0000}"/>
    <cellStyle name="Normal 9 2 3 2 10" xfId="9103" xr:uid="{00000000-0005-0000-0000-0000405B0000}"/>
    <cellStyle name="Normal 9 2 3 2 11" xfId="25973" xr:uid="{70DBFF4B-B84E-4C86-AAA6-6748BFAE1759}"/>
    <cellStyle name="Normal 9 2 3 2 2" xfId="522" xr:uid="{00000000-0005-0000-0000-0000415B0000}"/>
    <cellStyle name="Normal 9 2 3 2 2 10" xfId="25974" xr:uid="{EB28DE1A-431C-401D-986C-75543E5D72B5}"/>
    <cellStyle name="Normal 9 2 3 2 2 2" xfId="989" xr:uid="{00000000-0005-0000-0000-0000425B0000}"/>
    <cellStyle name="Normal 9 2 3 2 2 2 2" xfId="3222" xr:uid="{00000000-0005-0000-0000-0000435B0000}"/>
    <cellStyle name="Normal 9 2 3 2 2 2 2 2" xfId="7445" xr:uid="{00000000-0005-0000-0000-0000445B0000}"/>
    <cellStyle name="Normal 9 2 3 2 2 2 2 2 2" xfId="24315" xr:uid="{00000000-0005-0000-0000-0000455B0000}"/>
    <cellStyle name="Normal 9 2 3 2 2 2 2 2 2 2" xfId="41183" xr:uid="{B7B13317-411F-4D1C-A459-1DCC813B7300}"/>
    <cellStyle name="Normal 9 2 3 2 2 2 2 2 3" xfId="15880" xr:uid="{00000000-0005-0000-0000-0000465B0000}"/>
    <cellStyle name="Normal 9 2 3 2 2 2 2 2 4" xfId="32749" xr:uid="{19C1B3A0-E0B4-48E9-A02C-CDB9A7253D46}"/>
    <cellStyle name="Normal 9 2 3 2 2 2 2 3" xfId="20097" xr:uid="{00000000-0005-0000-0000-0000475B0000}"/>
    <cellStyle name="Normal 9 2 3 2 2 2 2 3 2" xfId="36966" xr:uid="{E22BF370-C2B0-4495-8F8D-84EDED20C5F2}"/>
    <cellStyle name="Normal 9 2 3 2 2 2 2 4" xfId="11662" xr:uid="{00000000-0005-0000-0000-0000485B0000}"/>
    <cellStyle name="Normal 9 2 3 2 2 2 2 5" xfId="28532" xr:uid="{8823AD4C-1A98-435D-8FE2-B8507EEDC37A}"/>
    <cellStyle name="Normal 9 2 3 2 2 2 3" xfId="5300" xr:uid="{00000000-0005-0000-0000-0000495B0000}"/>
    <cellStyle name="Normal 9 2 3 2 2 2 3 2" xfId="22170" xr:uid="{00000000-0005-0000-0000-00004A5B0000}"/>
    <cellStyle name="Normal 9 2 3 2 2 2 3 2 2" xfId="39038" xr:uid="{43A2C171-CBCC-4944-9296-4238EA18F25D}"/>
    <cellStyle name="Normal 9 2 3 2 2 2 3 3" xfId="13735" xr:uid="{00000000-0005-0000-0000-00004B5B0000}"/>
    <cellStyle name="Normal 9 2 3 2 2 2 3 4" xfId="30604" xr:uid="{BC6CA542-0105-4633-8D20-E95F023C1B4F}"/>
    <cellStyle name="Normal 9 2 3 2 2 2 4" xfId="17952" xr:uid="{00000000-0005-0000-0000-00004C5B0000}"/>
    <cellStyle name="Normal 9 2 3 2 2 2 4 2" xfId="34821" xr:uid="{E94E8B85-39C7-46AB-8AB4-D6796EB9A5B0}"/>
    <cellStyle name="Normal 9 2 3 2 2 2 5" xfId="9517" xr:uid="{00000000-0005-0000-0000-00004D5B0000}"/>
    <cellStyle name="Normal 9 2 3 2 2 2 6" xfId="26387" xr:uid="{97D3D614-5CD0-49D8-A687-2FF2895817A9}"/>
    <cellStyle name="Normal 9 2 3 2 2 3" xfId="1405" xr:uid="{00000000-0005-0000-0000-00004E5B0000}"/>
    <cellStyle name="Normal 9 2 3 2 2 3 2" xfId="3635" xr:uid="{00000000-0005-0000-0000-00004F5B0000}"/>
    <cellStyle name="Normal 9 2 3 2 2 3 2 2" xfId="7858" xr:uid="{00000000-0005-0000-0000-0000505B0000}"/>
    <cellStyle name="Normal 9 2 3 2 2 3 2 2 2" xfId="24728" xr:uid="{00000000-0005-0000-0000-0000515B0000}"/>
    <cellStyle name="Normal 9 2 3 2 2 3 2 2 2 2" xfId="41596" xr:uid="{A32C4509-868A-4189-93C4-A427C8012290}"/>
    <cellStyle name="Normal 9 2 3 2 2 3 2 2 3" xfId="16293" xr:uid="{00000000-0005-0000-0000-0000525B0000}"/>
    <cellStyle name="Normal 9 2 3 2 2 3 2 2 4" xfId="33162" xr:uid="{1777F359-6B77-4CB0-856A-E0912FF26305}"/>
    <cellStyle name="Normal 9 2 3 2 2 3 2 3" xfId="20510" xr:uid="{00000000-0005-0000-0000-0000535B0000}"/>
    <cellStyle name="Normal 9 2 3 2 2 3 2 3 2" xfId="37379" xr:uid="{D563B8DC-AE46-4F58-B6F1-5469233EC3EE}"/>
    <cellStyle name="Normal 9 2 3 2 2 3 2 4" xfId="12075" xr:uid="{00000000-0005-0000-0000-0000545B0000}"/>
    <cellStyle name="Normal 9 2 3 2 2 3 2 5" xfId="28945" xr:uid="{D668CABC-3EBA-47A8-8F69-042200D833F0}"/>
    <cellStyle name="Normal 9 2 3 2 2 3 3" xfId="5713" xr:uid="{00000000-0005-0000-0000-0000555B0000}"/>
    <cellStyle name="Normal 9 2 3 2 2 3 3 2" xfId="22583" xr:uid="{00000000-0005-0000-0000-0000565B0000}"/>
    <cellStyle name="Normal 9 2 3 2 2 3 3 2 2" xfId="39451" xr:uid="{41DE42E0-FFF1-493B-A7F4-95FE172B1A15}"/>
    <cellStyle name="Normal 9 2 3 2 2 3 3 3" xfId="14148" xr:uid="{00000000-0005-0000-0000-0000575B0000}"/>
    <cellStyle name="Normal 9 2 3 2 2 3 3 4" xfId="31017" xr:uid="{28A84EE4-C54C-4E4B-8DC1-52B09F606D9A}"/>
    <cellStyle name="Normal 9 2 3 2 2 3 4" xfId="18365" xr:uid="{00000000-0005-0000-0000-0000585B0000}"/>
    <cellStyle name="Normal 9 2 3 2 2 3 4 2" xfId="35234" xr:uid="{3FBAF381-9F56-432B-97B0-FCD77438D9E8}"/>
    <cellStyle name="Normal 9 2 3 2 2 3 5" xfId="9930" xr:uid="{00000000-0005-0000-0000-0000595B0000}"/>
    <cellStyle name="Normal 9 2 3 2 2 3 6" xfId="26800" xr:uid="{8061CCB1-30F0-42D2-B80B-FA11E9D381B0}"/>
    <cellStyle name="Normal 9 2 3 2 2 4" xfId="1818" xr:uid="{00000000-0005-0000-0000-00005A5B0000}"/>
    <cellStyle name="Normal 9 2 3 2 2 4 2" xfId="4048" xr:uid="{00000000-0005-0000-0000-00005B5B0000}"/>
    <cellStyle name="Normal 9 2 3 2 2 4 2 2" xfId="8271" xr:uid="{00000000-0005-0000-0000-00005C5B0000}"/>
    <cellStyle name="Normal 9 2 3 2 2 4 2 2 2" xfId="25141" xr:uid="{00000000-0005-0000-0000-00005D5B0000}"/>
    <cellStyle name="Normal 9 2 3 2 2 4 2 2 2 2" xfId="42009" xr:uid="{98B15AED-EB52-4B27-80D0-4BD75289A5C7}"/>
    <cellStyle name="Normal 9 2 3 2 2 4 2 2 3" xfId="16706" xr:uid="{00000000-0005-0000-0000-00005E5B0000}"/>
    <cellStyle name="Normal 9 2 3 2 2 4 2 2 4" xfId="33575" xr:uid="{7FE7AFB8-4C38-4331-868B-1D13B5A1E2C2}"/>
    <cellStyle name="Normal 9 2 3 2 2 4 2 3" xfId="20923" xr:uid="{00000000-0005-0000-0000-00005F5B0000}"/>
    <cellStyle name="Normal 9 2 3 2 2 4 2 3 2" xfId="37792" xr:uid="{897EAEBA-DE64-4605-8A87-9C3EB6DA7B54}"/>
    <cellStyle name="Normal 9 2 3 2 2 4 2 4" xfId="12488" xr:uid="{00000000-0005-0000-0000-0000605B0000}"/>
    <cellStyle name="Normal 9 2 3 2 2 4 2 5" xfId="29358" xr:uid="{1B027AD7-6416-473B-A5C8-21C017D1355A}"/>
    <cellStyle name="Normal 9 2 3 2 2 4 3" xfId="6126" xr:uid="{00000000-0005-0000-0000-0000615B0000}"/>
    <cellStyle name="Normal 9 2 3 2 2 4 3 2" xfId="22996" xr:uid="{00000000-0005-0000-0000-0000625B0000}"/>
    <cellStyle name="Normal 9 2 3 2 2 4 3 2 2" xfId="39864" xr:uid="{F42047D9-9BC5-428D-8ADA-F8E008E76227}"/>
    <cellStyle name="Normal 9 2 3 2 2 4 3 3" xfId="14561" xr:uid="{00000000-0005-0000-0000-0000635B0000}"/>
    <cellStyle name="Normal 9 2 3 2 2 4 3 4" xfId="31430" xr:uid="{73BADC78-EFCA-4E79-94E1-1DEC6B695D21}"/>
    <cellStyle name="Normal 9 2 3 2 2 4 4" xfId="18778" xr:uid="{00000000-0005-0000-0000-0000645B0000}"/>
    <cellStyle name="Normal 9 2 3 2 2 4 4 2" xfId="35647" xr:uid="{F8391ABB-3AC2-4639-B308-CBD8FBE87470}"/>
    <cellStyle name="Normal 9 2 3 2 2 4 5" xfId="10343" xr:uid="{00000000-0005-0000-0000-0000655B0000}"/>
    <cellStyle name="Normal 9 2 3 2 2 4 6" xfId="27213" xr:uid="{FAD6FACA-8322-4332-81CD-96174EB17868}"/>
    <cellStyle name="Normal 9 2 3 2 2 5" xfId="2232" xr:uid="{00000000-0005-0000-0000-0000665B0000}"/>
    <cellStyle name="Normal 9 2 3 2 2 5 2" xfId="4461" xr:uid="{00000000-0005-0000-0000-0000675B0000}"/>
    <cellStyle name="Normal 9 2 3 2 2 5 2 2" xfId="8684" xr:uid="{00000000-0005-0000-0000-0000685B0000}"/>
    <cellStyle name="Normal 9 2 3 2 2 5 2 2 2" xfId="25554" xr:uid="{00000000-0005-0000-0000-0000695B0000}"/>
    <cellStyle name="Normal 9 2 3 2 2 5 2 2 2 2" xfId="42422" xr:uid="{0E4C0877-F123-441D-9765-03C5A262E63E}"/>
    <cellStyle name="Normal 9 2 3 2 2 5 2 2 3" xfId="17119" xr:uid="{00000000-0005-0000-0000-00006A5B0000}"/>
    <cellStyle name="Normal 9 2 3 2 2 5 2 2 4" xfId="33988" xr:uid="{16BD4DCF-BE66-4B83-A777-D8182D9E9E4F}"/>
    <cellStyle name="Normal 9 2 3 2 2 5 2 3" xfId="21336" xr:uid="{00000000-0005-0000-0000-00006B5B0000}"/>
    <cellStyle name="Normal 9 2 3 2 2 5 2 3 2" xfId="38205" xr:uid="{03454704-835A-405D-A6E5-B77318C8D8E9}"/>
    <cellStyle name="Normal 9 2 3 2 2 5 2 4" xfId="12901" xr:uid="{00000000-0005-0000-0000-00006C5B0000}"/>
    <cellStyle name="Normal 9 2 3 2 2 5 2 5" xfId="29771" xr:uid="{F84CCC7C-FFA5-4D0D-88D6-666BB833ADEC}"/>
    <cellStyle name="Normal 9 2 3 2 2 5 3" xfId="6539" xr:uid="{00000000-0005-0000-0000-00006D5B0000}"/>
    <cellStyle name="Normal 9 2 3 2 2 5 3 2" xfId="23409" xr:uid="{00000000-0005-0000-0000-00006E5B0000}"/>
    <cellStyle name="Normal 9 2 3 2 2 5 3 2 2" xfId="40277" xr:uid="{B01F3D2A-3753-4997-86F2-18A0C0AFCFC6}"/>
    <cellStyle name="Normal 9 2 3 2 2 5 3 3" xfId="14974" xr:uid="{00000000-0005-0000-0000-00006F5B0000}"/>
    <cellStyle name="Normal 9 2 3 2 2 5 3 4" xfId="31843" xr:uid="{F2F34CF9-A293-4317-96FC-4EE602239E37}"/>
    <cellStyle name="Normal 9 2 3 2 2 5 4" xfId="19191" xr:uid="{00000000-0005-0000-0000-0000705B0000}"/>
    <cellStyle name="Normal 9 2 3 2 2 5 4 2" xfId="36060" xr:uid="{60281072-58D5-492F-8EF7-C6A7FA753EBF}"/>
    <cellStyle name="Normal 9 2 3 2 2 5 5" xfId="10756" xr:uid="{00000000-0005-0000-0000-0000715B0000}"/>
    <cellStyle name="Normal 9 2 3 2 2 5 6" xfId="27626" xr:uid="{6DE836C8-32C1-43CE-94C3-D31D8BBBE6F5}"/>
    <cellStyle name="Normal 9 2 3 2 2 6" xfId="2668" xr:uid="{00000000-0005-0000-0000-0000725B0000}"/>
    <cellStyle name="Normal 9 2 3 2 2 6 2" xfId="6952" xr:uid="{00000000-0005-0000-0000-0000735B0000}"/>
    <cellStyle name="Normal 9 2 3 2 2 6 2 2" xfId="23822" xr:uid="{00000000-0005-0000-0000-0000745B0000}"/>
    <cellStyle name="Normal 9 2 3 2 2 6 2 2 2" xfId="40690" xr:uid="{AC9464C6-4A8D-4385-B53E-ABAD6CB19F7E}"/>
    <cellStyle name="Normal 9 2 3 2 2 6 2 3" xfId="15387" xr:uid="{00000000-0005-0000-0000-0000755B0000}"/>
    <cellStyle name="Normal 9 2 3 2 2 6 2 4" xfId="32256" xr:uid="{6247BB34-B062-445D-B726-E1180E6D28FB}"/>
    <cellStyle name="Normal 9 2 3 2 2 6 3" xfId="19604" xr:uid="{00000000-0005-0000-0000-0000765B0000}"/>
    <cellStyle name="Normal 9 2 3 2 2 6 3 2" xfId="36473" xr:uid="{FD948E2F-F358-46B9-903F-41CECB111CD6}"/>
    <cellStyle name="Normal 9 2 3 2 2 6 4" xfId="11169" xr:uid="{00000000-0005-0000-0000-0000775B0000}"/>
    <cellStyle name="Normal 9 2 3 2 2 6 5" xfId="28039" xr:uid="{5263757D-6997-4B28-8680-2FF91A11DD8C}"/>
    <cellStyle name="Normal 9 2 3 2 2 7" xfId="4887" xr:uid="{00000000-0005-0000-0000-0000785B0000}"/>
    <cellStyle name="Normal 9 2 3 2 2 7 2" xfId="21757" xr:uid="{00000000-0005-0000-0000-0000795B0000}"/>
    <cellStyle name="Normal 9 2 3 2 2 7 2 2" xfId="38625" xr:uid="{13E5D2BD-83E5-4F16-9E08-1F344E0E2C6F}"/>
    <cellStyle name="Normal 9 2 3 2 2 7 3" xfId="13322" xr:uid="{00000000-0005-0000-0000-00007A5B0000}"/>
    <cellStyle name="Normal 9 2 3 2 2 7 4" xfId="30191" xr:uid="{CE3332BB-C72A-4A88-BD9A-944D6FAF3E15}"/>
    <cellStyle name="Normal 9 2 3 2 2 8" xfId="17539" xr:uid="{00000000-0005-0000-0000-00007B5B0000}"/>
    <cellStyle name="Normal 9 2 3 2 2 8 2" xfId="34408" xr:uid="{88C7ABFB-8956-4393-8A03-04601ADF7F0E}"/>
    <cellStyle name="Normal 9 2 3 2 2 9" xfId="9104" xr:uid="{00000000-0005-0000-0000-00007C5B0000}"/>
    <cellStyle name="Normal 9 2 3 2 3" xfId="988" xr:uid="{00000000-0005-0000-0000-00007D5B0000}"/>
    <cellStyle name="Normal 9 2 3 2 3 2" xfId="3221" xr:uid="{00000000-0005-0000-0000-00007E5B0000}"/>
    <cellStyle name="Normal 9 2 3 2 3 2 2" xfId="7444" xr:uid="{00000000-0005-0000-0000-00007F5B0000}"/>
    <cellStyle name="Normal 9 2 3 2 3 2 2 2" xfId="24314" xr:uid="{00000000-0005-0000-0000-0000805B0000}"/>
    <cellStyle name="Normal 9 2 3 2 3 2 2 2 2" xfId="41182" xr:uid="{6AF6FAEC-8947-4655-8E30-26FCF798BB4C}"/>
    <cellStyle name="Normal 9 2 3 2 3 2 2 3" xfId="15879" xr:uid="{00000000-0005-0000-0000-0000815B0000}"/>
    <cellStyle name="Normal 9 2 3 2 3 2 2 4" xfId="32748" xr:uid="{9E146C8A-9B1B-466C-BD98-0B4E4C36C072}"/>
    <cellStyle name="Normal 9 2 3 2 3 2 3" xfId="20096" xr:uid="{00000000-0005-0000-0000-0000825B0000}"/>
    <cellStyle name="Normal 9 2 3 2 3 2 3 2" xfId="36965" xr:uid="{0BB696BC-8F50-43B3-A0C3-07030A9BD236}"/>
    <cellStyle name="Normal 9 2 3 2 3 2 4" xfId="11661" xr:uid="{00000000-0005-0000-0000-0000835B0000}"/>
    <cellStyle name="Normal 9 2 3 2 3 2 5" xfId="28531" xr:uid="{C95EF2DA-8126-4B9D-9917-91E6E3B02063}"/>
    <cellStyle name="Normal 9 2 3 2 3 3" xfId="5299" xr:uid="{00000000-0005-0000-0000-0000845B0000}"/>
    <cellStyle name="Normal 9 2 3 2 3 3 2" xfId="22169" xr:uid="{00000000-0005-0000-0000-0000855B0000}"/>
    <cellStyle name="Normal 9 2 3 2 3 3 2 2" xfId="39037" xr:uid="{74B4F262-A861-41AA-9AB8-10A422707DD0}"/>
    <cellStyle name="Normal 9 2 3 2 3 3 3" xfId="13734" xr:uid="{00000000-0005-0000-0000-0000865B0000}"/>
    <cellStyle name="Normal 9 2 3 2 3 3 4" xfId="30603" xr:uid="{6F377F5D-B5DA-45B2-86AE-30BFB2F61B43}"/>
    <cellStyle name="Normal 9 2 3 2 3 4" xfId="17951" xr:uid="{00000000-0005-0000-0000-0000875B0000}"/>
    <cellStyle name="Normal 9 2 3 2 3 4 2" xfId="34820" xr:uid="{8C364BC2-6C4B-4D78-B3FC-AFFB242B5F88}"/>
    <cellStyle name="Normal 9 2 3 2 3 5" xfId="9516" xr:uid="{00000000-0005-0000-0000-0000885B0000}"/>
    <cellStyle name="Normal 9 2 3 2 3 6" xfId="26386" xr:uid="{DAFEF93C-4DE2-4C39-93AC-137964700AA9}"/>
    <cellStyle name="Normal 9 2 3 2 4" xfId="1404" xr:uid="{00000000-0005-0000-0000-0000895B0000}"/>
    <cellStyle name="Normal 9 2 3 2 4 2" xfId="3634" xr:uid="{00000000-0005-0000-0000-00008A5B0000}"/>
    <cellStyle name="Normal 9 2 3 2 4 2 2" xfId="7857" xr:uid="{00000000-0005-0000-0000-00008B5B0000}"/>
    <cellStyle name="Normal 9 2 3 2 4 2 2 2" xfId="24727" xr:uid="{00000000-0005-0000-0000-00008C5B0000}"/>
    <cellStyle name="Normal 9 2 3 2 4 2 2 2 2" xfId="41595" xr:uid="{117F68EB-8D8B-406D-B88F-BBD990707539}"/>
    <cellStyle name="Normal 9 2 3 2 4 2 2 3" xfId="16292" xr:uid="{00000000-0005-0000-0000-00008D5B0000}"/>
    <cellStyle name="Normal 9 2 3 2 4 2 2 4" xfId="33161" xr:uid="{87AD95AD-D68D-4BE1-87D2-7D4297EC55FA}"/>
    <cellStyle name="Normal 9 2 3 2 4 2 3" xfId="20509" xr:uid="{00000000-0005-0000-0000-00008E5B0000}"/>
    <cellStyle name="Normal 9 2 3 2 4 2 3 2" xfId="37378" xr:uid="{7EB88695-88D0-498D-9224-39993425D71B}"/>
    <cellStyle name="Normal 9 2 3 2 4 2 4" xfId="12074" xr:uid="{00000000-0005-0000-0000-00008F5B0000}"/>
    <cellStyle name="Normal 9 2 3 2 4 2 5" xfId="28944" xr:uid="{1A47135D-5A8F-44A3-8110-CEF1BFC2A73A}"/>
    <cellStyle name="Normal 9 2 3 2 4 3" xfId="5712" xr:uid="{00000000-0005-0000-0000-0000905B0000}"/>
    <cellStyle name="Normal 9 2 3 2 4 3 2" xfId="22582" xr:uid="{00000000-0005-0000-0000-0000915B0000}"/>
    <cellStyle name="Normal 9 2 3 2 4 3 2 2" xfId="39450" xr:uid="{27A9447C-CCC1-4921-8310-98691B5315C0}"/>
    <cellStyle name="Normal 9 2 3 2 4 3 3" xfId="14147" xr:uid="{00000000-0005-0000-0000-0000925B0000}"/>
    <cellStyle name="Normal 9 2 3 2 4 3 4" xfId="31016" xr:uid="{F7B39D7F-F288-4AAF-AE45-A55B619537D3}"/>
    <cellStyle name="Normal 9 2 3 2 4 4" xfId="18364" xr:uid="{00000000-0005-0000-0000-0000935B0000}"/>
    <cellStyle name="Normal 9 2 3 2 4 4 2" xfId="35233" xr:uid="{8001C9B2-2E66-4E2C-9D7D-F26F0FEF20F4}"/>
    <cellStyle name="Normal 9 2 3 2 4 5" xfId="9929" xr:uid="{00000000-0005-0000-0000-0000945B0000}"/>
    <cellStyle name="Normal 9 2 3 2 4 6" xfId="26799" xr:uid="{A729261D-594E-425F-B961-1F48AF6BC0C3}"/>
    <cellStyle name="Normal 9 2 3 2 5" xfId="1817" xr:uid="{00000000-0005-0000-0000-0000955B0000}"/>
    <cellStyle name="Normal 9 2 3 2 5 2" xfId="4047" xr:uid="{00000000-0005-0000-0000-0000965B0000}"/>
    <cellStyle name="Normal 9 2 3 2 5 2 2" xfId="8270" xr:uid="{00000000-0005-0000-0000-0000975B0000}"/>
    <cellStyle name="Normal 9 2 3 2 5 2 2 2" xfId="25140" xr:uid="{00000000-0005-0000-0000-0000985B0000}"/>
    <cellStyle name="Normal 9 2 3 2 5 2 2 2 2" xfId="42008" xr:uid="{241D763D-9B67-4320-8FEF-07DE7CC7848D}"/>
    <cellStyle name="Normal 9 2 3 2 5 2 2 3" xfId="16705" xr:uid="{00000000-0005-0000-0000-0000995B0000}"/>
    <cellStyle name="Normal 9 2 3 2 5 2 2 4" xfId="33574" xr:uid="{F7479863-8DA7-467E-911A-1D24F125AA28}"/>
    <cellStyle name="Normal 9 2 3 2 5 2 3" xfId="20922" xr:uid="{00000000-0005-0000-0000-00009A5B0000}"/>
    <cellStyle name="Normal 9 2 3 2 5 2 3 2" xfId="37791" xr:uid="{67145CF3-5854-4751-9E9F-8F469EDE2A3B}"/>
    <cellStyle name="Normal 9 2 3 2 5 2 4" xfId="12487" xr:uid="{00000000-0005-0000-0000-00009B5B0000}"/>
    <cellStyle name="Normal 9 2 3 2 5 2 5" xfId="29357" xr:uid="{80D14315-C79D-4613-8F63-9AF706290146}"/>
    <cellStyle name="Normal 9 2 3 2 5 3" xfId="6125" xr:uid="{00000000-0005-0000-0000-00009C5B0000}"/>
    <cellStyle name="Normal 9 2 3 2 5 3 2" xfId="22995" xr:uid="{00000000-0005-0000-0000-00009D5B0000}"/>
    <cellStyle name="Normal 9 2 3 2 5 3 2 2" xfId="39863" xr:uid="{C1F2EA71-900E-4808-883C-618C183628B0}"/>
    <cellStyle name="Normal 9 2 3 2 5 3 3" xfId="14560" xr:uid="{00000000-0005-0000-0000-00009E5B0000}"/>
    <cellStyle name="Normal 9 2 3 2 5 3 4" xfId="31429" xr:uid="{D8B585D5-DF49-4580-AD46-6D5533D1975C}"/>
    <cellStyle name="Normal 9 2 3 2 5 4" xfId="18777" xr:uid="{00000000-0005-0000-0000-00009F5B0000}"/>
    <cellStyle name="Normal 9 2 3 2 5 4 2" xfId="35646" xr:uid="{BA6D5F78-ADC5-4C70-9221-B0B16453954C}"/>
    <cellStyle name="Normal 9 2 3 2 5 5" xfId="10342" xr:uid="{00000000-0005-0000-0000-0000A05B0000}"/>
    <cellStyle name="Normal 9 2 3 2 5 6" xfId="27212" xr:uid="{F2639448-1A73-408C-AECD-AD242DEBAFD2}"/>
    <cellStyle name="Normal 9 2 3 2 6" xfId="2231" xr:uid="{00000000-0005-0000-0000-0000A15B0000}"/>
    <cellStyle name="Normal 9 2 3 2 6 2" xfId="4460" xr:uid="{00000000-0005-0000-0000-0000A25B0000}"/>
    <cellStyle name="Normal 9 2 3 2 6 2 2" xfId="8683" xr:uid="{00000000-0005-0000-0000-0000A35B0000}"/>
    <cellStyle name="Normal 9 2 3 2 6 2 2 2" xfId="25553" xr:uid="{00000000-0005-0000-0000-0000A45B0000}"/>
    <cellStyle name="Normal 9 2 3 2 6 2 2 2 2" xfId="42421" xr:uid="{4CF03C66-007B-4348-B894-FB71236AD36A}"/>
    <cellStyle name="Normal 9 2 3 2 6 2 2 3" xfId="17118" xr:uid="{00000000-0005-0000-0000-0000A55B0000}"/>
    <cellStyle name="Normal 9 2 3 2 6 2 2 4" xfId="33987" xr:uid="{02238B46-AE46-47D0-B9B9-7AF18F6119A3}"/>
    <cellStyle name="Normal 9 2 3 2 6 2 3" xfId="21335" xr:uid="{00000000-0005-0000-0000-0000A65B0000}"/>
    <cellStyle name="Normal 9 2 3 2 6 2 3 2" xfId="38204" xr:uid="{56896906-47C5-43E7-BD9A-01F87BC06037}"/>
    <cellStyle name="Normal 9 2 3 2 6 2 4" xfId="12900" xr:uid="{00000000-0005-0000-0000-0000A75B0000}"/>
    <cellStyle name="Normal 9 2 3 2 6 2 5" xfId="29770" xr:uid="{EC168FCD-D5D1-4A3B-9EA6-AFD7FC330E3C}"/>
    <cellStyle name="Normal 9 2 3 2 6 3" xfId="6538" xr:uid="{00000000-0005-0000-0000-0000A85B0000}"/>
    <cellStyle name="Normal 9 2 3 2 6 3 2" xfId="23408" xr:uid="{00000000-0005-0000-0000-0000A95B0000}"/>
    <cellStyle name="Normal 9 2 3 2 6 3 2 2" xfId="40276" xr:uid="{34BFC269-9EEB-4F8B-A088-A38FE42F6BB4}"/>
    <cellStyle name="Normal 9 2 3 2 6 3 3" xfId="14973" xr:uid="{00000000-0005-0000-0000-0000AA5B0000}"/>
    <cellStyle name="Normal 9 2 3 2 6 3 4" xfId="31842" xr:uid="{56983AD7-11E7-406B-A5B4-40C5DE1DF968}"/>
    <cellStyle name="Normal 9 2 3 2 6 4" xfId="19190" xr:uid="{00000000-0005-0000-0000-0000AB5B0000}"/>
    <cellStyle name="Normal 9 2 3 2 6 4 2" xfId="36059" xr:uid="{95DE15EE-3A6D-4B32-B403-1D90EB62D091}"/>
    <cellStyle name="Normal 9 2 3 2 6 5" xfId="10755" xr:uid="{00000000-0005-0000-0000-0000AC5B0000}"/>
    <cellStyle name="Normal 9 2 3 2 6 6" xfId="27625" xr:uid="{14582C9D-6399-469C-9156-D742766C51EB}"/>
    <cellStyle name="Normal 9 2 3 2 7" xfId="2667" xr:uid="{00000000-0005-0000-0000-0000AD5B0000}"/>
    <cellStyle name="Normal 9 2 3 2 7 2" xfId="6951" xr:uid="{00000000-0005-0000-0000-0000AE5B0000}"/>
    <cellStyle name="Normal 9 2 3 2 7 2 2" xfId="23821" xr:uid="{00000000-0005-0000-0000-0000AF5B0000}"/>
    <cellStyle name="Normal 9 2 3 2 7 2 2 2" xfId="40689" xr:uid="{5FC478E3-6A6E-472F-B4FE-DE875D7EA073}"/>
    <cellStyle name="Normal 9 2 3 2 7 2 3" xfId="15386" xr:uid="{00000000-0005-0000-0000-0000B05B0000}"/>
    <cellStyle name="Normal 9 2 3 2 7 2 4" xfId="32255" xr:uid="{3D43A58B-AE3E-4993-9C02-91D147C109E6}"/>
    <cellStyle name="Normal 9 2 3 2 7 3" xfId="19603" xr:uid="{00000000-0005-0000-0000-0000B15B0000}"/>
    <cellStyle name="Normal 9 2 3 2 7 3 2" xfId="36472" xr:uid="{6CAD5E6E-F299-464F-8EEC-127101D203AD}"/>
    <cellStyle name="Normal 9 2 3 2 7 4" xfId="11168" xr:uid="{00000000-0005-0000-0000-0000B25B0000}"/>
    <cellStyle name="Normal 9 2 3 2 7 5" xfId="28038" xr:uid="{FB6E1FE3-D45B-413F-BDE9-C1808FFCC235}"/>
    <cellStyle name="Normal 9 2 3 2 8" xfId="4886" xr:uid="{00000000-0005-0000-0000-0000B35B0000}"/>
    <cellStyle name="Normal 9 2 3 2 8 2" xfId="21756" xr:uid="{00000000-0005-0000-0000-0000B45B0000}"/>
    <cellStyle name="Normal 9 2 3 2 8 2 2" xfId="38624" xr:uid="{D09C4811-6CB1-461B-8D16-038080CA499C}"/>
    <cellStyle name="Normal 9 2 3 2 8 3" xfId="13321" xr:uid="{00000000-0005-0000-0000-0000B55B0000}"/>
    <cellStyle name="Normal 9 2 3 2 8 4" xfId="30190" xr:uid="{5C963488-57C5-4D6E-B428-57E0BF2F74A5}"/>
    <cellStyle name="Normal 9 2 3 2 9" xfId="17538" xr:uid="{00000000-0005-0000-0000-0000B65B0000}"/>
    <cellStyle name="Normal 9 2 3 2 9 2" xfId="34407" xr:uid="{7B513F2F-314B-43F6-9182-7E7E5018D853}"/>
    <cellStyle name="Normal 9 2 3 3" xfId="523" xr:uid="{00000000-0005-0000-0000-0000B75B0000}"/>
    <cellStyle name="Normal 9 2 3 3 10" xfId="25975" xr:uid="{614E50C9-25A9-4A1C-BAE1-154C9D3AC7C8}"/>
    <cellStyle name="Normal 9 2 3 3 2" xfId="990" xr:uid="{00000000-0005-0000-0000-0000B85B0000}"/>
    <cellStyle name="Normal 9 2 3 3 2 2" xfId="3223" xr:uid="{00000000-0005-0000-0000-0000B95B0000}"/>
    <cellStyle name="Normal 9 2 3 3 2 2 2" xfId="7446" xr:uid="{00000000-0005-0000-0000-0000BA5B0000}"/>
    <cellStyle name="Normal 9 2 3 3 2 2 2 2" xfId="24316" xr:uid="{00000000-0005-0000-0000-0000BB5B0000}"/>
    <cellStyle name="Normal 9 2 3 3 2 2 2 2 2" xfId="41184" xr:uid="{B027500C-3C39-4402-9427-58E70E56445B}"/>
    <cellStyle name="Normal 9 2 3 3 2 2 2 3" xfId="15881" xr:uid="{00000000-0005-0000-0000-0000BC5B0000}"/>
    <cellStyle name="Normal 9 2 3 3 2 2 2 4" xfId="32750" xr:uid="{CE336891-8DD7-4421-A11D-80061F1FAA18}"/>
    <cellStyle name="Normal 9 2 3 3 2 2 3" xfId="20098" xr:uid="{00000000-0005-0000-0000-0000BD5B0000}"/>
    <cellStyle name="Normal 9 2 3 3 2 2 3 2" xfId="36967" xr:uid="{9910A333-A6F4-4A59-995D-8408ECE6B25D}"/>
    <cellStyle name="Normal 9 2 3 3 2 2 4" xfId="11663" xr:uid="{00000000-0005-0000-0000-0000BE5B0000}"/>
    <cellStyle name="Normal 9 2 3 3 2 2 5" xfId="28533" xr:uid="{9EE4F798-C540-4731-B007-C26830A4147F}"/>
    <cellStyle name="Normal 9 2 3 3 2 3" xfId="5301" xr:uid="{00000000-0005-0000-0000-0000BF5B0000}"/>
    <cellStyle name="Normal 9 2 3 3 2 3 2" xfId="22171" xr:uid="{00000000-0005-0000-0000-0000C05B0000}"/>
    <cellStyle name="Normal 9 2 3 3 2 3 2 2" xfId="39039" xr:uid="{81AA6895-5CED-4579-A840-8D9603D3AD5E}"/>
    <cellStyle name="Normal 9 2 3 3 2 3 3" xfId="13736" xr:uid="{00000000-0005-0000-0000-0000C15B0000}"/>
    <cellStyle name="Normal 9 2 3 3 2 3 4" xfId="30605" xr:uid="{FE27CC45-7574-483C-8541-F9EA074EF1A9}"/>
    <cellStyle name="Normal 9 2 3 3 2 4" xfId="17953" xr:uid="{00000000-0005-0000-0000-0000C25B0000}"/>
    <cellStyle name="Normal 9 2 3 3 2 4 2" xfId="34822" xr:uid="{88C86353-F22E-4A5A-98EB-B4C7725AFB52}"/>
    <cellStyle name="Normal 9 2 3 3 2 5" xfId="9518" xr:uid="{00000000-0005-0000-0000-0000C35B0000}"/>
    <cellStyle name="Normal 9 2 3 3 2 6" xfId="26388" xr:uid="{622099A4-49DC-4E7C-B207-F6D89F3A2195}"/>
    <cellStyle name="Normal 9 2 3 3 3" xfId="1406" xr:uid="{00000000-0005-0000-0000-0000C45B0000}"/>
    <cellStyle name="Normal 9 2 3 3 3 2" xfId="3636" xr:uid="{00000000-0005-0000-0000-0000C55B0000}"/>
    <cellStyle name="Normal 9 2 3 3 3 2 2" xfId="7859" xr:uid="{00000000-0005-0000-0000-0000C65B0000}"/>
    <cellStyle name="Normal 9 2 3 3 3 2 2 2" xfId="24729" xr:uid="{00000000-0005-0000-0000-0000C75B0000}"/>
    <cellStyle name="Normal 9 2 3 3 3 2 2 2 2" xfId="41597" xr:uid="{CCA5FC2A-A49E-41ED-8442-4C9A60D7CBC8}"/>
    <cellStyle name="Normal 9 2 3 3 3 2 2 3" xfId="16294" xr:uid="{00000000-0005-0000-0000-0000C85B0000}"/>
    <cellStyle name="Normal 9 2 3 3 3 2 2 4" xfId="33163" xr:uid="{1CA1C5EE-117E-43E2-8BE5-19199815C582}"/>
    <cellStyle name="Normal 9 2 3 3 3 2 3" xfId="20511" xr:uid="{00000000-0005-0000-0000-0000C95B0000}"/>
    <cellStyle name="Normal 9 2 3 3 3 2 3 2" xfId="37380" xr:uid="{D02AA87D-DA7D-4A3C-8F39-3D7C97326E95}"/>
    <cellStyle name="Normal 9 2 3 3 3 2 4" xfId="12076" xr:uid="{00000000-0005-0000-0000-0000CA5B0000}"/>
    <cellStyle name="Normal 9 2 3 3 3 2 5" xfId="28946" xr:uid="{07A44D0D-8B88-4E59-9F3C-43311488551D}"/>
    <cellStyle name="Normal 9 2 3 3 3 3" xfId="5714" xr:uid="{00000000-0005-0000-0000-0000CB5B0000}"/>
    <cellStyle name="Normal 9 2 3 3 3 3 2" xfId="22584" xr:uid="{00000000-0005-0000-0000-0000CC5B0000}"/>
    <cellStyle name="Normal 9 2 3 3 3 3 2 2" xfId="39452" xr:uid="{399D3CAD-70BA-474A-8766-06AF1623612B}"/>
    <cellStyle name="Normal 9 2 3 3 3 3 3" xfId="14149" xr:uid="{00000000-0005-0000-0000-0000CD5B0000}"/>
    <cellStyle name="Normal 9 2 3 3 3 3 4" xfId="31018" xr:uid="{0E7CDBD6-35EB-4B08-BEEF-A336F37AEC96}"/>
    <cellStyle name="Normal 9 2 3 3 3 4" xfId="18366" xr:uid="{00000000-0005-0000-0000-0000CE5B0000}"/>
    <cellStyle name="Normal 9 2 3 3 3 4 2" xfId="35235" xr:uid="{2F8907FB-9B8F-44CC-8384-90960821DB52}"/>
    <cellStyle name="Normal 9 2 3 3 3 5" xfId="9931" xr:uid="{00000000-0005-0000-0000-0000CF5B0000}"/>
    <cellStyle name="Normal 9 2 3 3 3 6" xfId="26801" xr:uid="{835004A5-3DD7-4C8A-B55A-7A6DC3C4B693}"/>
    <cellStyle name="Normal 9 2 3 3 4" xfId="1819" xr:uid="{00000000-0005-0000-0000-0000D05B0000}"/>
    <cellStyle name="Normal 9 2 3 3 4 2" xfId="4049" xr:uid="{00000000-0005-0000-0000-0000D15B0000}"/>
    <cellStyle name="Normal 9 2 3 3 4 2 2" xfId="8272" xr:uid="{00000000-0005-0000-0000-0000D25B0000}"/>
    <cellStyle name="Normal 9 2 3 3 4 2 2 2" xfId="25142" xr:uid="{00000000-0005-0000-0000-0000D35B0000}"/>
    <cellStyle name="Normal 9 2 3 3 4 2 2 2 2" xfId="42010" xr:uid="{4A9BA330-5ECD-4386-9981-528996DA22E1}"/>
    <cellStyle name="Normal 9 2 3 3 4 2 2 3" xfId="16707" xr:uid="{00000000-0005-0000-0000-0000D45B0000}"/>
    <cellStyle name="Normal 9 2 3 3 4 2 2 4" xfId="33576" xr:uid="{440BE856-C979-47CA-BA30-C791996277D9}"/>
    <cellStyle name="Normal 9 2 3 3 4 2 3" xfId="20924" xr:uid="{00000000-0005-0000-0000-0000D55B0000}"/>
    <cellStyle name="Normal 9 2 3 3 4 2 3 2" xfId="37793" xr:uid="{CD9EB4EC-574B-41BA-95CF-6DABD604EADA}"/>
    <cellStyle name="Normal 9 2 3 3 4 2 4" xfId="12489" xr:uid="{00000000-0005-0000-0000-0000D65B0000}"/>
    <cellStyle name="Normal 9 2 3 3 4 2 5" xfId="29359" xr:uid="{E7D37ADE-9D0A-4EC0-9010-03BB74A237A3}"/>
    <cellStyle name="Normal 9 2 3 3 4 3" xfId="6127" xr:uid="{00000000-0005-0000-0000-0000D75B0000}"/>
    <cellStyle name="Normal 9 2 3 3 4 3 2" xfId="22997" xr:uid="{00000000-0005-0000-0000-0000D85B0000}"/>
    <cellStyle name="Normal 9 2 3 3 4 3 2 2" xfId="39865" xr:uid="{E7D4535C-1E74-4A81-90EE-2D998C58568F}"/>
    <cellStyle name="Normal 9 2 3 3 4 3 3" xfId="14562" xr:uid="{00000000-0005-0000-0000-0000D95B0000}"/>
    <cellStyle name="Normal 9 2 3 3 4 3 4" xfId="31431" xr:uid="{1E76BAF0-053B-493D-BFF3-F527EA91840D}"/>
    <cellStyle name="Normal 9 2 3 3 4 4" xfId="18779" xr:uid="{00000000-0005-0000-0000-0000DA5B0000}"/>
    <cellStyle name="Normal 9 2 3 3 4 4 2" xfId="35648" xr:uid="{226A1E35-DA3F-4749-B0F4-4A5234ECF371}"/>
    <cellStyle name="Normal 9 2 3 3 4 5" xfId="10344" xr:uid="{00000000-0005-0000-0000-0000DB5B0000}"/>
    <cellStyle name="Normal 9 2 3 3 4 6" xfId="27214" xr:uid="{BB2CBA0A-5DCE-44BE-8334-097FCB3FF053}"/>
    <cellStyle name="Normal 9 2 3 3 5" xfId="2233" xr:uid="{00000000-0005-0000-0000-0000DC5B0000}"/>
    <cellStyle name="Normal 9 2 3 3 5 2" xfId="4462" xr:uid="{00000000-0005-0000-0000-0000DD5B0000}"/>
    <cellStyle name="Normal 9 2 3 3 5 2 2" xfId="8685" xr:uid="{00000000-0005-0000-0000-0000DE5B0000}"/>
    <cellStyle name="Normal 9 2 3 3 5 2 2 2" xfId="25555" xr:uid="{00000000-0005-0000-0000-0000DF5B0000}"/>
    <cellStyle name="Normal 9 2 3 3 5 2 2 2 2" xfId="42423" xr:uid="{FE140731-298D-401B-9A1D-10ECEF89C70A}"/>
    <cellStyle name="Normal 9 2 3 3 5 2 2 3" xfId="17120" xr:uid="{00000000-0005-0000-0000-0000E05B0000}"/>
    <cellStyle name="Normal 9 2 3 3 5 2 2 4" xfId="33989" xr:uid="{3C90A952-745D-4A76-ABBA-D8ED874EEE0C}"/>
    <cellStyle name="Normal 9 2 3 3 5 2 3" xfId="21337" xr:uid="{00000000-0005-0000-0000-0000E15B0000}"/>
    <cellStyle name="Normal 9 2 3 3 5 2 3 2" xfId="38206" xr:uid="{E9172BA6-E8EC-4B95-82F5-81C3B67684F1}"/>
    <cellStyle name="Normal 9 2 3 3 5 2 4" xfId="12902" xr:uid="{00000000-0005-0000-0000-0000E25B0000}"/>
    <cellStyle name="Normal 9 2 3 3 5 2 5" xfId="29772" xr:uid="{678311B8-9A80-4756-B1CE-24BFAA9BEB38}"/>
    <cellStyle name="Normal 9 2 3 3 5 3" xfId="6540" xr:uid="{00000000-0005-0000-0000-0000E35B0000}"/>
    <cellStyle name="Normal 9 2 3 3 5 3 2" xfId="23410" xr:uid="{00000000-0005-0000-0000-0000E45B0000}"/>
    <cellStyle name="Normal 9 2 3 3 5 3 2 2" xfId="40278" xr:uid="{A4F0590E-2671-4A0C-B4F8-7911ABC9A125}"/>
    <cellStyle name="Normal 9 2 3 3 5 3 3" xfId="14975" xr:uid="{00000000-0005-0000-0000-0000E55B0000}"/>
    <cellStyle name="Normal 9 2 3 3 5 3 4" xfId="31844" xr:uid="{1499E663-BB9D-47DF-A6E5-079684E70FF1}"/>
    <cellStyle name="Normal 9 2 3 3 5 4" xfId="19192" xr:uid="{00000000-0005-0000-0000-0000E65B0000}"/>
    <cellStyle name="Normal 9 2 3 3 5 4 2" xfId="36061" xr:uid="{AA109AE0-F84F-4E85-9584-CBCC3C68A2D9}"/>
    <cellStyle name="Normal 9 2 3 3 5 5" xfId="10757" xr:uid="{00000000-0005-0000-0000-0000E75B0000}"/>
    <cellStyle name="Normal 9 2 3 3 5 6" xfId="27627" xr:uid="{8E3FDBA5-6CA0-4A48-9950-944D3ADD4642}"/>
    <cellStyle name="Normal 9 2 3 3 6" xfId="2669" xr:uid="{00000000-0005-0000-0000-0000E85B0000}"/>
    <cellStyle name="Normal 9 2 3 3 6 2" xfId="6953" xr:uid="{00000000-0005-0000-0000-0000E95B0000}"/>
    <cellStyle name="Normal 9 2 3 3 6 2 2" xfId="23823" xr:uid="{00000000-0005-0000-0000-0000EA5B0000}"/>
    <cellStyle name="Normal 9 2 3 3 6 2 2 2" xfId="40691" xr:uid="{0577B782-7FAD-4830-9FD5-C26CDF613316}"/>
    <cellStyle name="Normal 9 2 3 3 6 2 3" xfId="15388" xr:uid="{00000000-0005-0000-0000-0000EB5B0000}"/>
    <cellStyle name="Normal 9 2 3 3 6 2 4" xfId="32257" xr:uid="{305402EA-6DE6-4D7D-9F0A-D23FF1DD2868}"/>
    <cellStyle name="Normal 9 2 3 3 6 3" xfId="19605" xr:uid="{00000000-0005-0000-0000-0000EC5B0000}"/>
    <cellStyle name="Normal 9 2 3 3 6 3 2" xfId="36474" xr:uid="{40FD8E31-5C10-493E-941F-B15915534328}"/>
    <cellStyle name="Normal 9 2 3 3 6 4" xfId="11170" xr:uid="{00000000-0005-0000-0000-0000ED5B0000}"/>
    <cellStyle name="Normal 9 2 3 3 6 5" xfId="28040" xr:uid="{F2C5E2BF-7444-439F-855A-F7ED4C451170}"/>
    <cellStyle name="Normal 9 2 3 3 7" xfId="4888" xr:uid="{00000000-0005-0000-0000-0000EE5B0000}"/>
    <cellStyle name="Normal 9 2 3 3 7 2" xfId="21758" xr:uid="{00000000-0005-0000-0000-0000EF5B0000}"/>
    <cellStyle name="Normal 9 2 3 3 7 2 2" xfId="38626" xr:uid="{DC71C294-809F-4D87-B3F8-F69B71351894}"/>
    <cellStyle name="Normal 9 2 3 3 7 3" xfId="13323" xr:uid="{00000000-0005-0000-0000-0000F05B0000}"/>
    <cellStyle name="Normal 9 2 3 3 7 4" xfId="30192" xr:uid="{A8B65EBF-4628-408D-8689-C0997D7F4FC6}"/>
    <cellStyle name="Normal 9 2 3 3 8" xfId="17540" xr:uid="{00000000-0005-0000-0000-0000F15B0000}"/>
    <cellStyle name="Normal 9 2 3 3 8 2" xfId="34409" xr:uid="{D9598626-0042-4F7B-85E5-C6C727D471D9}"/>
    <cellStyle name="Normal 9 2 3 3 9" xfId="9105" xr:uid="{00000000-0005-0000-0000-0000F25B0000}"/>
    <cellStyle name="Normal 9 2 3 4" xfId="987" xr:uid="{00000000-0005-0000-0000-0000F35B0000}"/>
    <cellStyle name="Normal 9 2 3 4 2" xfId="3220" xr:uid="{00000000-0005-0000-0000-0000F45B0000}"/>
    <cellStyle name="Normal 9 2 3 4 2 2" xfId="7443" xr:uid="{00000000-0005-0000-0000-0000F55B0000}"/>
    <cellStyle name="Normal 9 2 3 4 2 2 2" xfId="24313" xr:uid="{00000000-0005-0000-0000-0000F65B0000}"/>
    <cellStyle name="Normal 9 2 3 4 2 2 2 2" xfId="41181" xr:uid="{8ED8DCA6-4512-40AB-901A-C05531A0AD23}"/>
    <cellStyle name="Normal 9 2 3 4 2 2 3" xfId="15878" xr:uid="{00000000-0005-0000-0000-0000F75B0000}"/>
    <cellStyle name="Normal 9 2 3 4 2 2 4" xfId="32747" xr:uid="{F55E419E-638C-46F2-8D24-6D2AAB3E3906}"/>
    <cellStyle name="Normal 9 2 3 4 2 3" xfId="20095" xr:uid="{00000000-0005-0000-0000-0000F85B0000}"/>
    <cellStyle name="Normal 9 2 3 4 2 3 2" xfId="36964" xr:uid="{2EFC81C2-E909-42EC-A0C7-A8C9115E5745}"/>
    <cellStyle name="Normal 9 2 3 4 2 4" xfId="11660" xr:uid="{00000000-0005-0000-0000-0000F95B0000}"/>
    <cellStyle name="Normal 9 2 3 4 2 5" xfId="28530" xr:uid="{1759900B-32C0-4CC4-A09E-44F2B866B405}"/>
    <cellStyle name="Normal 9 2 3 4 3" xfId="5298" xr:uid="{00000000-0005-0000-0000-0000FA5B0000}"/>
    <cellStyle name="Normal 9 2 3 4 3 2" xfId="22168" xr:uid="{00000000-0005-0000-0000-0000FB5B0000}"/>
    <cellStyle name="Normal 9 2 3 4 3 2 2" xfId="39036" xr:uid="{8B128129-9E81-4509-8757-91208EA780F3}"/>
    <cellStyle name="Normal 9 2 3 4 3 3" xfId="13733" xr:uid="{00000000-0005-0000-0000-0000FC5B0000}"/>
    <cellStyle name="Normal 9 2 3 4 3 4" xfId="30602" xr:uid="{6D3FA416-559A-4582-A9F1-A6102790DEB0}"/>
    <cellStyle name="Normal 9 2 3 4 4" xfId="17950" xr:uid="{00000000-0005-0000-0000-0000FD5B0000}"/>
    <cellStyle name="Normal 9 2 3 4 4 2" xfId="34819" xr:uid="{78A231CC-AD3E-4F75-9D9A-8C5BAB0A8078}"/>
    <cellStyle name="Normal 9 2 3 4 5" xfId="9515" xr:uid="{00000000-0005-0000-0000-0000FE5B0000}"/>
    <cellStyle name="Normal 9 2 3 4 6" xfId="26385" xr:uid="{942FF3A4-7823-49FA-8372-8B210F1E825D}"/>
    <cellStyle name="Normal 9 2 3 5" xfId="1403" xr:uid="{00000000-0005-0000-0000-0000FF5B0000}"/>
    <cellStyle name="Normal 9 2 3 5 2" xfId="3633" xr:uid="{00000000-0005-0000-0000-0000005C0000}"/>
    <cellStyle name="Normal 9 2 3 5 2 2" xfId="7856" xr:uid="{00000000-0005-0000-0000-0000015C0000}"/>
    <cellStyle name="Normal 9 2 3 5 2 2 2" xfId="24726" xr:uid="{00000000-0005-0000-0000-0000025C0000}"/>
    <cellStyle name="Normal 9 2 3 5 2 2 2 2" xfId="41594" xr:uid="{39705F7A-B2DF-4D8D-B740-8C51D2B0B986}"/>
    <cellStyle name="Normal 9 2 3 5 2 2 3" xfId="16291" xr:uid="{00000000-0005-0000-0000-0000035C0000}"/>
    <cellStyle name="Normal 9 2 3 5 2 2 4" xfId="33160" xr:uid="{FB147E48-2BF9-47D0-9A00-5023FDEC74D5}"/>
    <cellStyle name="Normal 9 2 3 5 2 3" xfId="20508" xr:uid="{00000000-0005-0000-0000-0000045C0000}"/>
    <cellStyle name="Normal 9 2 3 5 2 3 2" xfId="37377" xr:uid="{E8E275C8-1135-493F-A1E0-04E8BD08C3B1}"/>
    <cellStyle name="Normal 9 2 3 5 2 4" xfId="12073" xr:uid="{00000000-0005-0000-0000-0000055C0000}"/>
    <cellStyle name="Normal 9 2 3 5 2 5" xfId="28943" xr:uid="{426E35A7-E967-4ABD-A864-6B71A5F60FFA}"/>
    <cellStyle name="Normal 9 2 3 5 3" xfId="5711" xr:uid="{00000000-0005-0000-0000-0000065C0000}"/>
    <cellStyle name="Normal 9 2 3 5 3 2" xfId="22581" xr:uid="{00000000-0005-0000-0000-0000075C0000}"/>
    <cellStyle name="Normal 9 2 3 5 3 2 2" xfId="39449" xr:uid="{8C080BAE-E0D5-4453-BD5A-6CBB4AA1AB3B}"/>
    <cellStyle name="Normal 9 2 3 5 3 3" xfId="14146" xr:uid="{00000000-0005-0000-0000-0000085C0000}"/>
    <cellStyle name="Normal 9 2 3 5 3 4" xfId="31015" xr:uid="{54B78DB7-B7A2-452F-8492-C87DA01EE1B9}"/>
    <cellStyle name="Normal 9 2 3 5 4" xfId="18363" xr:uid="{00000000-0005-0000-0000-0000095C0000}"/>
    <cellStyle name="Normal 9 2 3 5 4 2" xfId="35232" xr:uid="{331DB4C9-B07A-4CFD-99FA-016AD68D6E6C}"/>
    <cellStyle name="Normal 9 2 3 5 5" xfId="9928" xr:uid="{00000000-0005-0000-0000-00000A5C0000}"/>
    <cellStyle name="Normal 9 2 3 5 6" xfId="26798" xr:uid="{76E0C089-49E8-4356-86B9-E74596BAACC8}"/>
    <cellStyle name="Normal 9 2 3 6" xfId="1816" xr:uid="{00000000-0005-0000-0000-00000B5C0000}"/>
    <cellStyle name="Normal 9 2 3 6 2" xfId="4046" xr:uid="{00000000-0005-0000-0000-00000C5C0000}"/>
    <cellStyle name="Normal 9 2 3 6 2 2" xfId="8269" xr:uid="{00000000-0005-0000-0000-00000D5C0000}"/>
    <cellStyle name="Normal 9 2 3 6 2 2 2" xfId="25139" xr:uid="{00000000-0005-0000-0000-00000E5C0000}"/>
    <cellStyle name="Normal 9 2 3 6 2 2 2 2" xfId="42007" xr:uid="{64AB4810-32D1-4A5C-85B3-AE9BE679E9A3}"/>
    <cellStyle name="Normal 9 2 3 6 2 2 3" xfId="16704" xr:uid="{00000000-0005-0000-0000-00000F5C0000}"/>
    <cellStyle name="Normal 9 2 3 6 2 2 4" xfId="33573" xr:uid="{6154037C-0423-4A29-BC84-008DCEE92895}"/>
    <cellStyle name="Normal 9 2 3 6 2 3" xfId="20921" xr:uid="{00000000-0005-0000-0000-0000105C0000}"/>
    <cellStyle name="Normal 9 2 3 6 2 3 2" xfId="37790" xr:uid="{AAF1C2FE-265F-4D33-A33C-CCF65B1F49CA}"/>
    <cellStyle name="Normal 9 2 3 6 2 4" xfId="12486" xr:uid="{00000000-0005-0000-0000-0000115C0000}"/>
    <cellStyle name="Normal 9 2 3 6 2 5" xfId="29356" xr:uid="{75DBE50D-F68A-4BF3-ADBA-5C1683A2724E}"/>
    <cellStyle name="Normal 9 2 3 6 3" xfId="6124" xr:uid="{00000000-0005-0000-0000-0000125C0000}"/>
    <cellStyle name="Normal 9 2 3 6 3 2" xfId="22994" xr:uid="{00000000-0005-0000-0000-0000135C0000}"/>
    <cellStyle name="Normal 9 2 3 6 3 2 2" xfId="39862" xr:uid="{5E50C7DA-040E-4635-B2C5-4A959F61B380}"/>
    <cellStyle name="Normal 9 2 3 6 3 3" xfId="14559" xr:uid="{00000000-0005-0000-0000-0000145C0000}"/>
    <cellStyle name="Normal 9 2 3 6 3 4" xfId="31428" xr:uid="{89E53210-D6E1-4EAC-A263-CFD7209D0CF1}"/>
    <cellStyle name="Normal 9 2 3 6 4" xfId="18776" xr:uid="{00000000-0005-0000-0000-0000155C0000}"/>
    <cellStyle name="Normal 9 2 3 6 4 2" xfId="35645" xr:uid="{0A94B873-739E-47FE-AA05-4E697935910E}"/>
    <cellStyle name="Normal 9 2 3 6 5" xfId="10341" xr:uid="{00000000-0005-0000-0000-0000165C0000}"/>
    <cellStyle name="Normal 9 2 3 6 6" xfId="27211" xr:uid="{B2ED539C-A8F7-481E-BF59-B33F156A28BA}"/>
    <cellStyle name="Normal 9 2 3 7" xfId="2230" xr:uid="{00000000-0005-0000-0000-0000175C0000}"/>
    <cellStyle name="Normal 9 2 3 7 2" xfId="4459" xr:uid="{00000000-0005-0000-0000-0000185C0000}"/>
    <cellStyle name="Normal 9 2 3 7 2 2" xfId="8682" xr:uid="{00000000-0005-0000-0000-0000195C0000}"/>
    <cellStyle name="Normal 9 2 3 7 2 2 2" xfId="25552" xr:uid="{00000000-0005-0000-0000-00001A5C0000}"/>
    <cellStyle name="Normal 9 2 3 7 2 2 2 2" xfId="42420" xr:uid="{4AD0AF4F-4447-4AD7-803A-0C95F294FD27}"/>
    <cellStyle name="Normal 9 2 3 7 2 2 3" xfId="17117" xr:uid="{00000000-0005-0000-0000-00001B5C0000}"/>
    <cellStyle name="Normal 9 2 3 7 2 2 4" xfId="33986" xr:uid="{9FD763C3-6446-40DE-B3C2-ACD68DD2F136}"/>
    <cellStyle name="Normal 9 2 3 7 2 3" xfId="21334" xr:uid="{00000000-0005-0000-0000-00001C5C0000}"/>
    <cellStyle name="Normal 9 2 3 7 2 3 2" xfId="38203" xr:uid="{B0344750-D894-482A-B2B9-C0CD418909FD}"/>
    <cellStyle name="Normal 9 2 3 7 2 4" xfId="12899" xr:uid="{00000000-0005-0000-0000-00001D5C0000}"/>
    <cellStyle name="Normal 9 2 3 7 2 5" xfId="29769" xr:uid="{63D6A7DB-FE7E-4574-A09A-B7EB533253F0}"/>
    <cellStyle name="Normal 9 2 3 7 3" xfId="6537" xr:uid="{00000000-0005-0000-0000-00001E5C0000}"/>
    <cellStyle name="Normal 9 2 3 7 3 2" xfId="23407" xr:uid="{00000000-0005-0000-0000-00001F5C0000}"/>
    <cellStyle name="Normal 9 2 3 7 3 2 2" xfId="40275" xr:uid="{15693072-3DFE-43EF-9898-E8D9A23D4532}"/>
    <cellStyle name="Normal 9 2 3 7 3 3" xfId="14972" xr:uid="{00000000-0005-0000-0000-0000205C0000}"/>
    <cellStyle name="Normal 9 2 3 7 3 4" xfId="31841" xr:uid="{FBDAA4A6-014B-4AB6-BE00-47029B9F3FD2}"/>
    <cellStyle name="Normal 9 2 3 7 4" xfId="19189" xr:uid="{00000000-0005-0000-0000-0000215C0000}"/>
    <cellStyle name="Normal 9 2 3 7 4 2" xfId="36058" xr:uid="{E3013729-3DC3-4B81-92BA-ACA567923317}"/>
    <cellStyle name="Normal 9 2 3 7 5" xfId="10754" xr:uid="{00000000-0005-0000-0000-0000225C0000}"/>
    <cellStyle name="Normal 9 2 3 7 6" xfId="27624" xr:uid="{BB07A5EA-9CCF-4CEA-942C-505EB3247A42}"/>
    <cellStyle name="Normal 9 2 3 8" xfId="2666" xr:uid="{00000000-0005-0000-0000-0000235C0000}"/>
    <cellStyle name="Normal 9 2 3 8 2" xfId="6950" xr:uid="{00000000-0005-0000-0000-0000245C0000}"/>
    <cellStyle name="Normal 9 2 3 8 2 2" xfId="23820" xr:uid="{00000000-0005-0000-0000-0000255C0000}"/>
    <cellStyle name="Normal 9 2 3 8 2 2 2" xfId="40688" xr:uid="{EE9CB250-B222-4255-8A6B-C56EE14AE307}"/>
    <cellStyle name="Normal 9 2 3 8 2 3" xfId="15385" xr:uid="{00000000-0005-0000-0000-0000265C0000}"/>
    <cellStyle name="Normal 9 2 3 8 2 4" xfId="32254" xr:uid="{9226F371-CC51-4B61-9AF7-B69D87F38400}"/>
    <cellStyle name="Normal 9 2 3 8 3" xfId="19602" xr:uid="{00000000-0005-0000-0000-0000275C0000}"/>
    <cellStyle name="Normal 9 2 3 8 3 2" xfId="36471" xr:uid="{A99DBE87-2636-4F93-AD62-592069D00F99}"/>
    <cellStyle name="Normal 9 2 3 8 4" xfId="11167" xr:uid="{00000000-0005-0000-0000-0000285C0000}"/>
    <cellStyle name="Normal 9 2 3 8 5" xfId="28037" xr:uid="{4148F0FD-2E29-4794-9DD2-CD0E52D87127}"/>
    <cellStyle name="Normal 9 2 3 9" xfId="4885" xr:uid="{00000000-0005-0000-0000-0000295C0000}"/>
    <cellStyle name="Normal 9 2 3 9 2" xfId="21755" xr:uid="{00000000-0005-0000-0000-00002A5C0000}"/>
    <cellStyle name="Normal 9 2 3 9 2 2" xfId="38623" xr:uid="{67535480-F8A0-4572-97FB-2180340579D4}"/>
    <cellStyle name="Normal 9 2 3 9 3" xfId="13320" xr:uid="{00000000-0005-0000-0000-00002B5C0000}"/>
    <cellStyle name="Normal 9 2 3 9 4" xfId="30189" xr:uid="{22470546-2EFD-4C35-B31E-E63E84BF0F26}"/>
    <cellStyle name="Normal 9 2 4" xfId="524" xr:uid="{00000000-0005-0000-0000-00002C5C0000}"/>
    <cellStyle name="Normal 9 2 4 10" xfId="9106" xr:uid="{00000000-0005-0000-0000-00002D5C0000}"/>
    <cellStyle name="Normal 9 2 4 11" xfId="25976" xr:uid="{0A7DF2E9-A624-4349-9114-BE2B8C8C909B}"/>
    <cellStyle name="Normal 9 2 4 2" xfId="525" xr:uid="{00000000-0005-0000-0000-00002E5C0000}"/>
    <cellStyle name="Normal 9 2 4 2 10" xfId="25977" xr:uid="{464CD137-3F92-45C7-A29B-683924C2F4FC}"/>
    <cellStyle name="Normal 9 2 4 2 2" xfId="992" xr:uid="{00000000-0005-0000-0000-00002F5C0000}"/>
    <cellStyle name="Normal 9 2 4 2 2 2" xfId="3225" xr:uid="{00000000-0005-0000-0000-0000305C0000}"/>
    <cellStyle name="Normal 9 2 4 2 2 2 2" xfId="7448" xr:uid="{00000000-0005-0000-0000-0000315C0000}"/>
    <cellStyle name="Normal 9 2 4 2 2 2 2 2" xfId="24318" xr:uid="{00000000-0005-0000-0000-0000325C0000}"/>
    <cellStyle name="Normal 9 2 4 2 2 2 2 2 2" xfId="41186" xr:uid="{F32E81E1-5C36-41FA-9CB6-BAB7B0BCD06E}"/>
    <cellStyle name="Normal 9 2 4 2 2 2 2 3" xfId="15883" xr:uid="{00000000-0005-0000-0000-0000335C0000}"/>
    <cellStyle name="Normal 9 2 4 2 2 2 2 4" xfId="32752" xr:uid="{2BAEC3E6-A14B-4B4C-87A5-1F6EEFF06C10}"/>
    <cellStyle name="Normal 9 2 4 2 2 2 3" xfId="20100" xr:uid="{00000000-0005-0000-0000-0000345C0000}"/>
    <cellStyle name="Normal 9 2 4 2 2 2 3 2" xfId="36969" xr:uid="{B65204E9-AA89-4E14-BABB-2993BD1FD662}"/>
    <cellStyle name="Normal 9 2 4 2 2 2 4" xfId="11665" xr:uid="{00000000-0005-0000-0000-0000355C0000}"/>
    <cellStyle name="Normal 9 2 4 2 2 2 5" xfId="28535" xr:uid="{EE37D27D-86CA-4B5F-976E-968C5034E394}"/>
    <cellStyle name="Normal 9 2 4 2 2 3" xfId="5303" xr:uid="{00000000-0005-0000-0000-0000365C0000}"/>
    <cellStyle name="Normal 9 2 4 2 2 3 2" xfId="22173" xr:uid="{00000000-0005-0000-0000-0000375C0000}"/>
    <cellStyle name="Normal 9 2 4 2 2 3 2 2" xfId="39041" xr:uid="{FDDE74AC-EC8C-4892-A64B-0617D47B75D0}"/>
    <cellStyle name="Normal 9 2 4 2 2 3 3" xfId="13738" xr:uid="{00000000-0005-0000-0000-0000385C0000}"/>
    <cellStyle name="Normal 9 2 4 2 2 3 4" xfId="30607" xr:uid="{505E3E48-DF20-4B72-9E4B-7C0CC66DADD8}"/>
    <cellStyle name="Normal 9 2 4 2 2 4" xfId="17955" xr:uid="{00000000-0005-0000-0000-0000395C0000}"/>
    <cellStyle name="Normal 9 2 4 2 2 4 2" xfId="34824" xr:uid="{3E5A3741-574A-432D-AABC-2BAB3F6EBCBC}"/>
    <cellStyle name="Normal 9 2 4 2 2 5" xfId="9520" xr:uid="{00000000-0005-0000-0000-00003A5C0000}"/>
    <cellStyle name="Normal 9 2 4 2 2 6" xfId="26390" xr:uid="{8F92E744-BD26-42C7-849E-60E52FB40713}"/>
    <cellStyle name="Normal 9 2 4 2 3" xfId="1408" xr:uid="{00000000-0005-0000-0000-00003B5C0000}"/>
    <cellStyle name="Normal 9 2 4 2 3 2" xfId="3638" xr:uid="{00000000-0005-0000-0000-00003C5C0000}"/>
    <cellStyle name="Normal 9 2 4 2 3 2 2" xfId="7861" xr:uid="{00000000-0005-0000-0000-00003D5C0000}"/>
    <cellStyle name="Normal 9 2 4 2 3 2 2 2" xfId="24731" xr:uid="{00000000-0005-0000-0000-00003E5C0000}"/>
    <cellStyle name="Normal 9 2 4 2 3 2 2 2 2" xfId="41599" xr:uid="{DA2B37B1-6F09-46AF-B69F-27F918462488}"/>
    <cellStyle name="Normal 9 2 4 2 3 2 2 3" xfId="16296" xr:uid="{00000000-0005-0000-0000-00003F5C0000}"/>
    <cellStyle name="Normal 9 2 4 2 3 2 2 4" xfId="33165" xr:uid="{4C820536-8E01-4CD7-8671-1336F8D9692E}"/>
    <cellStyle name="Normal 9 2 4 2 3 2 3" xfId="20513" xr:uid="{00000000-0005-0000-0000-0000405C0000}"/>
    <cellStyle name="Normal 9 2 4 2 3 2 3 2" xfId="37382" xr:uid="{219D35C5-E28C-4D92-A9DB-4ADB9E418E37}"/>
    <cellStyle name="Normal 9 2 4 2 3 2 4" xfId="12078" xr:uid="{00000000-0005-0000-0000-0000415C0000}"/>
    <cellStyle name="Normal 9 2 4 2 3 2 5" xfId="28948" xr:uid="{74295119-468F-48B1-886B-56AC17576078}"/>
    <cellStyle name="Normal 9 2 4 2 3 3" xfId="5716" xr:uid="{00000000-0005-0000-0000-0000425C0000}"/>
    <cellStyle name="Normal 9 2 4 2 3 3 2" xfId="22586" xr:uid="{00000000-0005-0000-0000-0000435C0000}"/>
    <cellStyle name="Normal 9 2 4 2 3 3 2 2" xfId="39454" xr:uid="{FCAB9C82-B156-4857-9F0B-BFA4BC496549}"/>
    <cellStyle name="Normal 9 2 4 2 3 3 3" xfId="14151" xr:uid="{00000000-0005-0000-0000-0000445C0000}"/>
    <cellStyle name="Normal 9 2 4 2 3 3 4" xfId="31020" xr:uid="{F04EEBE8-6A5C-42F8-9078-22FEF70B5B7E}"/>
    <cellStyle name="Normal 9 2 4 2 3 4" xfId="18368" xr:uid="{00000000-0005-0000-0000-0000455C0000}"/>
    <cellStyle name="Normal 9 2 4 2 3 4 2" xfId="35237" xr:uid="{D1F34C0A-6C10-47A2-A28E-7D1874C73FD3}"/>
    <cellStyle name="Normal 9 2 4 2 3 5" xfId="9933" xr:uid="{00000000-0005-0000-0000-0000465C0000}"/>
    <cellStyle name="Normal 9 2 4 2 3 6" xfId="26803" xr:uid="{DCF48649-FF66-48ED-BE15-DD327B09F510}"/>
    <cellStyle name="Normal 9 2 4 2 4" xfId="1821" xr:uid="{00000000-0005-0000-0000-0000475C0000}"/>
    <cellStyle name="Normal 9 2 4 2 4 2" xfId="4051" xr:uid="{00000000-0005-0000-0000-0000485C0000}"/>
    <cellStyle name="Normal 9 2 4 2 4 2 2" xfId="8274" xr:uid="{00000000-0005-0000-0000-0000495C0000}"/>
    <cellStyle name="Normal 9 2 4 2 4 2 2 2" xfId="25144" xr:uid="{00000000-0005-0000-0000-00004A5C0000}"/>
    <cellStyle name="Normal 9 2 4 2 4 2 2 2 2" xfId="42012" xr:uid="{555A4C17-F1E3-4865-8BE6-51A1BCE04F21}"/>
    <cellStyle name="Normal 9 2 4 2 4 2 2 3" xfId="16709" xr:uid="{00000000-0005-0000-0000-00004B5C0000}"/>
    <cellStyle name="Normal 9 2 4 2 4 2 2 4" xfId="33578" xr:uid="{8A89D49B-EC26-4C6A-A41E-D2883F209701}"/>
    <cellStyle name="Normal 9 2 4 2 4 2 3" xfId="20926" xr:uid="{00000000-0005-0000-0000-00004C5C0000}"/>
    <cellStyle name="Normal 9 2 4 2 4 2 3 2" xfId="37795" xr:uid="{CA082C48-4CBD-44BC-82BC-EA51280461CC}"/>
    <cellStyle name="Normal 9 2 4 2 4 2 4" xfId="12491" xr:uid="{00000000-0005-0000-0000-00004D5C0000}"/>
    <cellStyle name="Normal 9 2 4 2 4 2 5" xfId="29361" xr:uid="{BC9A46A5-3E20-4DBF-908E-ACFFE4F38DE2}"/>
    <cellStyle name="Normal 9 2 4 2 4 3" xfId="6129" xr:uid="{00000000-0005-0000-0000-00004E5C0000}"/>
    <cellStyle name="Normal 9 2 4 2 4 3 2" xfId="22999" xr:uid="{00000000-0005-0000-0000-00004F5C0000}"/>
    <cellStyle name="Normal 9 2 4 2 4 3 2 2" xfId="39867" xr:uid="{EB09307A-2DBF-45BC-8377-F953BB461819}"/>
    <cellStyle name="Normal 9 2 4 2 4 3 3" xfId="14564" xr:uid="{00000000-0005-0000-0000-0000505C0000}"/>
    <cellStyle name="Normal 9 2 4 2 4 3 4" xfId="31433" xr:uid="{02ED1C19-C8CA-49CE-A32D-79A5A997B707}"/>
    <cellStyle name="Normal 9 2 4 2 4 4" xfId="18781" xr:uid="{00000000-0005-0000-0000-0000515C0000}"/>
    <cellStyle name="Normal 9 2 4 2 4 4 2" xfId="35650" xr:uid="{C61888BE-3082-448F-B985-531D7390C6F6}"/>
    <cellStyle name="Normal 9 2 4 2 4 5" xfId="10346" xr:uid="{00000000-0005-0000-0000-0000525C0000}"/>
    <cellStyle name="Normal 9 2 4 2 4 6" xfId="27216" xr:uid="{E72AF66C-A642-46D8-8E42-C74DFED5CBA5}"/>
    <cellStyle name="Normal 9 2 4 2 5" xfId="2235" xr:uid="{00000000-0005-0000-0000-0000535C0000}"/>
    <cellStyle name="Normal 9 2 4 2 5 2" xfId="4464" xr:uid="{00000000-0005-0000-0000-0000545C0000}"/>
    <cellStyle name="Normal 9 2 4 2 5 2 2" xfId="8687" xr:uid="{00000000-0005-0000-0000-0000555C0000}"/>
    <cellStyle name="Normal 9 2 4 2 5 2 2 2" xfId="25557" xr:uid="{00000000-0005-0000-0000-0000565C0000}"/>
    <cellStyle name="Normal 9 2 4 2 5 2 2 2 2" xfId="42425" xr:uid="{2C4B6760-D314-4C1F-9380-7A7C6B8619E1}"/>
    <cellStyle name="Normal 9 2 4 2 5 2 2 3" xfId="17122" xr:uid="{00000000-0005-0000-0000-0000575C0000}"/>
    <cellStyle name="Normal 9 2 4 2 5 2 2 4" xfId="33991" xr:uid="{4299F4AE-A0CD-468F-8865-9335A2AC4E56}"/>
    <cellStyle name="Normal 9 2 4 2 5 2 3" xfId="21339" xr:uid="{00000000-0005-0000-0000-0000585C0000}"/>
    <cellStyle name="Normal 9 2 4 2 5 2 3 2" xfId="38208" xr:uid="{5BB30CF0-D560-4744-ADFA-DF75C5EA2E68}"/>
    <cellStyle name="Normal 9 2 4 2 5 2 4" xfId="12904" xr:uid="{00000000-0005-0000-0000-0000595C0000}"/>
    <cellStyle name="Normal 9 2 4 2 5 2 5" xfId="29774" xr:uid="{F0CE6D1A-F1D9-48AB-AB1D-40507780BD12}"/>
    <cellStyle name="Normal 9 2 4 2 5 3" xfId="6542" xr:uid="{00000000-0005-0000-0000-00005A5C0000}"/>
    <cellStyle name="Normal 9 2 4 2 5 3 2" xfId="23412" xr:uid="{00000000-0005-0000-0000-00005B5C0000}"/>
    <cellStyle name="Normal 9 2 4 2 5 3 2 2" xfId="40280" xr:uid="{659E54A2-E78F-4876-A260-39D19E272E36}"/>
    <cellStyle name="Normal 9 2 4 2 5 3 3" xfId="14977" xr:uid="{00000000-0005-0000-0000-00005C5C0000}"/>
    <cellStyle name="Normal 9 2 4 2 5 3 4" xfId="31846" xr:uid="{0F08864E-4C91-489C-AA3F-DE582E0C52CF}"/>
    <cellStyle name="Normal 9 2 4 2 5 4" xfId="19194" xr:uid="{00000000-0005-0000-0000-00005D5C0000}"/>
    <cellStyle name="Normal 9 2 4 2 5 4 2" xfId="36063" xr:uid="{20DCB33E-3C5C-4F07-B7DE-CC14E5816457}"/>
    <cellStyle name="Normal 9 2 4 2 5 5" xfId="10759" xr:uid="{00000000-0005-0000-0000-00005E5C0000}"/>
    <cellStyle name="Normal 9 2 4 2 5 6" xfId="27629" xr:uid="{81C76E22-801E-41AB-BF59-25AC55286174}"/>
    <cellStyle name="Normal 9 2 4 2 6" xfId="2671" xr:uid="{00000000-0005-0000-0000-00005F5C0000}"/>
    <cellStyle name="Normal 9 2 4 2 6 2" xfId="6955" xr:uid="{00000000-0005-0000-0000-0000605C0000}"/>
    <cellStyle name="Normal 9 2 4 2 6 2 2" xfId="23825" xr:uid="{00000000-0005-0000-0000-0000615C0000}"/>
    <cellStyle name="Normal 9 2 4 2 6 2 2 2" xfId="40693" xr:uid="{29B6E6E6-35C7-4285-A1E2-8C39B24E7375}"/>
    <cellStyle name="Normal 9 2 4 2 6 2 3" xfId="15390" xr:uid="{00000000-0005-0000-0000-0000625C0000}"/>
    <cellStyle name="Normal 9 2 4 2 6 2 4" xfId="32259" xr:uid="{55037250-D201-4722-B9E2-1F21FFD9E052}"/>
    <cellStyle name="Normal 9 2 4 2 6 3" xfId="19607" xr:uid="{00000000-0005-0000-0000-0000635C0000}"/>
    <cellStyle name="Normal 9 2 4 2 6 3 2" xfId="36476" xr:uid="{57C52252-35AC-4F81-B762-57D041267B3B}"/>
    <cellStyle name="Normal 9 2 4 2 6 4" xfId="11172" xr:uid="{00000000-0005-0000-0000-0000645C0000}"/>
    <cellStyle name="Normal 9 2 4 2 6 5" xfId="28042" xr:uid="{16550BE9-2E72-41F2-939F-AFF0F344680D}"/>
    <cellStyle name="Normal 9 2 4 2 7" xfId="4890" xr:uid="{00000000-0005-0000-0000-0000655C0000}"/>
    <cellStyle name="Normal 9 2 4 2 7 2" xfId="21760" xr:uid="{00000000-0005-0000-0000-0000665C0000}"/>
    <cellStyle name="Normal 9 2 4 2 7 2 2" xfId="38628" xr:uid="{2441FEA5-503A-48F0-A18A-53A7D413B2AD}"/>
    <cellStyle name="Normal 9 2 4 2 7 3" xfId="13325" xr:uid="{00000000-0005-0000-0000-0000675C0000}"/>
    <cellStyle name="Normal 9 2 4 2 7 4" xfId="30194" xr:uid="{D805CF23-8D09-4574-9242-0E7C7B23CEBD}"/>
    <cellStyle name="Normal 9 2 4 2 8" xfId="17542" xr:uid="{00000000-0005-0000-0000-0000685C0000}"/>
    <cellStyle name="Normal 9 2 4 2 8 2" xfId="34411" xr:uid="{EE1EF7AC-A59E-4275-B2F1-FBDBA06CECAC}"/>
    <cellStyle name="Normal 9 2 4 2 9" xfId="9107" xr:uid="{00000000-0005-0000-0000-0000695C0000}"/>
    <cellStyle name="Normal 9 2 4 3" xfId="991" xr:uid="{00000000-0005-0000-0000-00006A5C0000}"/>
    <cellStyle name="Normal 9 2 4 3 2" xfId="3224" xr:uid="{00000000-0005-0000-0000-00006B5C0000}"/>
    <cellStyle name="Normal 9 2 4 3 2 2" xfId="7447" xr:uid="{00000000-0005-0000-0000-00006C5C0000}"/>
    <cellStyle name="Normal 9 2 4 3 2 2 2" xfId="24317" xr:uid="{00000000-0005-0000-0000-00006D5C0000}"/>
    <cellStyle name="Normal 9 2 4 3 2 2 2 2" xfId="41185" xr:uid="{04E3ADBD-C903-4A09-8985-F6818ED6EC71}"/>
    <cellStyle name="Normal 9 2 4 3 2 2 3" xfId="15882" xr:uid="{00000000-0005-0000-0000-00006E5C0000}"/>
    <cellStyle name="Normal 9 2 4 3 2 2 4" xfId="32751" xr:uid="{F30E329F-7BAC-4BB4-A65F-7F5A7D5E9CFC}"/>
    <cellStyle name="Normal 9 2 4 3 2 3" xfId="20099" xr:uid="{00000000-0005-0000-0000-00006F5C0000}"/>
    <cellStyle name="Normal 9 2 4 3 2 3 2" xfId="36968" xr:uid="{AD309EFB-8E0D-4796-B1EF-E8B0B692D07C}"/>
    <cellStyle name="Normal 9 2 4 3 2 4" xfId="11664" xr:uid="{00000000-0005-0000-0000-0000705C0000}"/>
    <cellStyle name="Normal 9 2 4 3 2 5" xfId="28534" xr:uid="{AC82DC18-31B0-42E5-89D0-105FE4F7FA93}"/>
    <cellStyle name="Normal 9 2 4 3 3" xfId="5302" xr:uid="{00000000-0005-0000-0000-0000715C0000}"/>
    <cellStyle name="Normal 9 2 4 3 3 2" xfId="22172" xr:uid="{00000000-0005-0000-0000-0000725C0000}"/>
    <cellStyle name="Normal 9 2 4 3 3 2 2" xfId="39040" xr:uid="{3E724AA4-FA27-4DDF-A25B-4B6814693F33}"/>
    <cellStyle name="Normal 9 2 4 3 3 3" xfId="13737" xr:uid="{00000000-0005-0000-0000-0000735C0000}"/>
    <cellStyle name="Normal 9 2 4 3 3 4" xfId="30606" xr:uid="{8DBAD60A-E629-4C4A-977B-8F8DD689CABE}"/>
    <cellStyle name="Normal 9 2 4 3 4" xfId="17954" xr:uid="{00000000-0005-0000-0000-0000745C0000}"/>
    <cellStyle name="Normal 9 2 4 3 4 2" xfId="34823" xr:uid="{C2C354D4-7AC6-4739-8B1D-753459FDFF77}"/>
    <cellStyle name="Normal 9 2 4 3 5" xfId="9519" xr:uid="{00000000-0005-0000-0000-0000755C0000}"/>
    <cellStyle name="Normal 9 2 4 3 6" xfId="26389" xr:uid="{34A128CB-8A0E-456B-AA4C-21203C9A2189}"/>
    <cellStyle name="Normal 9 2 4 4" xfId="1407" xr:uid="{00000000-0005-0000-0000-0000765C0000}"/>
    <cellStyle name="Normal 9 2 4 4 2" xfId="3637" xr:uid="{00000000-0005-0000-0000-0000775C0000}"/>
    <cellStyle name="Normal 9 2 4 4 2 2" xfId="7860" xr:uid="{00000000-0005-0000-0000-0000785C0000}"/>
    <cellStyle name="Normal 9 2 4 4 2 2 2" xfId="24730" xr:uid="{00000000-0005-0000-0000-0000795C0000}"/>
    <cellStyle name="Normal 9 2 4 4 2 2 2 2" xfId="41598" xr:uid="{42471492-7346-48D4-A22E-4544A9357F35}"/>
    <cellStyle name="Normal 9 2 4 4 2 2 3" xfId="16295" xr:uid="{00000000-0005-0000-0000-00007A5C0000}"/>
    <cellStyle name="Normal 9 2 4 4 2 2 4" xfId="33164" xr:uid="{EAA47920-3F84-4C25-B703-838D7DF26F07}"/>
    <cellStyle name="Normal 9 2 4 4 2 3" xfId="20512" xr:uid="{00000000-0005-0000-0000-00007B5C0000}"/>
    <cellStyle name="Normal 9 2 4 4 2 3 2" xfId="37381" xr:uid="{5CEAD80C-C9AC-488F-BD89-2C6A7EE549F9}"/>
    <cellStyle name="Normal 9 2 4 4 2 4" xfId="12077" xr:uid="{00000000-0005-0000-0000-00007C5C0000}"/>
    <cellStyle name="Normal 9 2 4 4 2 5" xfId="28947" xr:uid="{FDE2BB2A-284F-41DC-9E04-B2D6FE72093F}"/>
    <cellStyle name="Normal 9 2 4 4 3" xfId="5715" xr:uid="{00000000-0005-0000-0000-00007D5C0000}"/>
    <cellStyle name="Normal 9 2 4 4 3 2" xfId="22585" xr:uid="{00000000-0005-0000-0000-00007E5C0000}"/>
    <cellStyle name="Normal 9 2 4 4 3 2 2" xfId="39453" xr:uid="{DE7B7DC0-404F-4CEF-9A26-E2DCCEA8F035}"/>
    <cellStyle name="Normal 9 2 4 4 3 3" xfId="14150" xr:uid="{00000000-0005-0000-0000-00007F5C0000}"/>
    <cellStyle name="Normal 9 2 4 4 3 4" xfId="31019" xr:uid="{BBECF803-8739-4521-84D4-3B6F0E991255}"/>
    <cellStyle name="Normal 9 2 4 4 4" xfId="18367" xr:uid="{00000000-0005-0000-0000-0000805C0000}"/>
    <cellStyle name="Normal 9 2 4 4 4 2" xfId="35236" xr:uid="{040AAE0A-9B32-4E3F-9595-6E3CDCDC5589}"/>
    <cellStyle name="Normal 9 2 4 4 5" xfId="9932" xr:uid="{00000000-0005-0000-0000-0000815C0000}"/>
    <cellStyle name="Normal 9 2 4 4 6" xfId="26802" xr:uid="{A15A4EAA-3115-4E4D-9FD9-D925C855FF6C}"/>
    <cellStyle name="Normal 9 2 4 5" xfId="1820" xr:uid="{00000000-0005-0000-0000-0000825C0000}"/>
    <cellStyle name="Normal 9 2 4 5 2" xfId="4050" xr:uid="{00000000-0005-0000-0000-0000835C0000}"/>
    <cellStyle name="Normal 9 2 4 5 2 2" xfId="8273" xr:uid="{00000000-0005-0000-0000-0000845C0000}"/>
    <cellStyle name="Normal 9 2 4 5 2 2 2" xfId="25143" xr:uid="{00000000-0005-0000-0000-0000855C0000}"/>
    <cellStyle name="Normal 9 2 4 5 2 2 2 2" xfId="42011" xr:uid="{5F7F618F-0EEB-414A-8BB9-503CE7F4B996}"/>
    <cellStyle name="Normal 9 2 4 5 2 2 3" xfId="16708" xr:uid="{00000000-0005-0000-0000-0000865C0000}"/>
    <cellStyle name="Normal 9 2 4 5 2 2 4" xfId="33577" xr:uid="{ECEC8932-DE09-4700-906A-F542D7453096}"/>
    <cellStyle name="Normal 9 2 4 5 2 3" xfId="20925" xr:uid="{00000000-0005-0000-0000-0000875C0000}"/>
    <cellStyle name="Normal 9 2 4 5 2 3 2" xfId="37794" xr:uid="{5A90B357-4FCB-44CF-BBC6-6A416FC9BB05}"/>
    <cellStyle name="Normal 9 2 4 5 2 4" xfId="12490" xr:uid="{00000000-0005-0000-0000-0000885C0000}"/>
    <cellStyle name="Normal 9 2 4 5 2 5" xfId="29360" xr:uid="{7066809B-FA7C-42A6-9FE6-BA16A0FD218F}"/>
    <cellStyle name="Normal 9 2 4 5 3" xfId="6128" xr:uid="{00000000-0005-0000-0000-0000895C0000}"/>
    <cellStyle name="Normal 9 2 4 5 3 2" xfId="22998" xr:uid="{00000000-0005-0000-0000-00008A5C0000}"/>
    <cellStyle name="Normal 9 2 4 5 3 2 2" xfId="39866" xr:uid="{A47183AB-9836-4654-BBAC-06C587D9B41B}"/>
    <cellStyle name="Normal 9 2 4 5 3 3" xfId="14563" xr:uid="{00000000-0005-0000-0000-00008B5C0000}"/>
    <cellStyle name="Normal 9 2 4 5 3 4" xfId="31432" xr:uid="{431956DA-7FF4-4E9E-B515-327E5AC4951D}"/>
    <cellStyle name="Normal 9 2 4 5 4" xfId="18780" xr:uid="{00000000-0005-0000-0000-00008C5C0000}"/>
    <cellStyle name="Normal 9 2 4 5 4 2" xfId="35649" xr:uid="{DC5FD59C-AED1-4245-AEBD-4077BB88C3BA}"/>
    <cellStyle name="Normal 9 2 4 5 5" xfId="10345" xr:uid="{00000000-0005-0000-0000-00008D5C0000}"/>
    <cellStyle name="Normal 9 2 4 5 6" xfId="27215" xr:uid="{A60C54B5-F58F-48D2-8B77-2E787ACEF201}"/>
    <cellStyle name="Normal 9 2 4 6" xfId="2234" xr:uid="{00000000-0005-0000-0000-00008E5C0000}"/>
    <cellStyle name="Normal 9 2 4 6 2" xfId="4463" xr:uid="{00000000-0005-0000-0000-00008F5C0000}"/>
    <cellStyle name="Normal 9 2 4 6 2 2" xfId="8686" xr:uid="{00000000-0005-0000-0000-0000905C0000}"/>
    <cellStyle name="Normal 9 2 4 6 2 2 2" xfId="25556" xr:uid="{00000000-0005-0000-0000-0000915C0000}"/>
    <cellStyle name="Normal 9 2 4 6 2 2 2 2" xfId="42424" xr:uid="{FD1E6417-AD3B-43F3-BB0C-5EFC869525EB}"/>
    <cellStyle name="Normal 9 2 4 6 2 2 3" xfId="17121" xr:uid="{00000000-0005-0000-0000-0000925C0000}"/>
    <cellStyle name="Normal 9 2 4 6 2 2 4" xfId="33990" xr:uid="{FE9248EC-D637-405D-93EB-3B3721AAD779}"/>
    <cellStyle name="Normal 9 2 4 6 2 3" xfId="21338" xr:uid="{00000000-0005-0000-0000-0000935C0000}"/>
    <cellStyle name="Normal 9 2 4 6 2 3 2" xfId="38207" xr:uid="{B1707C96-9843-404D-855F-F69F45150120}"/>
    <cellStyle name="Normal 9 2 4 6 2 4" xfId="12903" xr:uid="{00000000-0005-0000-0000-0000945C0000}"/>
    <cellStyle name="Normal 9 2 4 6 2 5" xfId="29773" xr:uid="{3FDEFE58-8779-4191-80A3-8AFD1B365919}"/>
    <cellStyle name="Normal 9 2 4 6 3" xfId="6541" xr:uid="{00000000-0005-0000-0000-0000955C0000}"/>
    <cellStyle name="Normal 9 2 4 6 3 2" xfId="23411" xr:uid="{00000000-0005-0000-0000-0000965C0000}"/>
    <cellStyle name="Normal 9 2 4 6 3 2 2" xfId="40279" xr:uid="{1BDF672B-7493-4C16-ACBF-A6B56C1FE8A9}"/>
    <cellStyle name="Normal 9 2 4 6 3 3" xfId="14976" xr:uid="{00000000-0005-0000-0000-0000975C0000}"/>
    <cellStyle name="Normal 9 2 4 6 3 4" xfId="31845" xr:uid="{C5D29152-2255-47E1-B740-B4B920150354}"/>
    <cellStyle name="Normal 9 2 4 6 4" xfId="19193" xr:uid="{00000000-0005-0000-0000-0000985C0000}"/>
    <cellStyle name="Normal 9 2 4 6 4 2" xfId="36062" xr:uid="{B39D7809-4BCC-49AE-80E5-786B4B33031C}"/>
    <cellStyle name="Normal 9 2 4 6 5" xfId="10758" xr:uid="{00000000-0005-0000-0000-0000995C0000}"/>
    <cellStyle name="Normal 9 2 4 6 6" xfId="27628" xr:uid="{82E3EA64-A4F1-474D-8C15-AAD5734CD0E8}"/>
    <cellStyle name="Normal 9 2 4 7" xfId="2670" xr:uid="{00000000-0005-0000-0000-00009A5C0000}"/>
    <cellStyle name="Normal 9 2 4 7 2" xfId="6954" xr:uid="{00000000-0005-0000-0000-00009B5C0000}"/>
    <cellStyle name="Normal 9 2 4 7 2 2" xfId="23824" xr:uid="{00000000-0005-0000-0000-00009C5C0000}"/>
    <cellStyle name="Normal 9 2 4 7 2 2 2" xfId="40692" xr:uid="{521670A2-8CEE-4C64-B807-E1DD92E617C5}"/>
    <cellStyle name="Normal 9 2 4 7 2 3" xfId="15389" xr:uid="{00000000-0005-0000-0000-00009D5C0000}"/>
    <cellStyle name="Normal 9 2 4 7 2 4" xfId="32258" xr:uid="{D1090DCD-090B-4B8E-8889-7A45949DFF03}"/>
    <cellStyle name="Normal 9 2 4 7 3" xfId="19606" xr:uid="{00000000-0005-0000-0000-00009E5C0000}"/>
    <cellStyle name="Normal 9 2 4 7 3 2" xfId="36475" xr:uid="{E51D1109-3325-469E-B1F8-294003471F82}"/>
    <cellStyle name="Normal 9 2 4 7 4" xfId="11171" xr:uid="{00000000-0005-0000-0000-00009F5C0000}"/>
    <cellStyle name="Normal 9 2 4 7 5" xfId="28041" xr:uid="{79F7B4D4-26F8-4EAA-8DA2-33E7CCF2A4BD}"/>
    <cellStyle name="Normal 9 2 4 8" xfId="4889" xr:uid="{00000000-0005-0000-0000-0000A05C0000}"/>
    <cellStyle name="Normal 9 2 4 8 2" xfId="21759" xr:uid="{00000000-0005-0000-0000-0000A15C0000}"/>
    <cellStyle name="Normal 9 2 4 8 2 2" xfId="38627" xr:uid="{BE9806D5-C91E-499B-875B-208045FC3B17}"/>
    <cellStyle name="Normal 9 2 4 8 3" xfId="13324" xr:uid="{00000000-0005-0000-0000-0000A25C0000}"/>
    <cellStyle name="Normal 9 2 4 8 4" xfId="30193" xr:uid="{ABDD3E10-A357-4991-9B8E-4213C09156EF}"/>
    <cellStyle name="Normal 9 2 4 9" xfId="17541" xr:uid="{00000000-0005-0000-0000-0000A35C0000}"/>
    <cellStyle name="Normal 9 2 4 9 2" xfId="34410" xr:uid="{99C4DD63-37CD-4F4D-B512-57AFB684A7E9}"/>
    <cellStyle name="Normal 9 2 5" xfId="526" xr:uid="{00000000-0005-0000-0000-0000A45C0000}"/>
    <cellStyle name="Normal 9 2 5 10" xfId="25978" xr:uid="{E640F2E1-52E1-494D-A654-1723AF9C5F6E}"/>
    <cellStyle name="Normal 9 2 5 2" xfId="993" xr:uid="{00000000-0005-0000-0000-0000A55C0000}"/>
    <cellStyle name="Normal 9 2 5 2 2" xfId="3226" xr:uid="{00000000-0005-0000-0000-0000A65C0000}"/>
    <cellStyle name="Normal 9 2 5 2 2 2" xfId="7449" xr:uid="{00000000-0005-0000-0000-0000A75C0000}"/>
    <cellStyle name="Normal 9 2 5 2 2 2 2" xfId="24319" xr:uid="{00000000-0005-0000-0000-0000A85C0000}"/>
    <cellStyle name="Normal 9 2 5 2 2 2 2 2" xfId="41187" xr:uid="{D997DC64-E69D-43B3-90B7-6E20EC7E31E2}"/>
    <cellStyle name="Normal 9 2 5 2 2 2 3" xfId="15884" xr:uid="{00000000-0005-0000-0000-0000A95C0000}"/>
    <cellStyle name="Normal 9 2 5 2 2 2 4" xfId="32753" xr:uid="{1D166718-C97C-4221-BDB9-88A176F53669}"/>
    <cellStyle name="Normal 9 2 5 2 2 3" xfId="20101" xr:uid="{00000000-0005-0000-0000-0000AA5C0000}"/>
    <cellStyle name="Normal 9 2 5 2 2 3 2" xfId="36970" xr:uid="{BEA27D0D-ACCD-4929-984B-EA6B827E9159}"/>
    <cellStyle name="Normal 9 2 5 2 2 4" xfId="11666" xr:uid="{00000000-0005-0000-0000-0000AB5C0000}"/>
    <cellStyle name="Normal 9 2 5 2 2 5" xfId="28536" xr:uid="{02874D61-BA1F-4692-B125-3356C5FBBC6F}"/>
    <cellStyle name="Normal 9 2 5 2 3" xfId="5304" xr:uid="{00000000-0005-0000-0000-0000AC5C0000}"/>
    <cellStyle name="Normal 9 2 5 2 3 2" xfId="22174" xr:uid="{00000000-0005-0000-0000-0000AD5C0000}"/>
    <cellStyle name="Normal 9 2 5 2 3 2 2" xfId="39042" xr:uid="{EFC17E9F-FE92-4507-89CD-DD203CC2F6B3}"/>
    <cellStyle name="Normal 9 2 5 2 3 3" xfId="13739" xr:uid="{00000000-0005-0000-0000-0000AE5C0000}"/>
    <cellStyle name="Normal 9 2 5 2 3 4" xfId="30608" xr:uid="{39B4127A-392A-4D4E-A646-C08D7C19987F}"/>
    <cellStyle name="Normal 9 2 5 2 4" xfId="17956" xr:uid="{00000000-0005-0000-0000-0000AF5C0000}"/>
    <cellStyle name="Normal 9 2 5 2 4 2" xfId="34825" xr:uid="{4715501D-6ACC-4275-A4E7-36620A13C969}"/>
    <cellStyle name="Normal 9 2 5 2 5" xfId="9521" xr:uid="{00000000-0005-0000-0000-0000B05C0000}"/>
    <cellStyle name="Normal 9 2 5 2 6" xfId="26391" xr:uid="{0ED3A9F8-AD2E-42C4-A0E7-BDF334335CE6}"/>
    <cellStyle name="Normal 9 2 5 3" xfId="1409" xr:uid="{00000000-0005-0000-0000-0000B15C0000}"/>
    <cellStyle name="Normal 9 2 5 3 2" xfId="3639" xr:uid="{00000000-0005-0000-0000-0000B25C0000}"/>
    <cellStyle name="Normal 9 2 5 3 2 2" xfId="7862" xr:uid="{00000000-0005-0000-0000-0000B35C0000}"/>
    <cellStyle name="Normal 9 2 5 3 2 2 2" xfId="24732" xr:uid="{00000000-0005-0000-0000-0000B45C0000}"/>
    <cellStyle name="Normal 9 2 5 3 2 2 2 2" xfId="41600" xr:uid="{7866A570-1D53-4F23-9541-4A95C9EB6D70}"/>
    <cellStyle name="Normal 9 2 5 3 2 2 3" xfId="16297" xr:uid="{00000000-0005-0000-0000-0000B55C0000}"/>
    <cellStyle name="Normal 9 2 5 3 2 2 4" xfId="33166" xr:uid="{17551521-E6F3-44E7-A856-52FC5C853877}"/>
    <cellStyle name="Normal 9 2 5 3 2 3" xfId="20514" xr:uid="{00000000-0005-0000-0000-0000B65C0000}"/>
    <cellStyle name="Normal 9 2 5 3 2 3 2" xfId="37383" xr:uid="{B9E62E45-7FD1-44BD-9035-CCD46472C4FD}"/>
    <cellStyle name="Normal 9 2 5 3 2 4" xfId="12079" xr:uid="{00000000-0005-0000-0000-0000B75C0000}"/>
    <cellStyle name="Normal 9 2 5 3 2 5" xfId="28949" xr:uid="{1B052139-2D3B-416C-B640-7E36C73286C2}"/>
    <cellStyle name="Normal 9 2 5 3 3" xfId="5717" xr:uid="{00000000-0005-0000-0000-0000B85C0000}"/>
    <cellStyle name="Normal 9 2 5 3 3 2" xfId="22587" xr:uid="{00000000-0005-0000-0000-0000B95C0000}"/>
    <cellStyle name="Normal 9 2 5 3 3 2 2" xfId="39455" xr:uid="{663C2E74-8234-4C3C-BA5B-A977943BD060}"/>
    <cellStyle name="Normal 9 2 5 3 3 3" xfId="14152" xr:uid="{00000000-0005-0000-0000-0000BA5C0000}"/>
    <cellStyle name="Normal 9 2 5 3 3 4" xfId="31021" xr:uid="{5A855D71-1031-4511-A623-F87E3C845052}"/>
    <cellStyle name="Normal 9 2 5 3 4" xfId="18369" xr:uid="{00000000-0005-0000-0000-0000BB5C0000}"/>
    <cellStyle name="Normal 9 2 5 3 4 2" xfId="35238" xr:uid="{9CD186CA-570E-4E6C-9B37-9326292C9D15}"/>
    <cellStyle name="Normal 9 2 5 3 5" xfId="9934" xr:uid="{00000000-0005-0000-0000-0000BC5C0000}"/>
    <cellStyle name="Normal 9 2 5 3 6" xfId="26804" xr:uid="{E3ADE2F3-CD58-4028-B43F-39F5CD6C3FC9}"/>
    <cellStyle name="Normal 9 2 5 4" xfId="1822" xr:uid="{00000000-0005-0000-0000-0000BD5C0000}"/>
    <cellStyle name="Normal 9 2 5 4 2" xfId="4052" xr:uid="{00000000-0005-0000-0000-0000BE5C0000}"/>
    <cellStyle name="Normal 9 2 5 4 2 2" xfId="8275" xr:uid="{00000000-0005-0000-0000-0000BF5C0000}"/>
    <cellStyle name="Normal 9 2 5 4 2 2 2" xfId="25145" xr:uid="{00000000-0005-0000-0000-0000C05C0000}"/>
    <cellStyle name="Normal 9 2 5 4 2 2 2 2" xfId="42013" xr:uid="{5524CD9C-712B-4324-BA9B-07F117214B88}"/>
    <cellStyle name="Normal 9 2 5 4 2 2 3" xfId="16710" xr:uid="{00000000-0005-0000-0000-0000C15C0000}"/>
    <cellStyle name="Normal 9 2 5 4 2 2 4" xfId="33579" xr:uid="{44B0D55A-0C68-48B9-A6EB-69AEE83528ED}"/>
    <cellStyle name="Normal 9 2 5 4 2 3" xfId="20927" xr:uid="{00000000-0005-0000-0000-0000C25C0000}"/>
    <cellStyle name="Normal 9 2 5 4 2 3 2" xfId="37796" xr:uid="{2B9315C4-EE52-45F8-96A8-2907EB4DF781}"/>
    <cellStyle name="Normal 9 2 5 4 2 4" xfId="12492" xr:uid="{00000000-0005-0000-0000-0000C35C0000}"/>
    <cellStyle name="Normal 9 2 5 4 2 5" xfId="29362" xr:uid="{95882279-A75A-40BD-95F7-943A8E3E8B9F}"/>
    <cellStyle name="Normal 9 2 5 4 3" xfId="6130" xr:uid="{00000000-0005-0000-0000-0000C45C0000}"/>
    <cellStyle name="Normal 9 2 5 4 3 2" xfId="23000" xr:uid="{00000000-0005-0000-0000-0000C55C0000}"/>
    <cellStyle name="Normal 9 2 5 4 3 2 2" xfId="39868" xr:uid="{E2B159CC-B77D-48B4-A5DE-36E4FCE5B7FE}"/>
    <cellStyle name="Normal 9 2 5 4 3 3" xfId="14565" xr:uid="{00000000-0005-0000-0000-0000C65C0000}"/>
    <cellStyle name="Normal 9 2 5 4 3 4" xfId="31434" xr:uid="{E936338C-B219-40BD-B818-02E953269ED8}"/>
    <cellStyle name="Normal 9 2 5 4 4" xfId="18782" xr:uid="{00000000-0005-0000-0000-0000C75C0000}"/>
    <cellStyle name="Normal 9 2 5 4 4 2" xfId="35651" xr:uid="{C821A7DF-97A2-4D0B-B661-F8B83B4FA942}"/>
    <cellStyle name="Normal 9 2 5 4 5" xfId="10347" xr:uid="{00000000-0005-0000-0000-0000C85C0000}"/>
    <cellStyle name="Normal 9 2 5 4 6" xfId="27217" xr:uid="{0A7A548C-B925-4ACE-89A1-ADF727CB2FB1}"/>
    <cellStyle name="Normal 9 2 5 5" xfId="2236" xr:uid="{00000000-0005-0000-0000-0000C95C0000}"/>
    <cellStyle name="Normal 9 2 5 5 2" xfId="4465" xr:uid="{00000000-0005-0000-0000-0000CA5C0000}"/>
    <cellStyle name="Normal 9 2 5 5 2 2" xfId="8688" xr:uid="{00000000-0005-0000-0000-0000CB5C0000}"/>
    <cellStyle name="Normal 9 2 5 5 2 2 2" xfId="25558" xr:uid="{00000000-0005-0000-0000-0000CC5C0000}"/>
    <cellStyle name="Normal 9 2 5 5 2 2 2 2" xfId="42426" xr:uid="{5401222E-F216-4BAB-9D98-2D8253D83A56}"/>
    <cellStyle name="Normal 9 2 5 5 2 2 3" xfId="17123" xr:uid="{00000000-0005-0000-0000-0000CD5C0000}"/>
    <cellStyle name="Normal 9 2 5 5 2 2 4" xfId="33992" xr:uid="{A2D1902C-3542-40AC-AF6B-37D531D5C1C4}"/>
    <cellStyle name="Normal 9 2 5 5 2 3" xfId="21340" xr:uid="{00000000-0005-0000-0000-0000CE5C0000}"/>
    <cellStyle name="Normal 9 2 5 5 2 3 2" xfId="38209" xr:uid="{FD75C7A8-80BE-457F-A434-52F83CB01395}"/>
    <cellStyle name="Normal 9 2 5 5 2 4" xfId="12905" xr:uid="{00000000-0005-0000-0000-0000CF5C0000}"/>
    <cellStyle name="Normal 9 2 5 5 2 5" xfId="29775" xr:uid="{F8A69F92-E3AA-489F-82D4-9E36AAD179FF}"/>
    <cellStyle name="Normal 9 2 5 5 3" xfId="6543" xr:uid="{00000000-0005-0000-0000-0000D05C0000}"/>
    <cellStyle name="Normal 9 2 5 5 3 2" xfId="23413" xr:uid="{00000000-0005-0000-0000-0000D15C0000}"/>
    <cellStyle name="Normal 9 2 5 5 3 2 2" xfId="40281" xr:uid="{FBAAF622-6B57-4E12-BB4D-43EC91AF0ABD}"/>
    <cellStyle name="Normal 9 2 5 5 3 3" xfId="14978" xr:uid="{00000000-0005-0000-0000-0000D25C0000}"/>
    <cellStyle name="Normal 9 2 5 5 3 4" xfId="31847" xr:uid="{81E7003C-25D3-4360-83F5-00C66FC44805}"/>
    <cellStyle name="Normal 9 2 5 5 4" xfId="19195" xr:uid="{00000000-0005-0000-0000-0000D35C0000}"/>
    <cellStyle name="Normal 9 2 5 5 4 2" xfId="36064" xr:uid="{93700F83-87CE-40CC-A912-7023FCD7CC50}"/>
    <cellStyle name="Normal 9 2 5 5 5" xfId="10760" xr:uid="{00000000-0005-0000-0000-0000D45C0000}"/>
    <cellStyle name="Normal 9 2 5 5 6" xfId="27630" xr:uid="{A1E8BDBD-2079-40F2-9791-F7D13D3BAB75}"/>
    <cellStyle name="Normal 9 2 5 6" xfId="2672" xr:uid="{00000000-0005-0000-0000-0000D55C0000}"/>
    <cellStyle name="Normal 9 2 5 6 2" xfId="6956" xr:uid="{00000000-0005-0000-0000-0000D65C0000}"/>
    <cellStyle name="Normal 9 2 5 6 2 2" xfId="23826" xr:uid="{00000000-0005-0000-0000-0000D75C0000}"/>
    <cellStyle name="Normal 9 2 5 6 2 2 2" xfId="40694" xr:uid="{ABA7EAAA-F6AD-4B46-93E6-70037F0EEBA1}"/>
    <cellStyle name="Normal 9 2 5 6 2 3" xfId="15391" xr:uid="{00000000-0005-0000-0000-0000D85C0000}"/>
    <cellStyle name="Normal 9 2 5 6 2 4" xfId="32260" xr:uid="{E4F5D869-89F8-4470-8812-DEF6769AACE2}"/>
    <cellStyle name="Normal 9 2 5 6 3" xfId="19608" xr:uid="{00000000-0005-0000-0000-0000D95C0000}"/>
    <cellStyle name="Normal 9 2 5 6 3 2" xfId="36477" xr:uid="{225E2BC7-0C63-49F3-8A21-0CEC3146A246}"/>
    <cellStyle name="Normal 9 2 5 6 4" xfId="11173" xr:uid="{00000000-0005-0000-0000-0000DA5C0000}"/>
    <cellStyle name="Normal 9 2 5 6 5" xfId="28043" xr:uid="{C0571AFB-671E-485F-9AD6-4994BBA6F2B0}"/>
    <cellStyle name="Normal 9 2 5 7" xfId="4891" xr:uid="{00000000-0005-0000-0000-0000DB5C0000}"/>
    <cellStyle name="Normal 9 2 5 7 2" xfId="21761" xr:uid="{00000000-0005-0000-0000-0000DC5C0000}"/>
    <cellStyle name="Normal 9 2 5 7 2 2" xfId="38629" xr:uid="{198E9AE4-36E9-4D90-8C55-01AB94DE3136}"/>
    <cellStyle name="Normal 9 2 5 7 3" xfId="13326" xr:uid="{00000000-0005-0000-0000-0000DD5C0000}"/>
    <cellStyle name="Normal 9 2 5 7 4" xfId="30195" xr:uid="{F461BFEC-BA3D-4BFA-9329-94B33E15C5A6}"/>
    <cellStyle name="Normal 9 2 5 8" xfId="17543" xr:uid="{00000000-0005-0000-0000-0000DE5C0000}"/>
    <cellStyle name="Normal 9 2 5 8 2" xfId="34412" xr:uid="{3CBC43BB-2377-45FB-963A-4E6E2E6F8A63}"/>
    <cellStyle name="Normal 9 2 5 9" xfId="9108" xr:uid="{00000000-0005-0000-0000-0000DF5C0000}"/>
    <cellStyle name="Normal 9 2 6" xfId="978" xr:uid="{00000000-0005-0000-0000-0000E05C0000}"/>
    <cellStyle name="Normal 9 2 6 2" xfId="3211" xr:uid="{00000000-0005-0000-0000-0000E15C0000}"/>
    <cellStyle name="Normal 9 2 6 2 2" xfId="7434" xr:uid="{00000000-0005-0000-0000-0000E25C0000}"/>
    <cellStyle name="Normal 9 2 6 2 2 2" xfId="24304" xr:uid="{00000000-0005-0000-0000-0000E35C0000}"/>
    <cellStyle name="Normal 9 2 6 2 2 2 2" xfId="41172" xr:uid="{DB87CE29-0B23-4521-9D40-470FE748F042}"/>
    <cellStyle name="Normal 9 2 6 2 2 3" xfId="15869" xr:uid="{00000000-0005-0000-0000-0000E45C0000}"/>
    <cellStyle name="Normal 9 2 6 2 2 4" xfId="32738" xr:uid="{B6B0256D-2D46-402C-8C18-C495DCACD754}"/>
    <cellStyle name="Normal 9 2 6 2 3" xfId="20086" xr:uid="{00000000-0005-0000-0000-0000E55C0000}"/>
    <cellStyle name="Normal 9 2 6 2 3 2" xfId="36955" xr:uid="{30722EC8-8099-43C7-8D4C-414B99A94E3A}"/>
    <cellStyle name="Normal 9 2 6 2 4" xfId="11651" xr:uid="{00000000-0005-0000-0000-0000E65C0000}"/>
    <cellStyle name="Normal 9 2 6 2 5" xfId="28521" xr:uid="{0F3AFBDA-5F2C-4F5F-9E7E-D21E7EFFE200}"/>
    <cellStyle name="Normal 9 2 6 3" xfId="5289" xr:uid="{00000000-0005-0000-0000-0000E75C0000}"/>
    <cellStyle name="Normal 9 2 6 3 2" xfId="22159" xr:uid="{00000000-0005-0000-0000-0000E85C0000}"/>
    <cellStyle name="Normal 9 2 6 3 2 2" xfId="39027" xr:uid="{D494B6E0-7ABB-4A86-A3E7-F4B3B1368DBE}"/>
    <cellStyle name="Normal 9 2 6 3 3" xfId="13724" xr:uid="{00000000-0005-0000-0000-0000E95C0000}"/>
    <cellStyle name="Normal 9 2 6 3 4" xfId="30593" xr:uid="{F8691946-5FBF-4F87-909A-1DCA119B1DF5}"/>
    <cellStyle name="Normal 9 2 6 4" xfId="17941" xr:uid="{00000000-0005-0000-0000-0000EA5C0000}"/>
    <cellStyle name="Normal 9 2 6 4 2" xfId="34810" xr:uid="{F2BEFBDD-2213-4337-9F62-E9B579297D79}"/>
    <cellStyle name="Normal 9 2 6 5" xfId="9506" xr:uid="{00000000-0005-0000-0000-0000EB5C0000}"/>
    <cellStyle name="Normal 9 2 6 6" xfId="26376" xr:uid="{C2223CC1-E06D-482C-BC0D-E458C6A6D6F3}"/>
    <cellStyle name="Normal 9 2 7" xfId="1394" xr:uid="{00000000-0005-0000-0000-0000EC5C0000}"/>
    <cellStyle name="Normal 9 2 7 2" xfId="3624" xr:uid="{00000000-0005-0000-0000-0000ED5C0000}"/>
    <cellStyle name="Normal 9 2 7 2 2" xfId="7847" xr:uid="{00000000-0005-0000-0000-0000EE5C0000}"/>
    <cellStyle name="Normal 9 2 7 2 2 2" xfId="24717" xr:uid="{00000000-0005-0000-0000-0000EF5C0000}"/>
    <cellStyle name="Normal 9 2 7 2 2 2 2" xfId="41585" xr:uid="{A7F444C9-3C81-4203-A794-C28031D05A21}"/>
    <cellStyle name="Normal 9 2 7 2 2 3" xfId="16282" xr:uid="{00000000-0005-0000-0000-0000F05C0000}"/>
    <cellStyle name="Normal 9 2 7 2 2 4" xfId="33151" xr:uid="{63A2E83E-8A45-4BC9-A665-1BE3058B3E8B}"/>
    <cellStyle name="Normal 9 2 7 2 3" xfId="20499" xr:uid="{00000000-0005-0000-0000-0000F15C0000}"/>
    <cellStyle name="Normal 9 2 7 2 3 2" xfId="37368" xr:uid="{D013D4C5-F01C-49F3-96F2-2D500CD48FA4}"/>
    <cellStyle name="Normal 9 2 7 2 4" xfId="12064" xr:uid="{00000000-0005-0000-0000-0000F25C0000}"/>
    <cellStyle name="Normal 9 2 7 2 5" xfId="28934" xr:uid="{E29BE382-2880-48FF-97B9-45E287EBB82E}"/>
    <cellStyle name="Normal 9 2 7 3" xfId="5702" xr:uid="{00000000-0005-0000-0000-0000F35C0000}"/>
    <cellStyle name="Normal 9 2 7 3 2" xfId="22572" xr:uid="{00000000-0005-0000-0000-0000F45C0000}"/>
    <cellStyle name="Normal 9 2 7 3 2 2" xfId="39440" xr:uid="{103FF94A-7E02-4354-891F-A1BAE70BE3C4}"/>
    <cellStyle name="Normal 9 2 7 3 3" xfId="14137" xr:uid="{00000000-0005-0000-0000-0000F55C0000}"/>
    <cellStyle name="Normal 9 2 7 3 4" xfId="31006" xr:uid="{DFD0F59B-2595-4F86-9B17-DE076CA6B67C}"/>
    <cellStyle name="Normal 9 2 7 4" xfId="18354" xr:uid="{00000000-0005-0000-0000-0000F65C0000}"/>
    <cellStyle name="Normal 9 2 7 4 2" xfId="35223" xr:uid="{56B0CB0D-4DD5-4BCE-9E6C-86316AD5A086}"/>
    <cellStyle name="Normal 9 2 7 5" xfId="9919" xr:uid="{00000000-0005-0000-0000-0000F75C0000}"/>
    <cellStyle name="Normal 9 2 7 6" xfId="26789" xr:uid="{396AC099-4438-4199-B014-0946E8279062}"/>
    <cellStyle name="Normal 9 2 8" xfId="1807" xr:uid="{00000000-0005-0000-0000-0000F85C0000}"/>
    <cellStyle name="Normal 9 2 8 2" xfId="4037" xr:uid="{00000000-0005-0000-0000-0000F95C0000}"/>
    <cellStyle name="Normal 9 2 8 2 2" xfId="8260" xr:uid="{00000000-0005-0000-0000-0000FA5C0000}"/>
    <cellStyle name="Normal 9 2 8 2 2 2" xfId="25130" xr:uid="{00000000-0005-0000-0000-0000FB5C0000}"/>
    <cellStyle name="Normal 9 2 8 2 2 2 2" xfId="41998" xr:uid="{0C665285-84F7-4892-B073-64579CB8F24B}"/>
    <cellStyle name="Normal 9 2 8 2 2 3" xfId="16695" xr:uid="{00000000-0005-0000-0000-0000FC5C0000}"/>
    <cellStyle name="Normal 9 2 8 2 2 4" xfId="33564" xr:uid="{E39D1AC7-0F6E-4C00-A1D5-6F840638A4E3}"/>
    <cellStyle name="Normal 9 2 8 2 3" xfId="20912" xr:uid="{00000000-0005-0000-0000-0000FD5C0000}"/>
    <cellStyle name="Normal 9 2 8 2 3 2" xfId="37781" xr:uid="{28BE98E9-9F29-429D-992B-AD569443CD7D}"/>
    <cellStyle name="Normal 9 2 8 2 4" xfId="12477" xr:uid="{00000000-0005-0000-0000-0000FE5C0000}"/>
    <cellStyle name="Normal 9 2 8 2 5" xfId="29347" xr:uid="{3BBA81DD-3FCC-4530-8A05-4BA6F749F557}"/>
    <cellStyle name="Normal 9 2 8 3" xfId="6115" xr:uid="{00000000-0005-0000-0000-0000FF5C0000}"/>
    <cellStyle name="Normal 9 2 8 3 2" xfId="22985" xr:uid="{00000000-0005-0000-0000-0000005D0000}"/>
    <cellStyle name="Normal 9 2 8 3 2 2" xfId="39853" xr:uid="{F09D1103-96F4-4B32-8725-76078220EE3E}"/>
    <cellStyle name="Normal 9 2 8 3 3" xfId="14550" xr:uid="{00000000-0005-0000-0000-0000015D0000}"/>
    <cellStyle name="Normal 9 2 8 3 4" xfId="31419" xr:uid="{AD174AEF-CF49-418D-BD34-71F7A4AF5F12}"/>
    <cellStyle name="Normal 9 2 8 4" xfId="18767" xr:uid="{00000000-0005-0000-0000-0000025D0000}"/>
    <cellStyle name="Normal 9 2 8 4 2" xfId="35636" xr:uid="{7019AB29-EE24-42CA-9765-A74FC1379D71}"/>
    <cellStyle name="Normal 9 2 8 5" xfId="10332" xr:uid="{00000000-0005-0000-0000-0000035D0000}"/>
    <cellStyle name="Normal 9 2 8 6" xfId="27202" xr:uid="{EC5A217A-D9A8-4312-B1E1-94661A079B61}"/>
    <cellStyle name="Normal 9 2 9" xfId="2221" xr:uid="{00000000-0005-0000-0000-0000045D0000}"/>
    <cellStyle name="Normal 9 2 9 2" xfId="4450" xr:uid="{00000000-0005-0000-0000-0000055D0000}"/>
    <cellStyle name="Normal 9 2 9 2 2" xfId="8673" xr:uid="{00000000-0005-0000-0000-0000065D0000}"/>
    <cellStyle name="Normal 9 2 9 2 2 2" xfId="25543" xr:uid="{00000000-0005-0000-0000-0000075D0000}"/>
    <cellStyle name="Normal 9 2 9 2 2 2 2" xfId="42411" xr:uid="{63D9686A-EBE1-4C5D-81F6-5E57C9A9E9D4}"/>
    <cellStyle name="Normal 9 2 9 2 2 3" xfId="17108" xr:uid="{00000000-0005-0000-0000-0000085D0000}"/>
    <cellStyle name="Normal 9 2 9 2 2 4" xfId="33977" xr:uid="{68DE4263-FD1F-4442-B2A5-7FE8AEC76485}"/>
    <cellStyle name="Normal 9 2 9 2 3" xfId="21325" xr:uid="{00000000-0005-0000-0000-0000095D0000}"/>
    <cellStyle name="Normal 9 2 9 2 3 2" xfId="38194" xr:uid="{083242F7-7217-4356-A3DA-CAEB436F5BF0}"/>
    <cellStyle name="Normal 9 2 9 2 4" xfId="12890" xr:uid="{00000000-0005-0000-0000-00000A5D0000}"/>
    <cellStyle name="Normal 9 2 9 2 5" xfId="29760" xr:uid="{7F8940EE-0BB4-4A71-A9ED-4FB204990055}"/>
    <cellStyle name="Normal 9 2 9 3" xfId="6528" xr:uid="{00000000-0005-0000-0000-00000B5D0000}"/>
    <cellStyle name="Normal 9 2 9 3 2" xfId="23398" xr:uid="{00000000-0005-0000-0000-00000C5D0000}"/>
    <cellStyle name="Normal 9 2 9 3 2 2" xfId="40266" xr:uid="{8C90FA0A-3255-464C-B089-37DF977F99BF}"/>
    <cellStyle name="Normal 9 2 9 3 3" xfId="14963" xr:uid="{00000000-0005-0000-0000-00000D5D0000}"/>
    <cellStyle name="Normal 9 2 9 3 4" xfId="31832" xr:uid="{4D45E508-1B74-48F8-A334-CC2FDFC2421B}"/>
    <cellStyle name="Normal 9 2 9 4" xfId="19180" xr:uid="{00000000-0005-0000-0000-00000E5D0000}"/>
    <cellStyle name="Normal 9 2 9 4 2" xfId="36049" xr:uid="{C9B823DC-1555-45B8-8C29-2B73622E0773}"/>
    <cellStyle name="Normal 9 2 9 5" xfId="10745" xr:uid="{00000000-0005-0000-0000-00000F5D0000}"/>
    <cellStyle name="Normal 9 2 9 6" xfId="27615" xr:uid="{26005541-E1FC-4896-A6DB-C00EA06CDD51}"/>
    <cellStyle name="Normal 9 3" xfId="527" xr:uid="{00000000-0005-0000-0000-0000105D0000}"/>
    <cellStyle name="Normal 9 3 10" xfId="4892" xr:uid="{00000000-0005-0000-0000-0000115D0000}"/>
    <cellStyle name="Normal 9 3 10 2" xfId="21762" xr:uid="{00000000-0005-0000-0000-0000125D0000}"/>
    <cellStyle name="Normal 9 3 10 2 2" xfId="38630" xr:uid="{66081167-6959-40D0-937D-B99A2C8E00B2}"/>
    <cellStyle name="Normal 9 3 10 3" xfId="13327" xr:uid="{00000000-0005-0000-0000-0000135D0000}"/>
    <cellStyle name="Normal 9 3 10 4" xfId="30196" xr:uid="{816725A5-2D15-46B6-B91A-78CD112772E6}"/>
    <cellStyle name="Normal 9 3 11" xfId="17544" xr:uid="{00000000-0005-0000-0000-0000145D0000}"/>
    <cellStyle name="Normal 9 3 11 2" xfId="34413" xr:uid="{A46D8BFA-F2F0-4F89-BF03-7C17B09C5BEF}"/>
    <cellStyle name="Normal 9 3 12" xfId="9109" xr:uid="{00000000-0005-0000-0000-0000155D0000}"/>
    <cellStyle name="Normal 9 3 13" xfId="25979" xr:uid="{02372AE3-7609-4187-BD71-05388F1D2D27}"/>
    <cellStyle name="Normal 9 3 2" xfId="528" xr:uid="{00000000-0005-0000-0000-0000165D0000}"/>
    <cellStyle name="Normal 9 3 2 10" xfId="17545" xr:uid="{00000000-0005-0000-0000-0000175D0000}"/>
    <cellStyle name="Normal 9 3 2 10 2" xfId="34414" xr:uid="{364B9E3C-8DDE-41F8-B243-8155AFE2EB64}"/>
    <cellStyle name="Normal 9 3 2 11" xfId="9110" xr:uid="{00000000-0005-0000-0000-0000185D0000}"/>
    <cellStyle name="Normal 9 3 2 12" xfId="25980" xr:uid="{8CA1858F-C852-4CAA-877D-411C536B240A}"/>
    <cellStyle name="Normal 9 3 2 2" xfId="529" xr:uid="{00000000-0005-0000-0000-0000195D0000}"/>
    <cellStyle name="Normal 9 3 2 2 10" xfId="9111" xr:uid="{00000000-0005-0000-0000-00001A5D0000}"/>
    <cellStyle name="Normal 9 3 2 2 11" xfId="25981" xr:uid="{CF0B38AB-C618-45D7-8F98-27182143994E}"/>
    <cellStyle name="Normal 9 3 2 2 2" xfId="530" xr:uid="{00000000-0005-0000-0000-00001B5D0000}"/>
    <cellStyle name="Normal 9 3 2 2 2 10" xfId="25982" xr:uid="{4CB72332-19B2-491C-B711-1568D1C2F699}"/>
    <cellStyle name="Normal 9 3 2 2 2 2" xfId="997" xr:uid="{00000000-0005-0000-0000-00001C5D0000}"/>
    <cellStyle name="Normal 9 3 2 2 2 2 2" xfId="3230" xr:uid="{00000000-0005-0000-0000-00001D5D0000}"/>
    <cellStyle name="Normal 9 3 2 2 2 2 2 2" xfId="7453" xr:uid="{00000000-0005-0000-0000-00001E5D0000}"/>
    <cellStyle name="Normal 9 3 2 2 2 2 2 2 2" xfId="24323" xr:uid="{00000000-0005-0000-0000-00001F5D0000}"/>
    <cellStyle name="Normal 9 3 2 2 2 2 2 2 2 2" xfId="41191" xr:uid="{83818145-F1A3-4434-939A-2D589C628B17}"/>
    <cellStyle name="Normal 9 3 2 2 2 2 2 2 3" xfId="15888" xr:uid="{00000000-0005-0000-0000-0000205D0000}"/>
    <cellStyle name="Normal 9 3 2 2 2 2 2 2 4" xfId="32757" xr:uid="{860D3F80-E7E4-4967-856E-427452F1A2F6}"/>
    <cellStyle name="Normal 9 3 2 2 2 2 2 3" xfId="20105" xr:uid="{00000000-0005-0000-0000-0000215D0000}"/>
    <cellStyle name="Normal 9 3 2 2 2 2 2 3 2" xfId="36974" xr:uid="{F0AA06B8-9DB9-4336-A21C-D492A97D5077}"/>
    <cellStyle name="Normal 9 3 2 2 2 2 2 4" xfId="11670" xr:uid="{00000000-0005-0000-0000-0000225D0000}"/>
    <cellStyle name="Normal 9 3 2 2 2 2 2 5" xfId="28540" xr:uid="{40480674-4A83-40DF-819A-317995124237}"/>
    <cellStyle name="Normal 9 3 2 2 2 2 3" xfId="5308" xr:uid="{00000000-0005-0000-0000-0000235D0000}"/>
    <cellStyle name="Normal 9 3 2 2 2 2 3 2" xfId="22178" xr:uid="{00000000-0005-0000-0000-0000245D0000}"/>
    <cellStyle name="Normal 9 3 2 2 2 2 3 2 2" xfId="39046" xr:uid="{F58B6B12-0674-428D-A63A-99D0D13B32E0}"/>
    <cellStyle name="Normal 9 3 2 2 2 2 3 3" xfId="13743" xr:uid="{00000000-0005-0000-0000-0000255D0000}"/>
    <cellStyle name="Normal 9 3 2 2 2 2 3 4" xfId="30612" xr:uid="{ECEB7380-A118-4F20-8F10-2B25DCA36950}"/>
    <cellStyle name="Normal 9 3 2 2 2 2 4" xfId="17960" xr:uid="{00000000-0005-0000-0000-0000265D0000}"/>
    <cellStyle name="Normal 9 3 2 2 2 2 4 2" xfId="34829" xr:uid="{D412E5C9-5907-4706-B818-049CEE89AA1C}"/>
    <cellStyle name="Normal 9 3 2 2 2 2 5" xfId="9525" xr:uid="{00000000-0005-0000-0000-0000275D0000}"/>
    <cellStyle name="Normal 9 3 2 2 2 2 6" xfId="26395" xr:uid="{195FEF19-54E7-4E52-B29B-2F4864F27FA3}"/>
    <cellStyle name="Normal 9 3 2 2 2 3" xfId="1413" xr:uid="{00000000-0005-0000-0000-0000285D0000}"/>
    <cellStyle name="Normal 9 3 2 2 2 3 2" xfId="3643" xr:uid="{00000000-0005-0000-0000-0000295D0000}"/>
    <cellStyle name="Normal 9 3 2 2 2 3 2 2" xfId="7866" xr:uid="{00000000-0005-0000-0000-00002A5D0000}"/>
    <cellStyle name="Normal 9 3 2 2 2 3 2 2 2" xfId="24736" xr:uid="{00000000-0005-0000-0000-00002B5D0000}"/>
    <cellStyle name="Normal 9 3 2 2 2 3 2 2 2 2" xfId="41604" xr:uid="{263C52DA-01E2-47BD-AE37-4A2642ED24A4}"/>
    <cellStyle name="Normal 9 3 2 2 2 3 2 2 3" xfId="16301" xr:uid="{00000000-0005-0000-0000-00002C5D0000}"/>
    <cellStyle name="Normal 9 3 2 2 2 3 2 2 4" xfId="33170" xr:uid="{4830BDE8-3CF1-4EA7-8405-5FBCCDE01362}"/>
    <cellStyle name="Normal 9 3 2 2 2 3 2 3" xfId="20518" xr:uid="{00000000-0005-0000-0000-00002D5D0000}"/>
    <cellStyle name="Normal 9 3 2 2 2 3 2 3 2" xfId="37387" xr:uid="{28D574E1-687C-40F9-A58A-135CF9E1A2B6}"/>
    <cellStyle name="Normal 9 3 2 2 2 3 2 4" xfId="12083" xr:uid="{00000000-0005-0000-0000-00002E5D0000}"/>
    <cellStyle name="Normal 9 3 2 2 2 3 2 5" xfId="28953" xr:uid="{8EDFE104-1E3B-4002-902A-0001F1A5D556}"/>
    <cellStyle name="Normal 9 3 2 2 2 3 3" xfId="5721" xr:uid="{00000000-0005-0000-0000-00002F5D0000}"/>
    <cellStyle name="Normal 9 3 2 2 2 3 3 2" xfId="22591" xr:uid="{00000000-0005-0000-0000-0000305D0000}"/>
    <cellStyle name="Normal 9 3 2 2 2 3 3 2 2" xfId="39459" xr:uid="{D3D0FDAF-672C-4D76-98F1-2DE04ABA4A1B}"/>
    <cellStyle name="Normal 9 3 2 2 2 3 3 3" xfId="14156" xr:uid="{00000000-0005-0000-0000-0000315D0000}"/>
    <cellStyle name="Normal 9 3 2 2 2 3 3 4" xfId="31025" xr:uid="{4CE9E83E-A5BD-4CE6-90FD-FD89FD430E7A}"/>
    <cellStyle name="Normal 9 3 2 2 2 3 4" xfId="18373" xr:uid="{00000000-0005-0000-0000-0000325D0000}"/>
    <cellStyle name="Normal 9 3 2 2 2 3 4 2" xfId="35242" xr:uid="{76D3EB98-9BEC-4504-B2C0-E6177F57AC0E}"/>
    <cellStyle name="Normal 9 3 2 2 2 3 5" xfId="9938" xr:uid="{00000000-0005-0000-0000-0000335D0000}"/>
    <cellStyle name="Normal 9 3 2 2 2 3 6" xfId="26808" xr:uid="{65A364A8-1F0E-4EC9-AA6A-BB2589837734}"/>
    <cellStyle name="Normal 9 3 2 2 2 4" xfId="1826" xr:uid="{00000000-0005-0000-0000-0000345D0000}"/>
    <cellStyle name="Normal 9 3 2 2 2 4 2" xfId="4056" xr:uid="{00000000-0005-0000-0000-0000355D0000}"/>
    <cellStyle name="Normal 9 3 2 2 2 4 2 2" xfId="8279" xr:uid="{00000000-0005-0000-0000-0000365D0000}"/>
    <cellStyle name="Normal 9 3 2 2 2 4 2 2 2" xfId="25149" xr:uid="{00000000-0005-0000-0000-0000375D0000}"/>
    <cellStyle name="Normal 9 3 2 2 2 4 2 2 2 2" xfId="42017" xr:uid="{33129242-FD68-4416-8EFA-8ED6980FF2C8}"/>
    <cellStyle name="Normal 9 3 2 2 2 4 2 2 3" xfId="16714" xr:uid="{00000000-0005-0000-0000-0000385D0000}"/>
    <cellStyle name="Normal 9 3 2 2 2 4 2 2 4" xfId="33583" xr:uid="{0B077942-659A-4959-BA63-85F19324277C}"/>
    <cellStyle name="Normal 9 3 2 2 2 4 2 3" xfId="20931" xr:uid="{00000000-0005-0000-0000-0000395D0000}"/>
    <cellStyle name="Normal 9 3 2 2 2 4 2 3 2" xfId="37800" xr:uid="{47377213-6D5E-4EA0-BC9E-F9F65B0A0066}"/>
    <cellStyle name="Normal 9 3 2 2 2 4 2 4" xfId="12496" xr:uid="{00000000-0005-0000-0000-00003A5D0000}"/>
    <cellStyle name="Normal 9 3 2 2 2 4 2 5" xfId="29366" xr:uid="{B9AE8E92-85C3-4638-BC24-280FCF4A402E}"/>
    <cellStyle name="Normal 9 3 2 2 2 4 3" xfId="6134" xr:uid="{00000000-0005-0000-0000-00003B5D0000}"/>
    <cellStyle name="Normal 9 3 2 2 2 4 3 2" xfId="23004" xr:uid="{00000000-0005-0000-0000-00003C5D0000}"/>
    <cellStyle name="Normal 9 3 2 2 2 4 3 2 2" xfId="39872" xr:uid="{BEAF265B-2EC9-4D3D-A07B-4582F6E616DF}"/>
    <cellStyle name="Normal 9 3 2 2 2 4 3 3" xfId="14569" xr:uid="{00000000-0005-0000-0000-00003D5D0000}"/>
    <cellStyle name="Normal 9 3 2 2 2 4 3 4" xfId="31438" xr:uid="{78156BA6-6E48-4E2C-89A2-77A953387914}"/>
    <cellStyle name="Normal 9 3 2 2 2 4 4" xfId="18786" xr:uid="{00000000-0005-0000-0000-00003E5D0000}"/>
    <cellStyle name="Normal 9 3 2 2 2 4 4 2" xfId="35655" xr:uid="{9CFEA55C-CC81-4AE7-82CC-07548CBF246F}"/>
    <cellStyle name="Normal 9 3 2 2 2 4 5" xfId="10351" xr:uid="{00000000-0005-0000-0000-00003F5D0000}"/>
    <cellStyle name="Normal 9 3 2 2 2 4 6" xfId="27221" xr:uid="{B9DF96DF-4440-4EEB-9B70-B72BDBD6E914}"/>
    <cellStyle name="Normal 9 3 2 2 2 5" xfId="2240" xr:uid="{00000000-0005-0000-0000-0000405D0000}"/>
    <cellStyle name="Normal 9 3 2 2 2 5 2" xfId="4469" xr:uid="{00000000-0005-0000-0000-0000415D0000}"/>
    <cellStyle name="Normal 9 3 2 2 2 5 2 2" xfId="8692" xr:uid="{00000000-0005-0000-0000-0000425D0000}"/>
    <cellStyle name="Normal 9 3 2 2 2 5 2 2 2" xfId="25562" xr:uid="{00000000-0005-0000-0000-0000435D0000}"/>
    <cellStyle name="Normal 9 3 2 2 2 5 2 2 2 2" xfId="42430" xr:uid="{EA682D79-C74E-41A2-AEAD-623B94352C60}"/>
    <cellStyle name="Normal 9 3 2 2 2 5 2 2 3" xfId="17127" xr:uid="{00000000-0005-0000-0000-0000445D0000}"/>
    <cellStyle name="Normal 9 3 2 2 2 5 2 2 4" xfId="33996" xr:uid="{465D0FC7-C531-41CA-B115-E6BFB3C2ACDE}"/>
    <cellStyle name="Normal 9 3 2 2 2 5 2 3" xfId="21344" xr:uid="{00000000-0005-0000-0000-0000455D0000}"/>
    <cellStyle name="Normal 9 3 2 2 2 5 2 3 2" xfId="38213" xr:uid="{74E82674-2DB3-471B-9450-212175E705B8}"/>
    <cellStyle name="Normal 9 3 2 2 2 5 2 4" xfId="12909" xr:uid="{00000000-0005-0000-0000-0000465D0000}"/>
    <cellStyle name="Normal 9 3 2 2 2 5 2 5" xfId="29779" xr:uid="{7A7B2934-07B0-45C7-A20E-7EE6E835D3FF}"/>
    <cellStyle name="Normal 9 3 2 2 2 5 3" xfId="6547" xr:uid="{00000000-0005-0000-0000-0000475D0000}"/>
    <cellStyle name="Normal 9 3 2 2 2 5 3 2" xfId="23417" xr:uid="{00000000-0005-0000-0000-0000485D0000}"/>
    <cellStyle name="Normal 9 3 2 2 2 5 3 2 2" xfId="40285" xr:uid="{3B8BA578-7796-409C-B431-02F8B1CEE766}"/>
    <cellStyle name="Normal 9 3 2 2 2 5 3 3" xfId="14982" xr:uid="{00000000-0005-0000-0000-0000495D0000}"/>
    <cellStyle name="Normal 9 3 2 2 2 5 3 4" xfId="31851" xr:uid="{8D6055B4-E3BA-441F-A86C-8B068797ED06}"/>
    <cellStyle name="Normal 9 3 2 2 2 5 4" xfId="19199" xr:uid="{00000000-0005-0000-0000-00004A5D0000}"/>
    <cellStyle name="Normal 9 3 2 2 2 5 4 2" xfId="36068" xr:uid="{7E1C0BE8-85BD-42EA-AEC7-D9388D9D29ED}"/>
    <cellStyle name="Normal 9 3 2 2 2 5 5" xfId="10764" xr:uid="{00000000-0005-0000-0000-00004B5D0000}"/>
    <cellStyle name="Normal 9 3 2 2 2 5 6" xfId="27634" xr:uid="{436B8882-9864-46B1-87BD-D931CF6D6750}"/>
    <cellStyle name="Normal 9 3 2 2 2 6" xfId="2676" xr:uid="{00000000-0005-0000-0000-00004C5D0000}"/>
    <cellStyle name="Normal 9 3 2 2 2 6 2" xfId="6960" xr:uid="{00000000-0005-0000-0000-00004D5D0000}"/>
    <cellStyle name="Normal 9 3 2 2 2 6 2 2" xfId="23830" xr:uid="{00000000-0005-0000-0000-00004E5D0000}"/>
    <cellStyle name="Normal 9 3 2 2 2 6 2 2 2" xfId="40698" xr:uid="{F6DB4583-B068-4CC4-8149-FF75E3F36CF9}"/>
    <cellStyle name="Normal 9 3 2 2 2 6 2 3" xfId="15395" xr:uid="{00000000-0005-0000-0000-00004F5D0000}"/>
    <cellStyle name="Normal 9 3 2 2 2 6 2 4" xfId="32264" xr:uid="{BB1B3967-6751-46D3-98D5-F58E2EB6C396}"/>
    <cellStyle name="Normal 9 3 2 2 2 6 3" xfId="19612" xr:uid="{00000000-0005-0000-0000-0000505D0000}"/>
    <cellStyle name="Normal 9 3 2 2 2 6 3 2" xfId="36481" xr:uid="{41337BF9-0253-4F97-A012-40E9123BDBBD}"/>
    <cellStyle name="Normal 9 3 2 2 2 6 4" xfId="11177" xr:uid="{00000000-0005-0000-0000-0000515D0000}"/>
    <cellStyle name="Normal 9 3 2 2 2 6 5" xfId="28047" xr:uid="{E802810F-2022-448A-960E-9DCB41699CD5}"/>
    <cellStyle name="Normal 9 3 2 2 2 7" xfId="4895" xr:uid="{00000000-0005-0000-0000-0000525D0000}"/>
    <cellStyle name="Normal 9 3 2 2 2 7 2" xfId="21765" xr:uid="{00000000-0005-0000-0000-0000535D0000}"/>
    <cellStyle name="Normal 9 3 2 2 2 7 2 2" xfId="38633" xr:uid="{66962181-BF5E-48FB-9DDD-22EEBAA56846}"/>
    <cellStyle name="Normal 9 3 2 2 2 7 3" xfId="13330" xr:uid="{00000000-0005-0000-0000-0000545D0000}"/>
    <cellStyle name="Normal 9 3 2 2 2 7 4" xfId="30199" xr:uid="{5CDB28B7-96EB-4726-AB12-AE5B1DDB2ED8}"/>
    <cellStyle name="Normal 9 3 2 2 2 8" xfId="17547" xr:uid="{00000000-0005-0000-0000-0000555D0000}"/>
    <cellStyle name="Normal 9 3 2 2 2 8 2" xfId="34416" xr:uid="{5CF6FC52-88A5-44BC-9B35-7441CEA6F034}"/>
    <cellStyle name="Normal 9 3 2 2 2 9" xfId="9112" xr:uid="{00000000-0005-0000-0000-0000565D0000}"/>
    <cellStyle name="Normal 9 3 2 2 3" xfId="996" xr:uid="{00000000-0005-0000-0000-0000575D0000}"/>
    <cellStyle name="Normal 9 3 2 2 3 2" xfId="3229" xr:uid="{00000000-0005-0000-0000-0000585D0000}"/>
    <cellStyle name="Normal 9 3 2 2 3 2 2" xfId="7452" xr:uid="{00000000-0005-0000-0000-0000595D0000}"/>
    <cellStyle name="Normal 9 3 2 2 3 2 2 2" xfId="24322" xr:uid="{00000000-0005-0000-0000-00005A5D0000}"/>
    <cellStyle name="Normal 9 3 2 2 3 2 2 2 2" xfId="41190" xr:uid="{5688F3DC-2CBE-41F7-B5C5-84EAC4BFF561}"/>
    <cellStyle name="Normal 9 3 2 2 3 2 2 3" xfId="15887" xr:uid="{00000000-0005-0000-0000-00005B5D0000}"/>
    <cellStyle name="Normal 9 3 2 2 3 2 2 4" xfId="32756" xr:uid="{626F1F72-E6CE-4078-8885-9272BBAA2635}"/>
    <cellStyle name="Normal 9 3 2 2 3 2 3" xfId="20104" xr:uid="{00000000-0005-0000-0000-00005C5D0000}"/>
    <cellStyle name="Normal 9 3 2 2 3 2 3 2" xfId="36973" xr:uid="{7DCC0B4A-FE34-463D-808C-93127D1D56EE}"/>
    <cellStyle name="Normal 9 3 2 2 3 2 4" xfId="11669" xr:uid="{00000000-0005-0000-0000-00005D5D0000}"/>
    <cellStyle name="Normal 9 3 2 2 3 2 5" xfId="28539" xr:uid="{A87326C1-DCF2-49CC-8835-AE5A406C9A33}"/>
    <cellStyle name="Normal 9 3 2 2 3 3" xfId="5307" xr:uid="{00000000-0005-0000-0000-00005E5D0000}"/>
    <cellStyle name="Normal 9 3 2 2 3 3 2" xfId="22177" xr:uid="{00000000-0005-0000-0000-00005F5D0000}"/>
    <cellStyle name="Normal 9 3 2 2 3 3 2 2" xfId="39045" xr:uid="{9E7D8737-2937-48AB-8F8A-EA5A276F3950}"/>
    <cellStyle name="Normal 9 3 2 2 3 3 3" xfId="13742" xr:uid="{00000000-0005-0000-0000-0000605D0000}"/>
    <cellStyle name="Normal 9 3 2 2 3 3 4" xfId="30611" xr:uid="{A177598A-FDF8-4A0C-91EC-5ABAA0ED2DD9}"/>
    <cellStyle name="Normal 9 3 2 2 3 4" xfId="17959" xr:uid="{00000000-0005-0000-0000-0000615D0000}"/>
    <cellStyle name="Normal 9 3 2 2 3 4 2" xfId="34828" xr:uid="{F59FF559-152B-4104-BF5A-31673303BAF5}"/>
    <cellStyle name="Normal 9 3 2 2 3 5" xfId="9524" xr:uid="{00000000-0005-0000-0000-0000625D0000}"/>
    <cellStyle name="Normal 9 3 2 2 3 6" xfId="26394" xr:uid="{3C04D14A-6D4C-41A4-B179-ADB2425911AC}"/>
    <cellStyle name="Normal 9 3 2 2 4" xfId="1412" xr:uid="{00000000-0005-0000-0000-0000635D0000}"/>
    <cellStyle name="Normal 9 3 2 2 4 2" xfId="3642" xr:uid="{00000000-0005-0000-0000-0000645D0000}"/>
    <cellStyle name="Normal 9 3 2 2 4 2 2" xfId="7865" xr:uid="{00000000-0005-0000-0000-0000655D0000}"/>
    <cellStyle name="Normal 9 3 2 2 4 2 2 2" xfId="24735" xr:uid="{00000000-0005-0000-0000-0000665D0000}"/>
    <cellStyle name="Normal 9 3 2 2 4 2 2 2 2" xfId="41603" xr:uid="{D3E0636F-4DF8-4B63-956B-B4A0164A0420}"/>
    <cellStyle name="Normal 9 3 2 2 4 2 2 3" xfId="16300" xr:uid="{00000000-0005-0000-0000-0000675D0000}"/>
    <cellStyle name="Normal 9 3 2 2 4 2 2 4" xfId="33169" xr:uid="{55395306-2F3D-4EA3-BB98-EC3F45B30606}"/>
    <cellStyle name="Normal 9 3 2 2 4 2 3" xfId="20517" xr:uid="{00000000-0005-0000-0000-0000685D0000}"/>
    <cellStyle name="Normal 9 3 2 2 4 2 3 2" xfId="37386" xr:uid="{B40C525D-7672-4550-B296-0774E6C6F73B}"/>
    <cellStyle name="Normal 9 3 2 2 4 2 4" xfId="12082" xr:uid="{00000000-0005-0000-0000-0000695D0000}"/>
    <cellStyle name="Normal 9 3 2 2 4 2 5" xfId="28952" xr:uid="{AFFACF4B-C5F0-4651-971D-1690C9AD98DD}"/>
    <cellStyle name="Normal 9 3 2 2 4 3" xfId="5720" xr:uid="{00000000-0005-0000-0000-00006A5D0000}"/>
    <cellStyle name="Normal 9 3 2 2 4 3 2" xfId="22590" xr:uid="{00000000-0005-0000-0000-00006B5D0000}"/>
    <cellStyle name="Normal 9 3 2 2 4 3 2 2" xfId="39458" xr:uid="{564E89A0-B7C8-44AA-BB58-38DB6E16704D}"/>
    <cellStyle name="Normal 9 3 2 2 4 3 3" xfId="14155" xr:uid="{00000000-0005-0000-0000-00006C5D0000}"/>
    <cellStyle name="Normal 9 3 2 2 4 3 4" xfId="31024" xr:uid="{085C910D-90B3-4527-A708-6EE0F145A6FF}"/>
    <cellStyle name="Normal 9 3 2 2 4 4" xfId="18372" xr:uid="{00000000-0005-0000-0000-00006D5D0000}"/>
    <cellStyle name="Normal 9 3 2 2 4 4 2" xfId="35241" xr:uid="{029F03F8-3312-4D12-82FF-450F272A2429}"/>
    <cellStyle name="Normal 9 3 2 2 4 5" xfId="9937" xr:uid="{00000000-0005-0000-0000-00006E5D0000}"/>
    <cellStyle name="Normal 9 3 2 2 4 6" xfId="26807" xr:uid="{7BF26D6B-D27C-43DA-8D67-B02D03961B19}"/>
    <cellStyle name="Normal 9 3 2 2 5" xfId="1825" xr:uid="{00000000-0005-0000-0000-00006F5D0000}"/>
    <cellStyle name="Normal 9 3 2 2 5 2" xfId="4055" xr:uid="{00000000-0005-0000-0000-0000705D0000}"/>
    <cellStyle name="Normal 9 3 2 2 5 2 2" xfId="8278" xr:uid="{00000000-0005-0000-0000-0000715D0000}"/>
    <cellStyle name="Normal 9 3 2 2 5 2 2 2" xfId="25148" xr:uid="{00000000-0005-0000-0000-0000725D0000}"/>
    <cellStyle name="Normal 9 3 2 2 5 2 2 2 2" xfId="42016" xr:uid="{E6179E9E-FDDB-46D0-A7DB-A6528DB5732B}"/>
    <cellStyle name="Normal 9 3 2 2 5 2 2 3" xfId="16713" xr:uid="{00000000-0005-0000-0000-0000735D0000}"/>
    <cellStyle name="Normal 9 3 2 2 5 2 2 4" xfId="33582" xr:uid="{62D86936-6C4D-4495-B77F-67C23EB59396}"/>
    <cellStyle name="Normal 9 3 2 2 5 2 3" xfId="20930" xr:uid="{00000000-0005-0000-0000-0000745D0000}"/>
    <cellStyle name="Normal 9 3 2 2 5 2 3 2" xfId="37799" xr:uid="{63ACC192-9546-42DD-A8B4-E322154D7B91}"/>
    <cellStyle name="Normal 9 3 2 2 5 2 4" xfId="12495" xr:uid="{00000000-0005-0000-0000-0000755D0000}"/>
    <cellStyle name="Normal 9 3 2 2 5 2 5" xfId="29365" xr:uid="{C43D3061-8310-49D6-BF6A-DBE9A843F79F}"/>
    <cellStyle name="Normal 9 3 2 2 5 3" xfId="6133" xr:uid="{00000000-0005-0000-0000-0000765D0000}"/>
    <cellStyle name="Normal 9 3 2 2 5 3 2" xfId="23003" xr:uid="{00000000-0005-0000-0000-0000775D0000}"/>
    <cellStyle name="Normal 9 3 2 2 5 3 2 2" xfId="39871" xr:uid="{709684C3-FD02-40E0-A2E9-61F93DECD014}"/>
    <cellStyle name="Normal 9 3 2 2 5 3 3" xfId="14568" xr:uid="{00000000-0005-0000-0000-0000785D0000}"/>
    <cellStyle name="Normal 9 3 2 2 5 3 4" xfId="31437" xr:uid="{5A7FA30F-18EF-4D6F-A8BC-CA152C1E2F7C}"/>
    <cellStyle name="Normal 9 3 2 2 5 4" xfId="18785" xr:uid="{00000000-0005-0000-0000-0000795D0000}"/>
    <cellStyle name="Normal 9 3 2 2 5 4 2" xfId="35654" xr:uid="{40A79FA3-9543-4982-8B70-C65A3D1121BF}"/>
    <cellStyle name="Normal 9 3 2 2 5 5" xfId="10350" xr:uid="{00000000-0005-0000-0000-00007A5D0000}"/>
    <cellStyle name="Normal 9 3 2 2 5 6" xfId="27220" xr:uid="{FCB0A776-C4DA-41DA-BE76-AC9413EB3BD8}"/>
    <cellStyle name="Normal 9 3 2 2 6" xfId="2239" xr:uid="{00000000-0005-0000-0000-00007B5D0000}"/>
    <cellStyle name="Normal 9 3 2 2 6 2" xfId="4468" xr:uid="{00000000-0005-0000-0000-00007C5D0000}"/>
    <cellStyle name="Normal 9 3 2 2 6 2 2" xfId="8691" xr:uid="{00000000-0005-0000-0000-00007D5D0000}"/>
    <cellStyle name="Normal 9 3 2 2 6 2 2 2" xfId="25561" xr:uid="{00000000-0005-0000-0000-00007E5D0000}"/>
    <cellStyle name="Normal 9 3 2 2 6 2 2 2 2" xfId="42429" xr:uid="{C8192F0E-C004-4339-839E-8BEA8D0A3AF7}"/>
    <cellStyle name="Normal 9 3 2 2 6 2 2 3" xfId="17126" xr:uid="{00000000-0005-0000-0000-00007F5D0000}"/>
    <cellStyle name="Normal 9 3 2 2 6 2 2 4" xfId="33995" xr:uid="{0171482C-C6E1-4D61-8728-9C0B3D5574A3}"/>
    <cellStyle name="Normal 9 3 2 2 6 2 3" xfId="21343" xr:uid="{00000000-0005-0000-0000-0000805D0000}"/>
    <cellStyle name="Normal 9 3 2 2 6 2 3 2" xfId="38212" xr:uid="{ED9381D6-0D1B-49A2-B9E2-C81A2AB56EC4}"/>
    <cellStyle name="Normal 9 3 2 2 6 2 4" xfId="12908" xr:uid="{00000000-0005-0000-0000-0000815D0000}"/>
    <cellStyle name="Normal 9 3 2 2 6 2 5" xfId="29778" xr:uid="{B0472B0C-642C-4823-AEAD-2E9B9FB9FE24}"/>
    <cellStyle name="Normal 9 3 2 2 6 3" xfId="6546" xr:uid="{00000000-0005-0000-0000-0000825D0000}"/>
    <cellStyle name="Normal 9 3 2 2 6 3 2" xfId="23416" xr:uid="{00000000-0005-0000-0000-0000835D0000}"/>
    <cellStyle name="Normal 9 3 2 2 6 3 2 2" xfId="40284" xr:uid="{8E6EDA10-13AB-4EA3-8D46-48386ED3EC29}"/>
    <cellStyle name="Normal 9 3 2 2 6 3 3" xfId="14981" xr:uid="{00000000-0005-0000-0000-0000845D0000}"/>
    <cellStyle name="Normal 9 3 2 2 6 3 4" xfId="31850" xr:uid="{C299D69A-6B46-4616-941A-98267583EE72}"/>
    <cellStyle name="Normal 9 3 2 2 6 4" xfId="19198" xr:uid="{00000000-0005-0000-0000-0000855D0000}"/>
    <cellStyle name="Normal 9 3 2 2 6 4 2" xfId="36067" xr:uid="{C4419DDD-1A1E-4CD7-8788-D64EC91E8DF2}"/>
    <cellStyle name="Normal 9 3 2 2 6 5" xfId="10763" xr:uid="{00000000-0005-0000-0000-0000865D0000}"/>
    <cellStyle name="Normal 9 3 2 2 6 6" xfId="27633" xr:uid="{81DB8524-8771-4D3B-9CA9-59DF35521735}"/>
    <cellStyle name="Normal 9 3 2 2 7" xfId="2675" xr:uid="{00000000-0005-0000-0000-0000875D0000}"/>
    <cellStyle name="Normal 9 3 2 2 7 2" xfId="6959" xr:uid="{00000000-0005-0000-0000-0000885D0000}"/>
    <cellStyle name="Normal 9 3 2 2 7 2 2" xfId="23829" xr:uid="{00000000-0005-0000-0000-0000895D0000}"/>
    <cellStyle name="Normal 9 3 2 2 7 2 2 2" xfId="40697" xr:uid="{720E9D31-0D08-472A-A4D4-F30A4B019F15}"/>
    <cellStyle name="Normal 9 3 2 2 7 2 3" xfId="15394" xr:uid="{00000000-0005-0000-0000-00008A5D0000}"/>
    <cellStyle name="Normal 9 3 2 2 7 2 4" xfId="32263" xr:uid="{DA223B7D-36B5-4658-BF38-D9D01819638D}"/>
    <cellStyle name="Normal 9 3 2 2 7 3" xfId="19611" xr:uid="{00000000-0005-0000-0000-00008B5D0000}"/>
    <cellStyle name="Normal 9 3 2 2 7 3 2" xfId="36480" xr:uid="{FF51D519-1C70-41CF-87E4-D2F3DACBB21B}"/>
    <cellStyle name="Normal 9 3 2 2 7 4" xfId="11176" xr:uid="{00000000-0005-0000-0000-00008C5D0000}"/>
    <cellStyle name="Normal 9 3 2 2 7 5" xfId="28046" xr:uid="{A4A26BAA-CF5A-499A-9CCB-EC00473C70CA}"/>
    <cellStyle name="Normal 9 3 2 2 8" xfId="4894" xr:uid="{00000000-0005-0000-0000-00008D5D0000}"/>
    <cellStyle name="Normal 9 3 2 2 8 2" xfId="21764" xr:uid="{00000000-0005-0000-0000-00008E5D0000}"/>
    <cellStyle name="Normal 9 3 2 2 8 2 2" xfId="38632" xr:uid="{368AFD18-B6DA-49B5-BA77-6980AB2BF543}"/>
    <cellStyle name="Normal 9 3 2 2 8 3" xfId="13329" xr:uid="{00000000-0005-0000-0000-00008F5D0000}"/>
    <cellStyle name="Normal 9 3 2 2 8 4" xfId="30198" xr:uid="{58B58020-E653-4926-B353-0DD68713961D}"/>
    <cellStyle name="Normal 9 3 2 2 9" xfId="17546" xr:uid="{00000000-0005-0000-0000-0000905D0000}"/>
    <cellStyle name="Normal 9 3 2 2 9 2" xfId="34415" xr:uid="{29837AF2-6CB9-4FEF-BE66-7A7896874988}"/>
    <cellStyle name="Normal 9 3 2 3" xfId="531" xr:uid="{00000000-0005-0000-0000-0000915D0000}"/>
    <cellStyle name="Normal 9 3 2 3 10" xfId="25983" xr:uid="{351615CB-3F88-400E-AC67-09D6DD623E33}"/>
    <cellStyle name="Normal 9 3 2 3 2" xfId="998" xr:uid="{00000000-0005-0000-0000-0000925D0000}"/>
    <cellStyle name="Normal 9 3 2 3 2 2" xfId="3231" xr:uid="{00000000-0005-0000-0000-0000935D0000}"/>
    <cellStyle name="Normal 9 3 2 3 2 2 2" xfId="7454" xr:uid="{00000000-0005-0000-0000-0000945D0000}"/>
    <cellStyle name="Normal 9 3 2 3 2 2 2 2" xfId="24324" xr:uid="{00000000-0005-0000-0000-0000955D0000}"/>
    <cellStyle name="Normal 9 3 2 3 2 2 2 2 2" xfId="41192" xr:uid="{2DA6977F-5E95-4F1D-B1C8-9A30CEB447B2}"/>
    <cellStyle name="Normal 9 3 2 3 2 2 2 3" xfId="15889" xr:uid="{00000000-0005-0000-0000-0000965D0000}"/>
    <cellStyle name="Normal 9 3 2 3 2 2 2 4" xfId="32758" xr:uid="{1E4627AF-84F2-4743-BAAA-209A1BAB9E33}"/>
    <cellStyle name="Normal 9 3 2 3 2 2 3" xfId="20106" xr:uid="{00000000-0005-0000-0000-0000975D0000}"/>
    <cellStyle name="Normal 9 3 2 3 2 2 3 2" xfId="36975" xr:uid="{B5C78DF7-C1B6-4A46-8701-9F945ED83DE7}"/>
    <cellStyle name="Normal 9 3 2 3 2 2 4" xfId="11671" xr:uid="{00000000-0005-0000-0000-0000985D0000}"/>
    <cellStyle name="Normal 9 3 2 3 2 2 5" xfId="28541" xr:uid="{5E994DFF-7510-475D-879D-63509CD35F04}"/>
    <cellStyle name="Normal 9 3 2 3 2 3" xfId="5309" xr:uid="{00000000-0005-0000-0000-0000995D0000}"/>
    <cellStyle name="Normal 9 3 2 3 2 3 2" xfId="22179" xr:uid="{00000000-0005-0000-0000-00009A5D0000}"/>
    <cellStyle name="Normal 9 3 2 3 2 3 2 2" xfId="39047" xr:uid="{94F076E0-7958-4733-B0FD-78D1482510E8}"/>
    <cellStyle name="Normal 9 3 2 3 2 3 3" xfId="13744" xr:uid="{00000000-0005-0000-0000-00009B5D0000}"/>
    <cellStyle name="Normal 9 3 2 3 2 3 4" xfId="30613" xr:uid="{C80B6E03-5C28-495C-A53F-E1B855B7B549}"/>
    <cellStyle name="Normal 9 3 2 3 2 4" xfId="17961" xr:uid="{00000000-0005-0000-0000-00009C5D0000}"/>
    <cellStyle name="Normal 9 3 2 3 2 4 2" xfId="34830" xr:uid="{965CC4E2-75AB-4A27-AD46-64EB4CA2428E}"/>
    <cellStyle name="Normal 9 3 2 3 2 5" xfId="9526" xr:uid="{00000000-0005-0000-0000-00009D5D0000}"/>
    <cellStyle name="Normal 9 3 2 3 2 6" xfId="26396" xr:uid="{A3A7856C-6964-4ED8-8570-0B51033C7014}"/>
    <cellStyle name="Normal 9 3 2 3 3" xfId="1414" xr:uid="{00000000-0005-0000-0000-00009E5D0000}"/>
    <cellStyle name="Normal 9 3 2 3 3 2" xfId="3644" xr:uid="{00000000-0005-0000-0000-00009F5D0000}"/>
    <cellStyle name="Normal 9 3 2 3 3 2 2" xfId="7867" xr:uid="{00000000-0005-0000-0000-0000A05D0000}"/>
    <cellStyle name="Normal 9 3 2 3 3 2 2 2" xfId="24737" xr:uid="{00000000-0005-0000-0000-0000A15D0000}"/>
    <cellStyle name="Normal 9 3 2 3 3 2 2 2 2" xfId="41605" xr:uid="{B0502A52-73E9-4D8C-98B9-5C61097934FE}"/>
    <cellStyle name="Normal 9 3 2 3 3 2 2 3" xfId="16302" xr:uid="{00000000-0005-0000-0000-0000A25D0000}"/>
    <cellStyle name="Normal 9 3 2 3 3 2 2 4" xfId="33171" xr:uid="{244C471E-BCD7-4F0B-ACB2-733F271A4E9A}"/>
    <cellStyle name="Normal 9 3 2 3 3 2 3" xfId="20519" xr:uid="{00000000-0005-0000-0000-0000A35D0000}"/>
    <cellStyle name="Normal 9 3 2 3 3 2 3 2" xfId="37388" xr:uid="{5A24E022-68E5-4383-81D0-4493B2555A7D}"/>
    <cellStyle name="Normal 9 3 2 3 3 2 4" xfId="12084" xr:uid="{00000000-0005-0000-0000-0000A45D0000}"/>
    <cellStyle name="Normal 9 3 2 3 3 2 5" xfId="28954" xr:uid="{0892019F-0647-4283-9D98-9FD342A7E3D1}"/>
    <cellStyle name="Normal 9 3 2 3 3 3" xfId="5722" xr:uid="{00000000-0005-0000-0000-0000A55D0000}"/>
    <cellStyle name="Normal 9 3 2 3 3 3 2" xfId="22592" xr:uid="{00000000-0005-0000-0000-0000A65D0000}"/>
    <cellStyle name="Normal 9 3 2 3 3 3 2 2" xfId="39460" xr:uid="{2FBE41EE-A0D2-4926-9891-C41389BB4B9C}"/>
    <cellStyle name="Normal 9 3 2 3 3 3 3" xfId="14157" xr:uid="{00000000-0005-0000-0000-0000A75D0000}"/>
    <cellStyle name="Normal 9 3 2 3 3 3 4" xfId="31026" xr:uid="{C23D0D42-1464-4B15-9BF8-15D70EFC6330}"/>
    <cellStyle name="Normal 9 3 2 3 3 4" xfId="18374" xr:uid="{00000000-0005-0000-0000-0000A85D0000}"/>
    <cellStyle name="Normal 9 3 2 3 3 4 2" xfId="35243" xr:uid="{39630643-1093-494D-9FC2-CD8AFE76C894}"/>
    <cellStyle name="Normal 9 3 2 3 3 5" xfId="9939" xr:uid="{00000000-0005-0000-0000-0000A95D0000}"/>
    <cellStyle name="Normal 9 3 2 3 3 6" xfId="26809" xr:uid="{2F54EB54-2319-4259-84EF-0FE4023E1FCB}"/>
    <cellStyle name="Normal 9 3 2 3 4" xfId="1827" xr:uid="{00000000-0005-0000-0000-0000AA5D0000}"/>
    <cellStyle name="Normal 9 3 2 3 4 2" xfId="4057" xr:uid="{00000000-0005-0000-0000-0000AB5D0000}"/>
    <cellStyle name="Normal 9 3 2 3 4 2 2" xfId="8280" xr:uid="{00000000-0005-0000-0000-0000AC5D0000}"/>
    <cellStyle name="Normal 9 3 2 3 4 2 2 2" xfId="25150" xr:uid="{00000000-0005-0000-0000-0000AD5D0000}"/>
    <cellStyle name="Normal 9 3 2 3 4 2 2 2 2" xfId="42018" xr:uid="{F9C077C7-7A08-41F6-8306-3082B02A6AC5}"/>
    <cellStyle name="Normal 9 3 2 3 4 2 2 3" xfId="16715" xr:uid="{00000000-0005-0000-0000-0000AE5D0000}"/>
    <cellStyle name="Normal 9 3 2 3 4 2 2 4" xfId="33584" xr:uid="{D7DACB1E-5663-48E5-8394-E2FC01F251AE}"/>
    <cellStyle name="Normal 9 3 2 3 4 2 3" xfId="20932" xr:uid="{00000000-0005-0000-0000-0000AF5D0000}"/>
    <cellStyle name="Normal 9 3 2 3 4 2 3 2" xfId="37801" xr:uid="{C4503A24-8784-46AA-99A8-3D9E091C6293}"/>
    <cellStyle name="Normal 9 3 2 3 4 2 4" xfId="12497" xr:uid="{00000000-0005-0000-0000-0000B05D0000}"/>
    <cellStyle name="Normal 9 3 2 3 4 2 5" xfId="29367" xr:uid="{883BC2D8-9D02-4B12-8413-2FD9C2E04A65}"/>
    <cellStyle name="Normal 9 3 2 3 4 3" xfId="6135" xr:uid="{00000000-0005-0000-0000-0000B15D0000}"/>
    <cellStyle name="Normal 9 3 2 3 4 3 2" xfId="23005" xr:uid="{00000000-0005-0000-0000-0000B25D0000}"/>
    <cellStyle name="Normal 9 3 2 3 4 3 2 2" xfId="39873" xr:uid="{0E0A3F86-3DC2-4B3A-B555-7FCCFF9D7D9A}"/>
    <cellStyle name="Normal 9 3 2 3 4 3 3" xfId="14570" xr:uid="{00000000-0005-0000-0000-0000B35D0000}"/>
    <cellStyle name="Normal 9 3 2 3 4 3 4" xfId="31439" xr:uid="{ED223F23-5743-448E-8659-8774BC750360}"/>
    <cellStyle name="Normal 9 3 2 3 4 4" xfId="18787" xr:uid="{00000000-0005-0000-0000-0000B45D0000}"/>
    <cellStyle name="Normal 9 3 2 3 4 4 2" xfId="35656" xr:uid="{39989660-8B68-4184-BE18-34ABA4E31FB1}"/>
    <cellStyle name="Normal 9 3 2 3 4 5" xfId="10352" xr:uid="{00000000-0005-0000-0000-0000B55D0000}"/>
    <cellStyle name="Normal 9 3 2 3 4 6" xfId="27222" xr:uid="{8807B3F8-567A-4EDA-A608-F54362DF9B2A}"/>
    <cellStyle name="Normal 9 3 2 3 5" xfId="2241" xr:uid="{00000000-0005-0000-0000-0000B65D0000}"/>
    <cellStyle name="Normal 9 3 2 3 5 2" xfId="4470" xr:uid="{00000000-0005-0000-0000-0000B75D0000}"/>
    <cellStyle name="Normal 9 3 2 3 5 2 2" xfId="8693" xr:uid="{00000000-0005-0000-0000-0000B85D0000}"/>
    <cellStyle name="Normal 9 3 2 3 5 2 2 2" xfId="25563" xr:uid="{00000000-0005-0000-0000-0000B95D0000}"/>
    <cellStyle name="Normal 9 3 2 3 5 2 2 2 2" xfId="42431" xr:uid="{40239AD5-A779-4FD5-B514-834BDCCC8157}"/>
    <cellStyle name="Normal 9 3 2 3 5 2 2 3" xfId="17128" xr:uid="{00000000-0005-0000-0000-0000BA5D0000}"/>
    <cellStyle name="Normal 9 3 2 3 5 2 2 4" xfId="33997" xr:uid="{8F4093CD-1B59-4F5E-9443-D4AA6F442B5A}"/>
    <cellStyle name="Normal 9 3 2 3 5 2 3" xfId="21345" xr:uid="{00000000-0005-0000-0000-0000BB5D0000}"/>
    <cellStyle name="Normal 9 3 2 3 5 2 3 2" xfId="38214" xr:uid="{E8D05C44-F6DA-42D7-BA03-C92DF1F1BF50}"/>
    <cellStyle name="Normal 9 3 2 3 5 2 4" xfId="12910" xr:uid="{00000000-0005-0000-0000-0000BC5D0000}"/>
    <cellStyle name="Normal 9 3 2 3 5 2 5" xfId="29780" xr:uid="{7E276440-44DE-4810-936D-208C601A5F7A}"/>
    <cellStyle name="Normal 9 3 2 3 5 3" xfId="6548" xr:uid="{00000000-0005-0000-0000-0000BD5D0000}"/>
    <cellStyle name="Normal 9 3 2 3 5 3 2" xfId="23418" xr:uid="{00000000-0005-0000-0000-0000BE5D0000}"/>
    <cellStyle name="Normal 9 3 2 3 5 3 2 2" xfId="40286" xr:uid="{AABD123D-4A34-4159-AB91-B72DD9E057A5}"/>
    <cellStyle name="Normal 9 3 2 3 5 3 3" xfId="14983" xr:uid="{00000000-0005-0000-0000-0000BF5D0000}"/>
    <cellStyle name="Normal 9 3 2 3 5 3 4" xfId="31852" xr:uid="{BE53FEF0-C7DE-4912-9791-8F5E0E75D65E}"/>
    <cellStyle name="Normal 9 3 2 3 5 4" xfId="19200" xr:uid="{00000000-0005-0000-0000-0000C05D0000}"/>
    <cellStyle name="Normal 9 3 2 3 5 4 2" xfId="36069" xr:uid="{1BECB367-2ADD-43F9-A7A6-FE2B1E363B90}"/>
    <cellStyle name="Normal 9 3 2 3 5 5" xfId="10765" xr:uid="{00000000-0005-0000-0000-0000C15D0000}"/>
    <cellStyle name="Normal 9 3 2 3 5 6" xfId="27635" xr:uid="{4AAF1370-2791-4CA0-90E7-D4D8CDEAC243}"/>
    <cellStyle name="Normal 9 3 2 3 6" xfId="2677" xr:uid="{00000000-0005-0000-0000-0000C25D0000}"/>
    <cellStyle name="Normal 9 3 2 3 6 2" xfId="6961" xr:uid="{00000000-0005-0000-0000-0000C35D0000}"/>
    <cellStyle name="Normal 9 3 2 3 6 2 2" xfId="23831" xr:uid="{00000000-0005-0000-0000-0000C45D0000}"/>
    <cellStyle name="Normal 9 3 2 3 6 2 2 2" xfId="40699" xr:uid="{DD126FF4-A8A0-4ABE-B495-40A8213C2997}"/>
    <cellStyle name="Normal 9 3 2 3 6 2 3" xfId="15396" xr:uid="{00000000-0005-0000-0000-0000C55D0000}"/>
    <cellStyle name="Normal 9 3 2 3 6 2 4" xfId="32265" xr:uid="{39BCABA0-167D-45D0-9413-A54869363B3B}"/>
    <cellStyle name="Normal 9 3 2 3 6 3" xfId="19613" xr:uid="{00000000-0005-0000-0000-0000C65D0000}"/>
    <cellStyle name="Normal 9 3 2 3 6 3 2" xfId="36482" xr:uid="{AB3F7DBA-282C-4DBC-8B09-8489882AC641}"/>
    <cellStyle name="Normal 9 3 2 3 6 4" xfId="11178" xr:uid="{00000000-0005-0000-0000-0000C75D0000}"/>
    <cellStyle name="Normal 9 3 2 3 6 5" xfId="28048" xr:uid="{C6CB85D8-7A28-4347-A81E-677C1C330743}"/>
    <cellStyle name="Normal 9 3 2 3 7" xfId="4896" xr:uid="{00000000-0005-0000-0000-0000C85D0000}"/>
    <cellStyle name="Normal 9 3 2 3 7 2" xfId="21766" xr:uid="{00000000-0005-0000-0000-0000C95D0000}"/>
    <cellStyle name="Normal 9 3 2 3 7 2 2" xfId="38634" xr:uid="{8B32E799-2555-4527-99D7-5AAE66D94D74}"/>
    <cellStyle name="Normal 9 3 2 3 7 3" xfId="13331" xr:uid="{00000000-0005-0000-0000-0000CA5D0000}"/>
    <cellStyle name="Normal 9 3 2 3 7 4" xfId="30200" xr:uid="{51ADBB30-69A5-4317-98D5-A3CFEBB4A86E}"/>
    <cellStyle name="Normal 9 3 2 3 8" xfId="17548" xr:uid="{00000000-0005-0000-0000-0000CB5D0000}"/>
    <cellStyle name="Normal 9 3 2 3 8 2" xfId="34417" xr:uid="{21E7CAD8-D7D1-4BB6-96FF-F1CBA9A1FAE5}"/>
    <cellStyle name="Normal 9 3 2 3 9" xfId="9113" xr:uid="{00000000-0005-0000-0000-0000CC5D0000}"/>
    <cellStyle name="Normal 9 3 2 4" xfId="995" xr:uid="{00000000-0005-0000-0000-0000CD5D0000}"/>
    <cellStyle name="Normal 9 3 2 4 2" xfId="3228" xr:uid="{00000000-0005-0000-0000-0000CE5D0000}"/>
    <cellStyle name="Normal 9 3 2 4 2 2" xfId="7451" xr:uid="{00000000-0005-0000-0000-0000CF5D0000}"/>
    <cellStyle name="Normal 9 3 2 4 2 2 2" xfId="24321" xr:uid="{00000000-0005-0000-0000-0000D05D0000}"/>
    <cellStyle name="Normal 9 3 2 4 2 2 2 2" xfId="41189" xr:uid="{62FEA7CB-E388-4F28-8384-6E1901FD1270}"/>
    <cellStyle name="Normal 9 3 2 4 2 2 3" xfId="15886" xr:uid="{00000000-0005-0000-0000-0000D15D0000}"/>
    <cellStyle name="Normal 9 3 2 4 2 2 4" xfId="32755" xr:uid="{BCA43A6A-5953-44DD-9648-98FA4883331C}"/>
    <cellStyle name="Normal 9 3 2 4 2 3" xfId="20103" xr:uid="{00000000-0005-0000-0000-0000D25D0000}"/>
    <cellStyle name="Normal 9 3 2 4 2 3 2" xfId="36972" xr:uid="{CE01CE14-53BA-4F8E-93FA-626775E31BDF}"/>
    <cellStyle name="Normal 9 3 2 4 2 4" xfId="11668" xr:uid="{00000000-0005-0000-0000-0000D35D0000}"/>
    <cellStyle name="Normal 9 3 2 4 2 5" xfId="28538" xr:uid="{C9239639-0C31-427F-B60A-15487A2DC5BA}"/>
    <cellStyle name="Normal 9 3 2 4 3" xfId="5306" xr:uid="{00000000-0005-0000-0000-0000D45D0000}"/>
    <cellStyle name="Normal 9 3 2 4 3 2" xfId="22176" xr:uid="{00000000-0005-0000-0000-0000D55D0000}"/>
    <cellStyle name="Normal 9 3 2 4 3 2 2" xfId="39044" xr:uid="{3E808592-FE68-40B2-B02C-9DED303B99F7}"/>
    <cellStyle name="Normal 9 3 2 4 3 3" xfId="13741" xr:uid="{00000000-0005-0000-0000-0000D65D0000}"/>
    <cellStyle name="Normal 9 3 2 4 3 4" xfId="30610" xr:uid="{FEFF5B34-BA08-4F98-B281-85BE2C8E63B7}"/>
    <cellStyle name="Normal 9 3 2 4 4" xfId="17958" xr:uid="{00000000-0005-0000-0000-0000D75D0000}"/>
    <cellStyle name="Normal 9 3 2 4 4 2" xfId="34827" xr:uid="{FB821BF9-3132-430D-8925-E046EE39DC17}"/>
    <cellStyle name="Normal 9 3 2 4 5" xfId="9523" xr:uid="{00000000-0005-0000-0000-0000D85D0000}"/>
    <cellStyle name="Normal 9 3 2 4 6" xfId="26393" xr:uid="{6B91D146-8D63-41BB-9CBB-045F9FF6BE25}"/>
    <cellStyle name="Normal 9 3 2 5" xfId="1411" xr:uid="{00000000-0005-0000-0000-0000D95D0000}"/>
    <cellStyle name="Normal 9 3 2 5 2" xfId="3641" xr:uid="{00000000-0005-0000-0000-0000DA5D0000}"/>
    <cellStyle name="Normal 9 3 2 5 2 2" xfId="7864" xr:uid="{00000000-0005-0000-0000-0000DB5D0000}"/>
    <cellStyle name="Normal 9 3 2 5 2 2 2" xfId="24734" xr:uid="{00000000-0005-0000-0000-0000DC5D0000}"/>
    <cellStyle name="Normal 9 3 2 5 2 2 2 2" xfId="41602" xr:uid="{86CFEF09-0CA2-44E4-AAEB-C6D7F1CBB0CF}"/>
    <cellStyle name="Normal 9 3 2 5 2 2 3" xfId="16299" xr:uid="{00000000-0005-0000-0000-0000DD5D0000}"/>
    <cellStyle name="Normal 9 3 2 5 2 2 4" xfId="33168" xr:uid="{9CDC8625-D62C-443D-8458-803D58FBEB02}"/>
    <cellStyle name="Normal 9 3 2 5 2 3" xfId="20516" xr:uid="{00000000-0005-0000-0000-0000DE5D0000}"/>
    <cellStyle name="Normal 9 3 2 5 2 3 2" xfId="37385" xr:uid="{E8E8182B-2305-4AAB-A3F2-96410AF67A24}"/>
    <cellStyle name="Normal 9 3 2 5 2 4" xfId="12081" xr:uid="{00000000-0005-0000-0000-0000DF5D0000}"/>
    <cellStyle name="Normal 9 3 2 5 2 5" xfId="28951" xr:uid="{57615E78-613C-46E9-B505-BA1E455137FA}"/>
    <cellStyle name="Normal 9 3 2 5 3" xfId="5719" xr:uid="{00000000-0005-0000-0000-0000E05D0000}"/>
    <cellStyle name="Normal 9 3 2 5 3 2" xfId="22589" xr:uid="{00000000-0005-0000-0000-0000E15D0000}"/>
    <cellStyle name="Normal 9 3 2 5 3 2 2" xfId="39457" xr:uid="{F37D3646-AD91-4B6C-9CAB-A84BFDC4A787}"/>
    <cellStyle name="Normal 9 3 2 5 3 3" xfId="14154" xr:uid="{00000000-0005-0000-0000-0000E25D0000}"/>
    <cellStyle name="Normal 9 3 2 5 3 4" xfId="31023" xr:uid="{D5C1967F-A1FC-42F6-A024-41CB1A583A80}"/>
    <cellStyle name="Normal 9 3 2 5 4" xfId="18371" xr:uid="{00000000-0005-0000-0000-0000E35D0000}"/>
    <cellStyle name="Normal 9 3 2 5 4 2" xfId="35240" xr:uid="{839ADD2D-D208-4448-9525-888EDA77BE15}"/>
    <cellStyle name="Normal 9 3 2 5 5" xfId="9936" xr:uid="{00000000-0005-0000-0000-0000E45D0000}"/>
    <cellStyle name="Normal 9 3 2 5 6" xfId="26806" xr:uid="{CBA84D33-5A91-4C04-BA4F-01B76F744438}"/>
    <cellStyle name="Normal 9 3 2 6" xfId="1824" xr:uid="{00000000-0005-0000-0000-0000E55D0000}"/>
    <cellStyle name="Normal 9 3 2 6 2" xfId="4054" xr:uid="{00000000-0005-0000-0000-0000E65D0000}"/>
    <cellStyle name="Normal 9 3 2 6 2 2" xfId="8277" xr:uid="{00000000-0005-0000-0000-0000E75D0000}"/>
    <cellStyle name="Normal 9 3 2 6 2 2 2" xfId="25147" xr:uid="{00000000-0005-0000-0000-0000E85D0000}"/>
    <cellStyle name="Normal 9 3 2 6 2 2 2 2" xfId="42015" xr:uid="{4ABC0ABF-C630-4051-8546-DA99ECD3E89A}"/>
    <cellStyle name="Normal 9 3 2 6 2 2 3" xfId="16712" xr:uid="{00000000-0005-0000-0000-0000E95D0000}"/>
    <cellStyle name="Normal 9 3 2 6 2 2 4" xfId="33581" xr:uid="{90A6CB80-FC85-4E3F-A537-A98FFD48D066}"/>
    <cellStyle name="Normal 9 3 2 6 2 3" xfId="20929" xr:uid="{00000000-0005-0000-0000-0000EA5D0000}"/>
    <cellStyle name="Normal 9 3 2 6 2 3 2" xfId="37798" xr:uid="{2D72F95D-A4C4-4A16-9A9F-DFE10DAEAE35}"/>
    <cellStyle name="Normal 9 3 2 6 2 4" xfId="12494" xr:uid="{00000000-0005-0000-0000-0000EB5D0000}"/>
    <cellStyle name="Normal 9 3 2 6 2 5" xfId="29364" xr:uid="{116E3952-8E46-452E-8D5F-C03CEF6FA2A8}"/>
    <cellStyle name="Normal 9 3 2 6 3" xfId="6132" xr:uid="{00000000-0005-0000-0000-0000EC5D0000}"/>
    <cellStyle name="Normal 9 3 2 6 3 2" xfId="23002" xr:uid="{00000000-0005-0000-0000-0000ED5D0000}"/>
    <cellStyle name="Normal 9 3 2 6 3 2 2" xfId="39870" xr:uid="{CE7FE924-98E7-4D7C-ABBB-712345796295}"/>
    <cellStyle name="Normal 9 3 2 6 3 3" xfId="14567" xr:uid="{00000000-0005-0000-0000-0000EE5D0000}"/>
    <cellStyle name="Normal 9 3 2 6 3 4" xfId="31436" xr:uid="{0F97DB34-B272-4273-8EFE-D27F8F984DD1}"/>
    <cellStyle name="Normal 9 3 2 6 4" xfId="18784" xr:uid="{00000000-0005-0000-0000-0000EF5D0000}"/>
    <cellStyle name="Normal 9 3 2 6 4 2" xfId="35653" xr:uid="{945E3A0E-2C23-4E4F-BBC7-26338C0D39FE}"/>
    <cellStyle name="Normal 9 3 2 6 5" xfId="10349" xr:uid="{00000000-0005-0000-0000-0000F05D0000}"/>
    <cellStyle name="Normal 9 3 2 6 6" xfId="27219" xr:uid="{7E390EAC-C6C4-42D7-955E-DD94DCBDA73F}"/>
    <cellStyle name="Normal 9 3 2 7" xfId="2238" xr:uid="{00000000-0005-0000-0000-0000F15D0000}"/>
    <cellStyle name="Normal 9 3 2 7 2" xfId="4467" xr:uid="{00000000-0005-0000-0000-0000F25D0000}"/>
    <cellStyle name="Normal 9 3 2 7 2 2" xfId="8690" xr:uid="{00000000-0005-0000-0000-0000F35D0000}"/>
    <cellStyle name="Normal 9 3 2 7 2 2 2" xfId="25560" xr:uid="{00000000-0005-0000-0000-0000F45D0000}"/>
    <cellStyle name="Normal 9 3 2 7 2 2 2 2" xfId="42428" xr:uid="{8E60D011-3B72-4180-947E-1658B9570EBF}"/>
    <cellStyle name="Normal 9 3 2 7 2 2 3" xfId="17125" xr:uid="{00000000-0005-0000-0000-0000F55D0000}"/>
    <cellStyle name="Normal 9 3 2 7 2 2 4" xfId="33994" xr:uid="{93F4A092-32ED-47FC-98CE-958065E2E507}"/>
    <cellStyle name="Normal 9 3 2 7 2 3" xfId="21342" xr:uid="{00000000-0005-0000-0000-0000F65D0000}"/>
    <cellStyle name="Normal 9 3 2 7 2 3 2" xfId="38211" xr:uid="{95789EB5-E4BD-42F3-818B-CFFE7961BC46}"/>
    <cellStyle name="Normal 9 3 2 7 2 4" xfId="12907" xr:uid="{00000000-0005-0000-0000-0000F75D0000}"/>
    <cellStyle name="Normal 9 3 2 7 2 5" xfId="29777" xr:uid="{205AB11C-8D5B-41CA-BFA4-8FD590A0510D}"/>
    <cellStyle name="Normal 9 3 2 7 3" xfId="6545" xr:uid="{00000000-0005-0000-0000-0000F85D0000}"/>
    <cellStyle name="Normal 9 3 2 7 3 2" xfId="23415" xr:uid="{00000000-0005-0000-0000-0000F95D0000}"/>
    <cellStyle name="Normal 9 3 2 7 3 2 2" xfId="40283" xr:uid="{BEFABE31-A9B1-4ECC-AA1D-9046F27D65B9}"/>
    <cellStyle name="Normal 9 3 2 7 3 3" xfId="14980" xr:uid="{00000000-0005-0000-0000-0000FA5D0000}"/>
    <cellStyle name="Normal 9 3 2 7 3 4" xfId="31849" xr:uid="{55D10649-C7D8-4513-B30A-2C9010EC9079}"/>
    <cellStyle name="Normal 9 3 2 7 4" xfId="19197" xr:uid="{00000000-0005-0000-0000-0000FB5D0000}"/>
    <cellStyle name="Normal 9 3 2 7 4 2" xfId="36066" xr:uid="{FA98DA22-6022-4528-934E-DDE46D23DD0A}"/>
    <cellStyle name="Normal 9 3 2 7 5" xfId="10762" xr:uid="{00000000-0005-0000-0000-0000FC5D0000}"/>
    <cellStyle name="Normal 9 3 2 7 6" xfId="27632" xr:uid="{09FCCF8F-54DB-4CD3-AEC0-EFABB5432552}"/>
    <cellStyle name="Normal 9 3 2 8" xfId="2674" xr:uid="{00000000-0005-0000-0000-0000FD5D0000}"/>
    <cellStyle name="Normal 9 3 2 8 2" xfId="6958" xr:uid="{00000000-0005-0000-0000-0000FE5D0000}"/>
    <cellStyle name="Normal 9 3 2 8 2 2" xfId="23828" xr:uid="{00000000-0005-0000-0000-0000FF5D0000}"/>
    <cellStyle name="Normal 9 3 2 8 2 2 2" xfId="40696" xr:uid="{4491271D-162F-486E-A300-876B1313EFF3}"/>
    <cellStyle name="Normal 9 3 2 8 2 3" xfId="15393" xr:uid="{00000000-0005-0000-0000-0000005E0000}"/>
    <cellStyle name="Normal 9 3 2 8 2 4" xfId="32262" xr:uid="{95427F99-DB1C-41DC-8FF3-2F7A216B02B4}"/>
    <cellStyle name="Normal 9 3 2 8 3" xfId="19610" xr:uid="{00000000-0005-0000-0000-0000015E0000}"/>
    <cellStyle name="Normal 9 3 2 8 3 2" xfId="36479" xr:uid="{8F3B77EE-779A-4589-909E-B7544F6EEBC1}"/>
    <cellStyle name="Normal 9 3 2 8 4" xfId="11175" xr:uid="{00000000-0005-0000-0000-0000025E0000}"/>
    <cellStyle name="Normal 9 3 2 8 5" xfId="28045" xr:uid="{C4E7B17B-12AE-4D81-BEE4-366A167861A3}"/>
    <cellStyle name="Normal 9 3 2 9" xfId="4893" xr:uid="{00000000-0005-0000-0000-0000035E0000}"/>
    <cellStyle name="Normal 9 3 2 9 2" xfId="21763" xr:uid="{00000000-0005-0000-0000-0000045E0000}"/>
    <cellStyle name="Normal 9 3 2 9 2 2" xfId="38631" xr:uid="{7F82845E-10C0-40F9-A9FB-60A55844F217}"/>
    <cellStyle name="Normal 9 3 2 9 3" xfId="13328" xr:uid="{00000000-0005-0000-0000-0000055E0000}"/>
    <cellStyle name="Normal 9 3 2 9 4" xfId="30197" xr:uid="{6E94C749-05AF-42F8-888E-2EDBEE63AE3C}"/>
    <cellStyle name="Normal 9 3 3" xfId="532" xr:uid="{00000000-0005-0000-0000-0000065E0000}"/>
    <cellStyle name="Normal 9 3 3 10" xfId="9114" xr:uid="{00000000-0005-0000-0000-0000075E0000}"/>
    <cellStyle name="Normal 9 3 3 11" xfId="25984" xr:uid="{92D8AC6C-E4B5-46C0-9900-3352FA1C2CFF}"/>
    <cellStyle name="Normal 9 3 3 2" xfId="533" xr:uid="{00000000-0005-0000-0000-0000085E0000}"/>
    <cellStyle name="Normal 9 3 3 2 10" xfId="25985" xr:uid="{5D0D86A3-C2F8-45DD-8094-B6DDAB91308B}"/>
    <cellStyle name="Normal 9 3 3 2 2" xfId="1000" xr:uid="{00000000-0005-0000-0000-0000095E0000}"/>
    <cellStyle name="Normal 9 3 3 2 2 2" xfId="3233" xr:uid="{00000000-0005-0000-0000-00000A5E0000}"/>
    <cellStyle name="Normal 9 3 3 2 2 2 2" xfId="7456" xr:uid="{00000000-0005-0000-0000-00000B5E0000}"/>
    <cellStyle name="Normal 9 3 3 2 2 2 2 2" xfId="24326" xr:uid="{00000000-0005-0000-0000-00000C5E0000}"/>
    <cellStyle name="Normal 9 3 3 2 2 2 2 2 2" xfId="41194" xr:uid="{FA343C6C-CD09-4E25-8ED9-57ED08BD208C}"/>
    <cellStyle name="Normal 9 3 3 2 2 2 2 3" xfId="15891" xr:uid="{00000000-0005-0000-0000-00000D5E0000}"/>
    <cellStyle name="Normal 9 3 3 2 2 2 2 4" xfId="32760" xr:uid="{3F50469B-348C-40CB-91DB-750244F6BB6B}"/>
    <cellStyle name="Normal 9 3 3 2 2 2 3" xfId="20108" xr:uid="{00000000-0005-0000-0000-00000E5E0000}"/>
    <cellStyle name="Normal 9 3 3 2 2 2 3 2" xfId="36977" xr:uid="{206A4AF9-DE69-436F-B620-2B3FFBF4EE80}"/>
    <cellStyle name="Normal 9 3 3 2 2 2 4" xfId="11673" xr:uid="{00000000-0005-0000-0000-00000F5E0000}"/>
    <cellStyle name="Normal 9 3 3 2 2 2 5" xfId="28543" xr:uid="{8D32218D-E7CC-4499-982D-440291D2DF36}"/>
    <cellStyle name="Normal 9 3 3 2 2 3" xfId="5311" xr:uid="{00000000-0005-0000-0000-0000105E0000}"/>
    <cellStyle name="Normal 9 3 3 2 2 3 2" xfId="22181" xr:uid="{00000000-0005-0000-0000-0000115E0000}"/>
    <cellStyle name="Normal 9 3 3 2 2 3 2 2" xfId="39049" xr:uid="{2FC09045-8B63-4802-94FE-7467DCAAF091}"/>
    <cellStyle name="Normal 9 3 3 2 2 3 3" xfId="13746" xr:uid="{00000000-0005-0000-0000-0000125E0000}"/>
    <cellStyle name="Normal 9 3 3 2 2 3 4" xfId="30615" xr:uid="{5AA354FB-9E1B-4638-AFAD-99FA59972086}"/>
    <cellStyle name="Normal 9 3 3 2 2 4" xfId="17963" xr:uid="{00000000-0005-0000-0000-0000135E0000}"/>
    <cellStyle name="Normal 9 3 3 2 2 4 2" xfId="34832" xr:uid="{994A425D-EF8D-48FD-819E-1D66189526FA}"/>
    <cellStyle name="Normal 9 3 3 2 2 5" xfId="9528" xr:uid="{00000000-0005-0000-0000-0000145E0000}"/>
    <cellStyle name="Normal 9 3 3 2 2 6" xfId="26398" xr:uid="{40C1E43C-6580-4A0D-A265-47C99DE993CF}"/>
    <cellStyle name="Normal 9 3 3 2 3" xfId="1416" xr:uid="{00000000-0005-0000-0000-0000155E0000}"/>
    <cellStyle name="Normal 9 3 3 2 3 2" xfId="3646" xr:uid="{00000000-0005-0000-0000-0000165E0000}"/>
    <cellStyle name="Normal 9 3 3 2 3 2 2" xfId="7869" xr:uid="{00000000-0005-0000-0000-0000175E0000}"/>
    <cellStyle name="Normal 9 3 3 2 3 2 2 2" xfId="24739" xr:uid="{00000000-0005-0000-0000-0000185E0000}"/>
    <cellStyle name="Normal 9 3 3 2 3 2 2 2 2" xfId="41607" xr:uid="{3403142C-2FF3-49C5-B652-E0569A92C32B}"/>
    <cellStyle name="Normal 9 3 3 2 3 2 2 3" xfId="16304" xr:uid="{00000000-0005-0000-0000-0000195E0000}"/>
    <cellStyle name="Normal 9 3 3 2 3 2 2 4" xfId="33173" xr:uid="{5D147AE8-319E-4D19-B0A5-DBA6959A6BEE}"/>
    <cellStyle name="Normal 9 3 3 2 3 2 3" xfId="20521" xr:uid="{00000000-0005-0000-0000-00001A5E0000}"/>
    <cellStyle name="Normal 9 3 3 2 3 2 3 2" xfId="37390" xr:uid="{4A677DD8-72D6-4FD2-A6CF-2BF6D4BB5A0F}"/>
    <cellStyle name="Normal 9 3 3 2 3 2 4" xfId="12086" xr:uid="{00000000-0005-0000-0000-00001B5E0000}"/>
    <cellStyle name="Normal 9 3 3 2 3 2 5" xfId="28956" xr:uid="{57B0F47C-3727-4B48-93DB-EA35A223F1E2}"/>
    <cellStyle name="Normal 9 3 3 2 3 3" xfId="5724" xr:uid="{00000000-0005-0000-0000-00001C5E0000}"/>
    <cellStyle name="Normal 9 3 3 2 3 3 2" xfId="22594" xr:uid="{00000000-0005-0000-0000-00001D5E0000}"/>
    <cellStyle name="Normal 9 3 3 2 3 3 2 2" xfId="39462" xr:uid="{5CCA9ED7-F0A1-4E6D-AECC-E47021C6A9FC}"/>
    <cellStyle name="Normal 9 3 3 2 3 3 3" xfId="14159" xr:uid="{00000000-0005-0000-0000-00001E5E0000}"/>
    <cellStyle name="Normal 9 3 3 2 3 3 4" xfId="31028" xr:uid="{86537893-78A2-4A92-8AA3-2EC92504B185}"/>
    <cellStyle name="Normal 9 3 3 2 3 4" xfId="18376" xr:uid="{00000000-0005-0000-0000-00001F5E0000}"/>
    <cellStyle name="Normal 9 3 3 2 3 4 2" xfId="35245" xr:uid="{D257364F-D0E7-4EE9-8AF4-D141A8841125}"/>
    <cellStyle name="Normal 9 3 3 2 3 5" xfId="9941" xr:uid="{00000000-0005-0000-0000-0000205E0000}"/>
    <cellStyle name="Normal 9 3 3 2 3 6" xfId="26811" xr:uid="{C8B8FAF6-053A-4300-8831-2907CD4351A4}"/>
    <cellStyle name="Normal 9 3 3 2 4" xfId="1829" xr:uid="{00000000-0005-0000-0000-0000215E0000}"/>
    <cellStyle name="Normal 9 3 3 2 4 2" xfId="4059" xr:uid="{00000000-0005-0000-0000-0000225E0000}"/>
    <cellStyle name="Normal 9 3 3 2 4 2 2" xfId="8282" xr:uid="{00000000-0005-0000-0000-0000235E0000}"/>
    <cellStyle name="Normal 9 3 3 2 4 2 2 2" xfId="25152" xr:uid="{00000000-0005-0000-0000-0000245E0000}"/>
    <cellStyle name="Normal 9 3 3 2 4 2 2 2 2" xfId="42020" xr:uid="{E0A565B9-0D5B-42B5-AEB6-A7F5DA446619}"/>
    <cellStyle name="Normal 9 3 3 2 4 2 2 3" xfId="16717" xr:uid="{00000000-0005-0000-0000-0000255E0000}"/>
    <cellStyle name="Normal 9 3 3 2 4 2 2 4" xfId="33586" xr:uid="{17DF3D5A-2C44-4D16-A979-F85721D620E3}"/>
    <cellStyle name="Normal 9 3 3 2 4 2 3" xfId="20934" xr:uid="{00000000-0005-0000-0000-0000265E0000}"/>
    <cellStyle name="Normal 9 3 3 2 4 2 3 2" xfId="37803" xr:uid="{9B303294-6D0F-4A41-B7D1-981886705CA4}"/>
    <cellStyle name="Normal 9 3 3 2 4 2 4" xfId="12499" xr:uid="{00000000-0005-0000-0000-0000275E0000}"/>
    <cellStyle name="Normal 9 3 3 2 4 2 5" xfId="29369" xr:uid="{0248722B-B9C5-44B6-B779-C544EA6D456E}"/>
    <cellStyle name="Normal 9 3 3 2 4 3" xfId="6137" xr:uid="{00000000-0005-0000-0000-0000285E0000}"/>
    <cellStyle name="Normal 9 3 3 2 4 3 2" xfId="23007" xr:uid="{00000000-0005-0000-0000-0000295E0000}"/>
    <cellStyle name="Normal 9 3 3 2 4 3 2 2" xfId="39875" xr:uid="{39EC731C-451E-4A91-916D-F503DDEF2339}"/>
    <cellStyle name="Normal 9 3 3 2 4 3 3" xfId="14572" xr:uid="{00000000-0005-0000-0000-00002A5E0000}"/>
    <cellStyle name="Normal 9 3 3 2 4 3 4" xfId="31441" xr:uid="{0FB5FF5F-7BA3-4443-937C-704FE1B5B427}"/>
    <cellStyle name="Normal 9 3 3 2 4 4" xfId="18789" xr:uid="{00000000-0005-0000-0000-00002B5E0000}"/>
    <cellStyle name="Normal 9 3 3 2 4 4 2" xfId="35658" xr:uid="{B3C1809E-C541-4688-A486-B51A0A7E19C5}"/>
    <cellStyle name="Normal 9 3 3 2 4 5" xfId="10354" xr:uid="{00000000-0005-0000-0000-00002C5E0000}"/>
    <cellStyle name="Normal 9 3 3 2 4 6" xfId="27224" xr:uid="{0E4B5DCE-FC6B-43F6-ADE7-0BFB98FD5993}"/>
    <cellStyle name="Normal 9 3 3 2 5" xfId="2243" xr:uid="{00000000-0005-0000-0000-00002D5E0000}"/>
    <cellStyle name="Normal 9 3 3 2 5 2" xfId="4472" xr:uid="{00000000-0005-0000-0000-00002E5E0000}"/>
    <cellStyle name="Normal 9 3 3 2 5 2 2" xfId="8695" xr:uid="{00000000-0005-0000-0000-00002F5E0000}"/>
    <cellStyle name="Normal 9 3 3 2 5 2 2 2" xfId="25565" xr:uid="{00000000-0005-0000-0000-0000305E0000}"/>
    <cellStyle name="Normal 9 3 3 2 5 2 2 2 2" xfId="42433" xr:uid="{F4E9D078-C10C-4F29-8CC0-2A7DDDFBFA67}"/>
    <cellStyle name="Normal 9 3 3 2 5 2 2 3" xfId="17130" xr:uid="{00000000-0005-0000-0000-0000315E0000}"/>
    <cellStyle name="Normal 9 3 3 2 5 2 2 4" xfId="33999" xr:uid="{7D6BD0F9-243D-4635-81B7-4028DFDCCDDA}"/>
    <cellStyle name="Normal 9 3 3 2 5 2 3" xfId="21347" xr:uid="{00000000-0005-0000-0000-0000325E0000}"/>
    <cellStyle name="Normal 9 3 3 2 5 2 3 2" xfId="38216" xr:uid="{0E008D5C-E8B6-4F7A-9C34-13D9DCE4B075}"/>
    <cellStyle name="Normal 9 3 3 2 5 2 4" xfId="12912" xr:uid="{00000000-0005-0000-0000-0000335E0000}"/>
    <cellStyle name="Normal 9 3 3 2 5 2 5" xfId="29782" xr:uid="{8B4C7B21-E3D0-4F23-807E-288580327BC5}"/>
    <cellStyle name="Normal 9 3 3 2 5 3" xfId="6550" xr:uid="{00000000-0005-0000-0000-0000345E0000}"/>
    <cellStyle name="Normal 9 3 3 2 5 3 2" xfId="23420" xr:uid="{00000000-0005-0000-0000-0000355E0000}"/>
    <cellStyle name="Normal 9 3 3 2 5 3 2 2" xfId="40288" xr:uid="{17A1A2A2-F04E-4DD5-BFE1-999612F3D310}"/>
    <cellStyle name="Normal 9 3 3 2 5 3 3" xfId="14985" xr:uid="{00000000-0005-0000-0000-0000365E0000}"/>
    <cellStyle name="Normal 9 3 3 2 5 3 4" xfId="31854" xr:uid="{3126096B-BF64-4AC7-BE0D-3A2D76CEB8AD}"/>
    <cellStyle name="Normal 9 3 3 2 5 4" xfId="19202" xr:uid="{00000000-0005-0000-0000-0000375E0000}"/>
    <cellStyle name="Normal 9 3 3 2 5 4 2" xfId="36071" xr:uid="{E199D64D-2237-48B9-BB55-B713C10FC1CE}"/>
    <cellStyle name="Normal 9 3 3 2 5 5" xfId="10767" xr:uid="{00000000-0005-0000-0000-0000385E0000}"/>
    <cellStyle name="Normal 9 3 3 2 5 6" xfId="27637" xr:uid="{294402AA-3941-40E6-A4DD-7F0AC83E705B}"/>
    <cellStyle name="Normal 9 3 3 2 6" xfId="2679" xr:uid="{00000000-0005-0000-0000-0000395E0000}"/>
    <cellStyle name="Normal 9 3 3 2 6 2" xfId="6963" xr:uid="{00000000-0005-0000-0000-00003A5E0000}"/>
    <cellStyle name="Normal 9 3 3 2 6 2 2" xfId="23833" xr:uid="{00000000-0005-0000-0000-00003B5E0000}"/>
    <cellStyle name="Normal 9 3 3 2 6 2 2 2" xfId="40701" xr:uid="{627D573C-1E6E-46E2-8C59-6F883903AFA6}"/>
    <cellStyle name="Normal 9 3 3 2 6 2 3" xfId="15398" xr:uid="{00000000-0005-0000-0000-00003C5E0000}"/>
    <cellStyle name="Normal 9 3 3 2 6 2 4" xfId="32267" xr:uid="{6D747A0B-2B33-4DD2-9D56-D17C807ED39C}"/>
    <cellStyle name="Normal 9 3 3 2 6 3" xfId="19615" xr:uid="{00000000-0005-0000-0000-00003D5E0000}"/>
    <cellStyle name="Normal 9 3 3 2 6 3 2" xfId="36484" xr:uid="{38047B21-A40B-4FAF-9C6B-F1E2237D42B8}"/>
    <cellStyle name="Normal 9 3 3 2 6 4" xfId="11180" xr:uid="{00000000-0005-0000-0000-00003E5E0000}"/>
    <cellStyle name="Normal 9 3 3 2 6 5" xfId="28050" xr:uid="{E3E3A0BF-1F8A-489C-BE3D-A46774E40088}"/>
    <cellStyle name="Normal 9 3 3 2 7" xfId="4898" xr:uid="{00000000-0005-0000-0000-00003F5E0000}"/>
    <cellStyle name="Normal 9 3 3 2 7 2" xfId="21768" xr:uid="{00000000-0005-0000-0000-0000405E0000}"/>
    <cellStyle name="Normal 9 3 3 2 7 2 2" xfId="38636" xr:uid="{6A016F00-EE1B-4016-96F8-CDE73E3DD93B}"/>
    <cellStyle name="Normal 9 3 3 2 7 3" xfId="13333" xr:uid="{00000000-0005-0000-0000-0000415E0000}"/>
    <cellStyle name="Normal 9 3 3 2 7 4" xfId="30202" xr:uid="{D00892C9-2488-4104-AC31-ADA3EB3BC08A}"/>
    <cellStyle name="Normal 9 3 3 2 8" xfId="17550" xr:uid="{00000000-0005-0000-0000-0000425E0000}"/>
    <cellStyle name="Normal 9 3 3 2 8 2" xfId="34419" xr:uid="{38A3CECF-903B-4FB2-B6D6-F7A6F7DC4DA4}"/>
    <cellStyle name="Normal 9 3 3 2 9" xfId="9115" xr:uid="{00000000-0005-0000-0000-0000435E0000}"/>
    <cellStyle name="Normal 9 3 3 3" xfId="999" xr:uid="{00000000-0005-0000-0000-0000445E0000}"/>
    <cellStyle name="Normal 9 3 3 3 2" xfId="3232" xr:uid="{00000000-0005-0000-0000-0000455E0000}"/>
    <cellStyle name="Normal 9 3 3 3 2 2" xfId="7455" xr:uid="{00000000-0005-0000-0000-0000465E0000}"/>
    <cellStyle name="Normal 9 3 3 3 2 2 2" xfId="24325" xr:uid="{00000000-0005-0000-0000-0000475E0000}"/>
    <cellStyle name="Normal 9 3 3 3 2 2 2 2" xfId="41193" xr:uid="{D557BE20-DA9F-4BE4-8E68-58ADBFC25E9B}"/>
    <cellStyle name="Normal 9 3 3 3 2 2 3" xfId="15890" xr:uid="{00000000-0005-0000-0000-0000485E0000}"/>
    <cellStyle name="Normal 9 3 3 3 2 2 4" xfId="32759" xr:uid="{91D86CA8-A22A-4D80-BB8D-C81186866CD2}"/>
    <cellStyle name="Normal 9 3 3 3 2 3" xfId="20107" xr:uid="{00000000-0005-0000-0000-0000495E0000}"/>
    <cellStyle name="Normal 9 3 3 3 2 3 2" xfId="36976" xr:uid="{43582FE4-CC48-4BC1-888F-6CC48F4C846D}"/>
    <cellStyle name="Normal 9 3 3 3 2 4" xfId="11672" xr:uid="{00000000-0005-0000-0000-00004A5E0000}"/>
    <cellStyle name="Normal 9 3 3 3 2 5" xfId="28542" xr:uid="{D1405872-4DC0-4D65-9A79-154A9DA02ACD}"/>
    <cellStyle name="Normal 9 3 3 3 3" xfId="5310" xr:uid="{00000000-0005-0000-0000-00004B5E0000}"/>
    <cellStyle name="Normal 9 3 3 3 3 2" xfId="22180" xr:uid="{00000000-0005-0000-0000-00004C5E0000}"/>
    <cellStyle name="Normal 9 3 3 3 3 2 2" xfId="39048" xr:uid="{80425C00-DD06-4928-BBE3-BC4B1A71131D}"/>
    <cellStyle name="Normal 9 3 3 3 3 3" xfId="13745" xr:uid="{00000000-0005-0000-0000-00004D5E0000}"/>
    <cellStyle name="Normal 9 3 3 3 3 4" xfId="30614" xr:uid="{2A8DCCD8-CCC8-4034-976E-4A98A4A6B2FD}"/>
    <cellStyle name="Normal 9 3 3 3 4" xfId="17962" xr:uid="{00000000-0005-0000-0000-00004E5E0000}"/>
    <cellStyle name="Normal 9 3 3 3 4 2" xfId="34831" xr:uid="{C579E0A0-6288-4C67-A2F4-85F1EBB7D1ED}"/>
    <cellStyle name="Normal 9 3 3 3 5" xfId="9527" xr:uid="{00000000-0005-0000-0000-00004F5E0000}"/>
    <cellStyle name="Normal 9 3 3 3 6" xfId="26397" xr:uid="{321B027A-0D9C-447D-8DD4-9388A6047252}"/>
    <cellStyle name="Normal 9 3 3 4" xfId="1415" xr:uid="{00000000-0005-0000-0000-0000505E0000}"/>
    <cellStyle name="Normal 9 3 3 4 2" xfId="3645" xr:uid="{00000000-0005-0000-0000-0000515E0000}"/>
    <cellStyle name="Normal 9 3 3 4 2 2" xfId="7868" xr:uid="{00000000-0005-0000-0000-0000525E0000}"/>
    <cellStyle name="Normal 9 3 3 4 2 2 2" xfId="24738" xr:uid="{00000000-0005-0000-0000-0000535E0000}"/>
    <cellStyle name="Normal 9 3 3 4 2 2 2 2" xfId="41606" xr:uid="{B4AF33BF-1636-4ADC-9B31-D1EDF9193696}"/>
    <cellStyle name="Normal 9 3 3 4 2 2 3" xfId="16303" xr:uid="{00000000-0005-0000-0000-0000545E0000}"/>
    <cellStyle name="Normal 9 3 3 4 2 2 4" xfId="33172" xr:uid="{1DAC1B32-ECE9-48E9-A90E-449C7B66CAD6}"/>
    <cellStyle name="Normal 9 3 3 4 2 3" xfId="20520" xr:uid="{00000000-0005-0000-0000-0000555E0000}"/>
    <cellStyle name="Normal 9 3 3 4 2 3 2" xfId="37389" xr:uid="{A06496B6-8025-4A13-9FAD-F28AFB944D36}"/>
    <cellStyle name="Normal 9 3 3 4 2 4" xfId="12085" xr:uid="{00000000-0005-0000-0000-0000565E0000}"/>
    <cellStyle name="Normal 9 3 3 4 2 5" xfId="28955" xr:uid="{31AB7CDE-E5F5-4CC4-9EDA-47D90616E181}"/>
    <cellStyle name="Normal 9 3 3 4 3" xfId="5723" xr:uid="{00000000-0005-0000-0000-0000575E0000}"/>
    <cellStyle name="Normal 9 3 3 4 3 2" xfId="22593" xr:uid="{00000000-0005-0000-0000-0000585E0000}"/>
    <cellStyle name="Normal 9 3 3 4 3 2 2" xfId="39461" xr:uid="{A5ED2B1A-E42C-4917-85B1-F94F298555F8}"/>
    <cellStyle name="Normal 9 3 3 4 3 3" xfId="14158" xr:uid="{00000000-0005-0000-0000-0000595E0000}"/>
    <cellStyle name="Normal 9 3 3 4 3 4" xfId="31027" xr:uid="{FD45317C-B6E7-43F9-9E10-6693C75DC878}"/>
    <cellStyle name="Normal 9 3 3 4 4" xfId="18375" xr:uid="{00000000-0005-0000-0000-00005A5E0000}"/>
    <cellStyle name="Normal 9 3 3 4 4 2" xfId="35244" xr:uid="{E774C5FF-45A4-4ED1-90CC-A88081AA56E4}"/>
    <cellStyle name="Normal 9 3 3 4 5" xfId="9940" xr:uid="{00000000-0005-0000-0000-00005B5E0000}"/>
    <cellStyle name="Normal 9 3 3 4 6" xfId="26810" xr:uid="{D3F61C2F-7A3C-4892-BDF0-1E139058CE41}"/>
    <cellStyle name="Normal 9 3 3 5" xfId="1828" xr:uid="{00000000-0005-0000-0000-00005C5E0000}"/>
    <cellStyle name="Normal 9 3 3 5 2" xfId="4058" xr:uid="{00000000-0005-0000-0000-00005D5E0000}"/>
    <cellStyle name="Normal 9 3 3 5 2 2" xfId="8281" xr:uid="{00000000-0005-0000-0000-00005E5E0000}"/>
    <cellStyle name="Normal 9 3 3 5 2 2 2" xfId="25151" xr:uid="{00000000-0005-0000-0000-00005F5E0000}"/>
    <cellStyle name="Normal 9 3 3 5 2 2 2 2" xfId="42019" xr:uid="{20B6A706-A59D-4FF9-82CE-7772F63F9E08}"/>
    <cellStyle name="Normal 9 3 3 5 2 2 3" xfId="16716" xr:uid="{00000000-0005-0000-0000-0000605E0000}"/>
    <cellStyle name="Normal 9 3 3 5 2 2 4" xfId="33585" xr:uid="{E0C81E91-5A2C-460D-B357-EBB0BCCD4450}"/>
    <cellStyle name="Normal 9 3 3 5 2 3" xfId="20933" xr:uid="{00000000-0005-0000-0000-0000615E0000}"/>
    <cellStyle name="Normal 9 3 3 5 2 3 2" xfId="37802" xr:uid="{0554BA58-E102-40D7-B2F0-17FD30D24D0F}"/>
    <cellStyle name="Normal 9 3 3 5 2 4" xfId="12498" xr:uid="{00000000-0005-0000-0000-0000625E0000}"/>
    <cellStyle name="Normal 9 3 3 5 2 5" xfId="29368" xr:uid="{089C5AF2-14AE-4D26-99A2-917FE7B9062D}"/>
    <cellStyle name="Normal 9 3 3 5 3" xfId="6136" xr:uid="{00000000-0005-0000-0000-0000635E0000}"/>
    <cellStyle name="Normal 9 3 3 5 3 2" xfId="23006" xr:uid="{00000000-0005-0000-0000-0000645E0000}"/>
    <cellStyle name="Normal 9 3 3 5 3 2 2" xfId="39874" xr:uid="{218B278F-57D7-490A-A424-C0554DFB0936}"/>
    <cellStyle name="Normal 9 3 3 5 3 3" xfId="14571" xr:uid="{00000000-0005-0000-0000-0000655E0000}"/>
    <cellStyle name="Normal 9 3 3 5 3 4" xfId="31440" xr:uid="{79A66D91-338B-4EDE-A454-2EA8DF9938AD}"/>
    <cellStyle name="Normal 9 3 3 5 4" xfId="18788" xr:uid="{00000000-0005-0000-0000-0000665E0000}"/>
    <cellStyle name="Normal 9 3 3 5 4 2" xfId="35657" xr:uid="{48AC2051-6C4E-4300-AE02-48DD1AF20596}"/>
    <cellStyle name="Normal 9 3 3 5 5" xfId="10353" xr:uid="{00000000-0005-0000-0000-0000675E0000}"/>
    <cellStyle name="Normal 9 3 3 5 6" xfId="27223" xr:uid="{968F74EC-0C82-454D-95B6-76309929EF05}"/>
    <cellStyle name="Normal 9 3 3 6" xfId="2242" xr:uid="{00000000-0005-0000-0000-0000685E0000}"/>
    <cellStyle name="Normal 9 3 3 6 2" xfId="4471" xr:uid="{00000000-0005-0000-0000-0000695E0000}"/>
    <cellStyle name="Normal 9 3 3 6 2 2" xfId="8694" xr:uid="{00000000-0005-0000-0000-00006A5E0000}"/>
    <cellStyle name="Normal 9 3 3 6 2 2 2" xfId="25564" xr:uid="{00000000-0005-0000-0000-00006B5E0000}"/>
    <cellStyle name="Normal 9 3 3 6 2 2 2 2" xfId="42432" xr:uid="{803AE473-91C0-4160-AB33-6695B81C41CF}"/>
    <cellStyle name="Normal 9 3 3 6 2 2 3" xfId="17129" xr:uid="{00000000-0005-0000-0000-00006C5E0000}"/>
    <cellStyle name="Normal 9 3 3 6 2 2 4" xfId="33998" xr:uid="{A2ADB134-9AC8-4721-9172-D4573EDC839D}"/>
    <cellStyle name="Normal 9 3 3 6 2 3" xfId="21346" xr:uid="{00000000-0005-0000-0000-00006D5E0000}"/>
    <cellStyle name="Normal 9 3 3 6 2 3 2" xfId="38215" xr:uid="{14B948C5-3DA3-4730-8275-9E563FC0D467}"/>
    <cellStyle name="Normal 9 3 3 6 2 4" xfId="12911" xr:uid="{00000000-0005-0000-0000-00006E5E0000}"/>
    <cellStyle name="Normal 9 3 3 6 2 5" xfId="29781" xr:uid="{A200B170-F059-42C2-9B01-7F1FA427E0BF}"/>
    <cellStyle name="Normal 9 3 3 6 3" xfId="6549" xr:uid="{00000000-0005-0000-0000-00006F5E0000}"/>
    <cellStyle name="Normal 9 3 3 6 3 2" xfId="23419" xr:uid="{00000000-0005-0000-0000-0000705E0000}"/>
    <cellStyle name="Normal 9 3 3 6 3 2 2" xfId="40287" xr:uid="{80F74701-839B-4756-803B-475BAE46E2AF}"/>
    <cellStyle name="Normal 9 3 3 6 3 3" xfId="14984" xr:uid="{00000000-0005-0000-0000-0000715E0000}"/>
    <cellStyle name="Normal 9 3 3 6 3 4" xfId="31853" xr:uid="{D04A7489-6C0D-4546-A053-BCA7DCA8399D}"/>
    <cellStyle name="Normal 9 3 3 6 4" xfId="19201" xr:uid="{00000000-0005-0000-0000-0000725E0000}"/>
    <cellStyle name="Normal 9 3 3 6 4 2" xfId="36070" xr:uid="{604CC170-6A75-4F97-AE07-016F6E4AFEDA}"/>
    <cellStyle name="Normal 9 3 3 6 5" xfId="10766" xr:uid="{00000000-0005-0000-0000-0000735E0000}"/>
    <cellStyle name="Normal 9 3 3 6 6" xfId="27636" xr:uid="{2E4C52B1-EFC0-4D82-8161-84C1EE27DD22}"/>
    <cellStyle name="Normal 9 3 3 7" xfId="2678" xr:uid="{00000000-0005-0000-0000-0000745E0000}"/>
    <cellStyle name="Normal 9 3 3 7 2" xfId="6962" xr:uid="{00000000-0005-0000-0000-0000755E0000}"/>
    <cellStyle name="Normal 9 3 3 7 2 2" xfId="23832" xr:uid="{00000000-0005-0000-0000-0000765E0000}"/>
    <cellStyle name="Normal 9 3 3 7 2 2 2" xfId="40700" xr:uid="{E7825B98-9D09-4A8B-BDD1-DF3308A3608C}"/>
    <cellStyle name="Normal 9 3 3 7 2 3" xfId="15397" xr:uid="{00000000-0005-0000-0000-0000775E0000}"/>
    <cellStyle name="Normal 9 3 3 7 2 4" xfId="32266" xr:uid="{4D2BCEB0-4443-48D4-A4B4-5BB34DD44091}"/>
    <cellStyle name="Normal 9 3 3 7 3" xfId="19614" xr:uid="{00000000-0005-0000-0000-0000785E0000}"/>
    <cellStyle name="Normal 9 3 3 7 3 2" xfId="36483" xr:uid="{380CB7ED-154B-4981-8A27-5E5F6A064178}"/>
    <cellStyle name="Normal 9 3 3 7 4" xfId="11179" xr:uid="{00000000-0005-0000-0000-0000795E0000}"/>
    <cellStyle name="Normal 9 3 3 7 5" xfId="28049" xr:uid="{C54A5D71-1E0D-4C7F-94FE-67263D8F73D7}"/>
    <cellStyle name="Normal 9 3 3 8" xfId="4897" xr:uid="{00000000-0005-0000-0000-00007A5E0000}"/>
    <cellStyle name="Normal 9 3 3 8 2" xfId="21767" xr:uid="{00000000-0005-0000-0000-00007B5E0000}"/>
    <cellStyle name="Normal 9 3 3 8 2 2" xfId="38635" xr:uid="{026668EF-3EA5-46B0-AA3E-39079A65BEA0}"/>
    <cellStyle name="Normal 9 3 3 8 3" xfId="13332" xr:uid="{00000000-0005-0000-0000-00007C5E0000}"/>
    <cellStyle name="Normal 9 3 3 8 4" xfId="30201" xr:uid="{B253DFB1-0E0D-4D82-980A-057331F34874}"/>
    <cellStyle name="Normal 9 3 3 9" xfId="17549" xr:uid="{00000000-0005-0000-0000-00007D5E0000}"/>
    <cellStyle name="Normal 9 3 3 9 2" xfId="34418" xr:uid="{C30CD566-CEF6-46AD-B68E-6FD266318A84}"/>
    <cellStyle name="Normal 9 3 4" xfId="534" xr:uid="{00000000-0005-0000-0000-00007E5E0000}"/>
    <cellStyle name="Normal 9 3 4 10" xfId="25986" xr:uid="{7A24261A-5227-4329-BE48-D66B80F860F3}"/>
    <cellStyle name="Normal 9 3 4 2" xfId="1001" xr:uid="{00000000-0005-0000-0000-00007F5E0000}"/>
    <cellStyle name="Normal 9 3 4 2 2" xfId="3234" xr:uid="{00000000-0005-0000-0000-0000805E0000}"/>
    <cellStyle name="Normal 9 3 4 2 2 2" xfId="7457" xr:uid="{00000000-0005-0000-0000-0000815E0000}"/>
    <cellStyle name="Normal 9 3 4 2 2 2 2" xfId="24327" xr:uid="{00000000-0005-0000-0000-0000825E0000}"/>
    <cellStyle name="Normal 9 3 4 2 2 2 2 2" xfId="41195" xr:uid="{4940B0B9-F0A1-4719-B757-DAFE410F8B96}"/>
    <cellStyle name="Normal 9 3 4 2 2 2 3" xfId="15892" xr:uid="{00000000-0005-0000-0000-0000835E0000}"/>
    <cellStyle name="Normal 9 3 4 2 2 2 4" xfId="32761" xr:uid="{E36597EF-4B6C-425C-8E19-FDF7B95857E9}"/>
    <cellStyle name="Normal 9 3 4 2 2 3" xfId="20109" xr:uid="{00000000-0005-0000-0000-0000845E0000}"/>
    <cellStyle name="Normal 9 3 4 2 2 3 2" xfId="36978" xr:uid="{8D2C9DE6-46AC-4232-99A8-B2645011D882}"/>
    <cellStyle name="Normal 9 3 4 2 2 4" xfId="11674" xr:uid="{00000000-0005-0000-0000-0000855E0000}"/>
    <cellStyle name="Normal 9 3 4 2 2 5" xfId="28544" xr:uid="{904A2194-EB44-43EB-9864-6C3E456A487A}"/>
    <cellStyle name="Normal 9 3 4 2 3" xfId="5312" xr:uid="{00000000-0005-0000-0000-0000865E0000}"/>
    <cellStyle name="Normal 9 3 4 2 3 2" xfId="22182" xr:uid="{00000000-0005-0000-0000-0000875E0000}"/>
    <cellStyle name="Normal 9 3 4 2 3 2 2" xfId="39050" xr:uid="{EE33B597-32FD-4078-BF7B-DD82D12A7EF4}"/>
    <cellStyle name="Normal 9 3 4 2 3 3" xfId="13747" xr:uid="{00000000-0005-0000-0000-0000885E0000}"/>
    <cellStyle name="Normal 9 3 4 2 3 4" xfId="30616" xr:uid="{A0A10DC3-577D-4EFA-B1CF-EC76CA470D7D}"/>
    <cellStyle name="Normal 9 3 4 2 4" xfId="17964" xr:uid="{00000000-0005-0000-0000-0000895E0000}"/>
    <cellStyle name="Normal 9 3 4 2 4 2" xfId="34833" xr:uid="{28B59619-AB86-4DD0-9F60-96DE3AFF7E47}"/>
    <cellStyle name="Normal 9 3 4 2 5" xfId="9529" xr:uid="{00000000-0005-0000-0000-00008A5E0000}"/>
    <cellStyle name="Normal 9 3 4 2 6" xfId="26399" xr:uid="{E69F5B30-23CD-4168-AA86-A66EF9EFA660}"/>
    <cellStyle name="Normal 9 3 4 3" xfId="1417" xr:uid="{00000000-0005-0000-0000-00008B5E0000}"/>
    <cellStyle name="Normal 9 3 4 3 2" xfId="3647" xr:uid="{00000000-0005-0000-0000-00008C5E0000}"/>
    <cellStyle name="Normal 9 3 4 3 2 2" xfId="7870" xr:uid="{00000000-0005-0000-0000-00008D5E0000}"/>
    <cellStyle name="Normal 9 3 4 3 2 2 2" xfId="24740" xr:uid="{00000000-0005-0000-0000-00008E5E0000}"/>
    <cellStyle name="Normal 9 3 4 3 2 2 2 2" xfId="41608" xr:uid="{E3E989D2-0971-4BB0-8E77-CB59781B3B9E}"/>
    <cellStyle name="Normal 9 3 4 3 2 2 3" xfId="16305" xr:uid="{00000000-0005-0000-0000-00008F5E0000}"/>
    <cellStyle name="Normal 9 3 4 3 2 2 4" xfId="33174" xr:uid="{6905082F-FB9A-4624-813B-FAF47D71D1A2}"/>
    <cellStyle name="Normal 9 3 4 3 2 3" xfId="20522" xr:uid="{00000000-0005-0000-0000-0000905E0000}"/>
    <cellStyle name="Normal 9 3 4 3 2 3 2" xfId="37391" xr:uid="{614F9D77-7001-429F-A477-09B72A7E5680}"/>
    <cellStyle name="Normal 9 3 4 3 2 4" xfId="12087" xr:uid="{00000000-0005-0000-0000-0000915E0000}"/>
    <cellStyle name="Normal 9 3 4 3 2 5" xfId="28957" xr:uid="{95AF6C50-7181-4411-8C21-E00A1D0E30AE}"/>
    <cellStyle name="Normal 9 3 4 3 3" xfId="5725" xr:uid="{00000000-0005-0000-0000-0000925E0000}"/>
    <cellStyle name="Normal 9 3 4 3 3 2" xfId="22595" xr:uid="{00000000-0005-0000-0000-0000935E0000}"/>
    <cellStyle name="Normal 9 3 4 3 3 2 2" xfId="39463" xr:uid="{AC50E681-7BF3-4024-A7E1-A8BB079F5A97}"/>
    <cellStyle name="Normal 9 3 4 3 3 3" xfId="14160" xr:uid="{00000000-0005-0000-0000-0000945E0000}"/>
    <cellStyle name="Normal 9 3 4 3 3 4" xfId="31029" xr:uid="{5348F5FD-DFCD-47B9-BC2E-E276958C93D2}"/>
    <cellStyle name="Normal 9 3 4 3 4" xfId="18377" xr:uid="{00000000-0005-0000-0000-0000955E0000}"/>
    <cellStyle name="Normal 9 3 4 3 4 2" xfId="35246" xr:uid="{E881AA64-24CE-4B37-BD51-54048DEF180C}"/>
    <cellStyle name="Normal 9 3 4 3 5" xfId="9942" xr:uid="{00000000-0005-0000-0000-0000965E0000}"/>
    <cellStyle name="Normal 9 3 4 3 6" xfId="26812" xr:uid="{DB559D38-4DD1-4A18-8F2E-2E1A8360EDAA}"/>
    <cellStyle name="Normal 9 3 4 4" xfId="1830" xr:uid="{00000000-0005-0000-0000-0000975E0000}"/>
    <cellStyle name="Normal 9 3 4 4 2" xfId="4060" xr:uid="{00000000-0005-0000-0000-0000985E0000}"/>
    <cellStyle name="Normal 9 3 4 4 2 2" xfId="8283" xr:uid="{00000000-0005-0000-0000-0000995E0000}"/>
    <cellStyle name="Normal 9 3 4 4 2 2 2" xfId="25153" xr:uid="{00000000-0005-0000-0000-00009A5E0000}"/>
    <cellStyle name="Normal 9 3 4 4 2 2 2 2" xfId="42021" xr:uid="{03B78821-D984-4973-A666-A4CF776CF865}"/>
    <cellStyle name="Normal 9 3 4 4 2 2 3" xfId="16718" xr:uid="{00000000-0005-0000-0000-00009B5E0000}"/>
    <cellStyle name="Normal 9 3 4 4 2 2 4" xfId="33587" xr:uid="{E5457EB9-F694-4342-B5D0-5F5997DE0D15}"/>
    <cellStyle name="Normal 9 3 4 4 2 3" xfId="20935" xr:uid="{00000000-0005-0000-0000-00009C5E0000}"/>
    <cellStyle name="Normal 9 3 4 4 2 3 2" xfId="37804" xr:uid="{2D1BE602-F0C5-4AA9-A116-A56966D6D575}"/>
    <cellStyle name="Normal 9 3 4 4 2 4" xfId="12500" xr:uid="{00000000-0005-0000-0000-00009D5E0000}"/>
    <cellStyle name="Normal 9 3 4 4 2 5" xfId="29370" xr:uid="{0185A537-973F-4308-8AD4-54B2B06EB86F}"/>
    <cellStyle name="Normal 9 3 4 4 3" xfId="6138" xr:uid="{00000000-0005-0000-0000-00009E5E0000}"/>
    <cellStyle name="Normal 9 3 4 4 3 2" xfId="23008" xr:uid="{00000000-0005-0000-0000-00009F5E0000}"/>
    <cellStyle name="Normal 9 3 4 4 3 2 2" xfId="39876" xr:uid="{E575789A-1C06-4A6F-8853-E958881C8E4C}"/>
    <cellStyle name="Normal 9 3 4 4 3 3" xfId="14573" xr:uid="{00000000-0005-0000-0000-0000A05E0000}"/>
    <cellStyle name="Normal 9 3 4 4 3 4" xfId="31442" xr:uid="{7FA345EA-9CFB-4BC0-8603-BCB85BDE82A2}"/>
    <cellStyle name="Normal 9 3 4 4 4" xfId="18790" xr:uid="{00000000-0005-0000-0000-0000A15E0000}"/>
    <cellStyle name="Normal 9 3 4 4 4 2" xfId="35659" xr:uid="{53B348D4-0608-4F60-8E7C-03F947674A41}"/>
    <cellStyle name="Normal 9 3 4 4 5" xfId="10355" xr:uid="{00000000-0005-0000-0000-0000A25E0000}"/>
    <cellStyle name="Normal 9 3 4 4 6" xfId="27225" xr:uid="{D7CD7DA8-B501-434B-BAB0-1620EE0ECB5B}"/>
    <cellStyle name="Normal 9 3 4 5" xfId="2244" xr:uid="{00000000-0005-0000-0000-0000A35E0000}"/>
    <cellStyle name="Normal 9 3 4 5 2" xfId="4473" xr:uid="{00000000-0005-0000-0000-0000A45E0000}"/>
    <cellStyle name="Normal 9 3 4 5 2 2" xfId="8696" xr:uid="{00000000-0005-0000-0000-0000A55E0000}"/>
    <cellStyle name="Normal 9 3 4 5 2 2 2" xfId="25566" xr:uid="{00000000-0005-0000-0000-0000A65E0000}"/>
    <cellStyle name="Normal 9 3 4 5 2 2 2 2" xfId="42434" xr:uid="{31626B4F-73F7-462C-BF99-E53F1F764B1F}"/>
    <cellStyle name="Normal 9 3 4 5 2 2 3" xfId="17131" xr:uid="{00000000-0005-0000-0000-0000A75E0000}"/>
    <cellStyle name="Normal 9 3 4 5 2 2 4" xfId="34000" xr:uid="{6E4A01B1-3C0E-4A98-907D-77853D1D13AF}"/>
    <cellStyle name="Normal 9 3 4 5 2 3" xfId="21348" xr:uid="{00000000-0005-0000-0000-0000A85E0000}"/>
    <cellStyle name="Normal 9 3 4 5 2 3 2" xfId="38217" xr:uid="{A6FC900C-8B70-49FD-9F6C-E3E989C7C7C0}"/>
    <cellStyle name="Normal 9 3 4 5 2 4" xfId="12913" xr:uid="{00000000-0005-0000-0000-0000A95E0000}"/>
    <cellStyle name="Normal 9 3 4 5 2 5" xfId="29783" xr:uid="{A17356C8-D9BA-47CD-88A1-F40F5957DE5F}"/>
    <cellStyle name="Normal 9 3 4 5 3" xfId="6551" xr:uid="{00000000-0005-0000-0000-0000AA5E0000}"/>
    <cellStyle name="Normal 9 3 4 5 3 2" xfId="23421" xr:uid="{00000000-0005-0000-0000-0000AB5E0000}"/>
    <cellStyle name="Normal 9 3 4 5 3 2 2" xfId="40289" xr:uid="{F8419FBC-C1AE-47CE-B368-D046741B8810}"/>
    <cellStyle name="Normal 9 3 4 5 3 3" xfId="14986" xr:uid="{00000000-0005-0000-0000-0000AC5E0000}"/>
    <cellStyle name="Normal 9 3 4 5 3 4" xfId="31855" xr:uid="{7CE0901C-918A-451B-AAD5-48C9F697D311}"/>
    <cellStyle name="Normal 9 3 4 5 4" xfId="19203" xr:uid="{00000000-0005-0000-0000-0000AD5E0000}"/>
    <cellStyle name="Normal 9 3 4 5 4 2" xfId="36072" xr:uid="{0C9D4D93-B254-4A51-B224-8FF0CE47FE27}"/>
    <cellStyle name="Normal 9 3 4 5 5" xfId="10768" xr:uid="{00000000-0005-0000-0000-0000AE5E0000}"/>
    <cellStyle name="Normal 9 3 4 5 6" xfId="27638" xr:uid="{1F5B4AAE-3B77-43AF-8A50-27F3AB84490A}"/>
    <cellStyle name="Normal 9 3 4 6" xfId="2680" xr:uid="{00000000-0005-0000-0000-0000AF5E0000}"/>
    <cellStyle name="Normal 9 3 4 6 2" xfId="6964" xr:uid="{00000000-0005-0000-0000-0000B05E0000}"/>
    <cellStyle name="Normal 9 3 4 6 2 2" xfId="23834" xr:uid="{00000000-0005-0000-0000-0000B15E0000}"/>
    <cellStyle name="Normal 9 3 4 6 2 2 2" xfId="40702" xr:uid="{C4E94588-C4BD-462C-87EC-2DB169794895}"/>
    <cellStyle name="Normal 9 3 4 6 2 3" xfId="15399" xr:uid="{00000000-0005-0000-0000-0000B25E0000}"/>
    <cellStyle name="Normal 9 3 4 6 2 4" xfId="32268" xr:uid="{D2C5072D-989F-44AA-BA4A-7FF42C004DC9}"/>
    <cellStyle name="Normal 9 3 4 6 3" xfId="19616" xr:uid="{00000000-0005-0000-0000-0000B35E0000}"/>
    <cellStyle name="Normal 9 3 4 6 3 2" xfId="36485" xr:uid="{B9CD77C8-A03D-40B8-A8F9-D5EF2D848A45}"/>
    <cellStyle name="Normal 9 3 4 6 4" xfId="11181" xr:uid="{00000000-0005-0000-0000-0000B45E0000}"/>
    <cellStyle name="Normal 9 3 4 6 5" xfId="28051" xr:uid="{671A5B1E-0DF6-4A8D-94FC-9E9A71659E5C}"/>
    <cellStyle name="Normal 9 3 4 7" xfId="4899" xr:uid="{00000000-0005-0000-0000-0000B55E0000}"/>
    <cellStyle name="Normal 9 3 4 7 2" xfId="21769" xr:uid="{00000000-0005-0000-0000-0000B65E0000}"/>
    <cellStyle name="Normal 9 3 4 7 2 2" xfId="38637" xr:uid="{BCB22F22-F129-4BB0-BE05-DAE61EBFDA44}"/>
    <cellStyle name="Normal 9 3 4 7 3" xfId="13334" xr:uid="{00000000-0005-0000-0000-0000B75E0000}"/>
    <cellStyle name="Normal 9 3 4 7 4" xfId="30203" xr:uid="{CEFA3F58-E141-46B5-BD37-D55A2571D1EF}"/>
    <cellStyle name="Normal 9 3 4 8" xfId="17551" xr:uid="{00000000-0005-0000-0000-0000B85E0000}"/>
    <cellStyle name="Normal 9 3 4 8 2" xfId="34420" xr:uid="{02822BB1-EB68-46FF-8058-48746E5DDEF0}"/>
    <cellStyle name="Normal 9 3 4 9" xfId="9116" xr:uid="{00000000-0005-0000-0000-0000B95E0000}"/>
    <cellStyle name="Normal 9 3 5" xfId="994" xr:uid="{00000000-0005-0000-0000-0000BA5E0000}"/>
    <cellStyle name="Normal 9 3 5 2" xfId="3227" xr:uid="{00000000-0005-0000-0000-0000BB5E0000}"/>
    <cellStyle name="Normal 9 3 5 2 2" xfId="7450" xr:uid="{00000000-0005-0000-0000-0000BC5E0000}"/>
    <cellStyle name="Normal 9 3 5 2 2 2" xfId="24320" xr:uid="{00000000-0005-0000-0000-0000BD5E0000}"/>
    <cellStyle name="Normal 9 3 5 2 2 2 2" xfId="41188" xr:uid="{7FA815BA-E9CD-4F56-8505-ED804778D559}"/>
    <cellStyle name="Normal 9 3 5 2 2 3" xfId="15885" xr:uid="{00000000-0005-0000-0000-0000BE5E0000}"/>
    <cellStyle name="Normal 9 3 5 2 2 4" xfId="32754" xr:uid="{C8475583-8174-4BDA-95C6-37CD43F3E2DB}"/>
    <cellStyle name="Normal 9 3 5 2 3" xfId="20102" xr:uid="{00000000-0005-0000-0000-0000BF5E0000}"/>
    <cellStyle name="Normal 9 3 5 2 3 2" xfId="36971" xr:uid="{6CC52279-D852-41E3-A21D-068B4EFA5023}"/>
    <cellStyle name="Normal 9 3 5 2 4" xfId="11667" xr:uid="{00000000-0005-0000-0000-0000C05E0000}"/>
    <cellStyle name="Normal 9 3 5 2 5" xfId="28537" xr:uid="{025C5890-8892-4C32-935B-B4811F80C9F2}"/>
    <cellStyle name="Normal 9 3 5 3" xfId="5305" xr:uid="{00000000-0005-0000-0000-0000C15E0000}"/>
    <cellStyle name="Normal 9 3 5 3 2" xfId="22175" xr:uid="{00000000-0005-0000-0000-0000C25E0000}"/>
    <cellStyle name="Normal 9 3 5 3 2 2" xfId="39043" xr:uid="{20B21FCB-6544-453D-AE44-3D99CBEE2B42}"/>
    <cellStyle name="Normal 9 3 5 3 3" xfId="13740" xr:uid="{00000000-0005-0000-0000-0000C35E0000}"/>
    <cellStyle name="Normal 9 3 5 3 4" xfId="30609" xr:uid="{F1F97E97-F312-4C50-9232-241E0BAC7F41}"/>
    <cellStyle name="Normal 9 3 5 4" xfId="17957" xr:uid="{00000000-0005-0000-0000-0000C45E0000}"/>
    <cellStyle name="Normal 9 3 5 4 2" xfId="34826" xr:uid="{EA657A2E-33AB-47FA-98CE-7613252CBC72}"/>
    <cellStyle name="Normal 9 3 5 5" xfId="9522" xr:uid="{00000000-0005-0000-0000-0000C55E0000}"/>
    <cellStyle name="Normal 9 3 5 6" xfId="26392" xr:uid="{206EB0C3-4A37-4AA7-BFB3-5FC45DD88202}"/>
    <cellStyle name="Normal 9 3 6" xfId="1410" xr:uid="{00000000-0005-0000-0000-0000C65E0000}"/>
    <cellStyle name="Normal 9 3 6 2" xfId="3640" xr:uid="{00000000-0005-0000-0000-0000C75E0000}"/>
    <cellStyle name="Normal 9 3 6 2 2" xfId="7863" xr:uid="{00000000-0005-0000-0000-0000C85E0000}"/>
    <cellStyle name="Normal 9 3 6 2 2 2" xfId="24733" xr:uid="{00000000-0005-0000-0000-0000C95E0000}"/>
    <cellStyle name="Normal 9 3 6 2 2 2 2" xfId="41601" xr:uid="{842FC179-0267-4E39-8A82-EBB5427A075F}"/>
    <cellStyle name="Normal 9 3 6 2 2 3" xfId="16298" xr:uid="{00000000-0005-0000-0000-0000CA5E0000}"/>
    <cellStyle name="Normal 9 3 6 2 2 4" xfId="33167" xr:uid="{9CA4AF07-7DD5-4F47-AC04-C7967924874B}"/>
    <cellStyle name="Normal 9 3 6 2 3" xfId="20515" xr:uid="{00000000-0005-0000-0000-0000CB5E0000}"/>
    <cellStyle name="Normal 9 3 6 2 3 2" xfId="37384" xr:uid="{45F3E154-BA2F-41C8-A461-E8645E7D131E}"/>
    <cellStyle name="Normal 9 3 6 2 4" xfId="12080" xr:uid="{00000000-0005-0000-0000-0000CC5E0000}"/>
    <cellStyle name="Normal 9 3 6 2 5" xfId="28950" xr:uid="{93EA063F-E836-4014-AC29-303362E7D277}"/>
    <cellStyle name="Normal 9 3 6 3" xfId="5718" xr:uid="{00000000-0005-0000-0000-0000CD5E0000}"/>
    <cellStyle name="Normal 9 3 6 3 2" xfId="22588" xr:uid="{00000000-0005-0000-0000-0000CE5E0000}"/>
    <cellStyle name="Normal 9 3 6 3 2 2" xfId="39456" xr:uid="{DA825E60-5867-4620-A0EC-C42ACFCEEBCB}"/>
    <cellStyle name="Normal 9 3 6 3 3" xfId="14153" xr:uid="{00000000-0005-0000-0000-0000CF5E0000}"/>
    <cellStyle name="Normal 9 3 6 3 4" xfId="31022" xr:uid="{18D32059-95CA-4C6A-80E3-069DE43663F7}"/>
    <cellStyle name="Normal 9 3 6 4" xfId="18370" xr:uid="{00000000-0005-0000-0000-0000D05E0000}"/>
    <cellStyle name="Normal 9 3 6 4 2" xfId="35239" xr:uid="{39275C89-2978-4E16-B6CB-D79E1253BD7D}"/>
    <cellStyle name="Normal 9 3 6 5" xfId="9935" xr:uid="{00000000-0005-0000-0000-0000D15E0000}"/>
    <cellStyle name="Normal 9 3 6 6" xfId="26805" xr:uid="{CB724C4F-CBD4-417D-9374-1C83A27B314D}"/>
    <cellStyle name="Normal 9 3 7" xfId="1823" xr:uid="{00000000-0005-0000-0000-0000D25E0000}"/>
    <cellStyle name="Normal 9 3 7 2" xfId="4053" xr:uid="{00000000-0005-0000-0000-0000D35E0000}"/>
    <cellStyle name="Normal 9 3 7 2 2" xfId="8276" xr:uid="{00000000-0005-0000-0000-0000D45E0000}"/>
    <cellStyle name="Normal 9 3 7 2 2 2" xfId="25146" xr:uid="{00000000-0005-0000-0000-0000D55E0000}"/>
    <cellStyle name="Normal 9 3 7 2 2 2 2" xfId="42014" xr:uid="{6D67782D-48FF-46AC-A656-F682D439A6E8}"/>
    <cellStyle name="Normal 9 3 7 2 2 3" xfId="16711" xr:uid="{00000000-0005-0000-0000-0000D65E0000}"/>
    <cellStyle name="Normal 9 3 7 2 2 4" xfId="33580" xr:uid="{C240EF42-A519-481D-9A7D-E452C04155FE}"/>
    <cellStyle name="Normal 9 3 7 2 3" xfId="20928" xr:uid="{00000000-0005-0000-0000-0000D75E0000}"/>
    <cellStyle name="Normal 9 3 7 2 3 2" xfId="37797" xr:uid="{BD395D02-9203-469D-AA26-81A4E04DB6B6}"/>
    <cellStyle name="Normal 9 3 7 2 4" xfId="12493" xr:uid="{00000000-0005-0000-0000-0000D85E0000}"/>
    <cellStyle name="Normal 9 3 7 2 5" xfId="29363" xr:uid="{8250902F-EF9C-4BA4-B568-3811A8B5B005}"/>
    <cellStyle name="Normal 9 3 7 3" xfId="6131" xr:uid="{00000000-0005-0000-0000-0000D95E0000}"/>
    <cellStyle name="Normal 9 3 7 3 2" xfId="23001" xr:uid="{00000000-0005-0000-0000-0000DA5E0000}"/>
    <cellStyle name="Normal 9 3 7 3 2 2" xfId="39869" xr:uid="{B377DAF0-AF05-421B-8906-3DC4DCADAEDF}"/>
    <cellStyle name="Normal 9 3 7 3 3" xfId="14566" xr:uid="{00000000-0005-0000-0000-0000DB5E0000}"/>
    <cellStyle name="Normal 9 3 7 3 4" xfId="31435" xr:uid="{AA76696D-8E00-45C7-B5F7-854C21352845}"/>
    <cellStyle name="Normal 9 3 7 4" xfId="18783" xr:uid="{00000000-0005-0000-0000-0000DC5E0000}"/>
    <cellStyle name="Normal 9 3 7 4 2" xfId="35652" xr:uid="{26438FD6-37F2-4C78-B3C6-92281910EA7B}"/>
    <cellStyle name="Normal 9 3 7 5" xfId="10348" xr:uid="{00000000-0005-0000-0000-0000DD5E0000}"/>
    <cellStyle name="Normal 9 3 7 6" xfId="27218" xr:uid="{984AE3E7-E8BB-497B-B425-1AB70CDE6B00}"/>
    <cellStyle name="Normal 9 3 8" xfId="2237" xr:uid="{00000000-0005-0000-0000-0000DE5E0000}"/>
    <cellStyle name="Normal 9 3 8 2" xfId="4466" xr:uid="{00000000-0005-0000-0000-0000DF5E0000}"/>
    <cellStyle name="Normal 9 3 8 2 2" xfId="8689" xr:uid="{00000000-0005-0000-0000-0000E05E0000}"/>
    <cellStyle name="Normal 9 3 8 2 2 2" xfId="25559" xr:uid="{00000000-0005-0000-0000-0000E15E0000}"/>
    <cellStyle name="Normal 9 3 8 2 2 2 2" xfId="42427" xr:uid="{DDBFBE35-6D97-4DB6-8A14-31C1D8F4BA1E}"/>
    <cellStyle name="Normal 9 3 8 2 2 3" xfId="17124" xr:uid="{00000000-0005-0000-0000-0000E25E0000}"/>
    <cellStyle name="Normal 9 3 8 2 2 4" xfId="33993" xr:uid="{10697588-C0EF-486C-AD96-DEC527D068F6}"/>
    <cellStyle name="Normal 9 3 8 2 3" xfId="21341" xr:uid="{00000000-0005-0000-0000-0000E35E0000}"/>
    <cellStyle name="Normal 9 3 8 2 3 2" xfId="38210" xr:uid="{7254D523-7A69-4386-A34B-B7DC9FCE816E}"/>
    <cellStyle name="Normal 9 3 8 2 4" xfId="12906" xr:uid="{00000000-0005-0000-0000-0000E45E0000}"/>
    <cellStyle name="Normal 9 3 8 2 5" xfId="29776" xr:uid="{2CF51F76-640A-4AFA-980E-7DDE735E064C}"/>
    <cellStyle name="Normal 9 3 8 3" xfId="6544" xr:uid="{00000000-0005-0000-0000-0000E55E0000}"/>
    <cellStyle name="Normal 9 3 8 3 2" xfId="23414" xr:uid="{00000000-0005-0000-0000-0000E65E0000}"/>
    <cellStyle name="Normal 9 3 8 3 2 2" xfId="40282" xr:uid="{95FF8C03-6398-48E3-BA61-30937378659F}"/>
    <cellStyle name="Normal 9 3 8 3 3" xfId="14979" xr:uid="{00000000-0005-0000-0000-0000E75E0000}"/>
    <cellStyle name="Normal 9 3 8 3 4" xfId="31848" xr:uid="{BA8CCDF9-368D-4012-82C1-3A63B55E0BC3}"/>
    <cellStyle name="Normal 9 3 8 4" xfId="19196" xr:uid="{00000000-0005-0000-0000-0000E85E0000}"/>
    <cellStyle name="Normal 9 3 8 4 2" xfId="36065" xr:uid="{9644A4D2-FAAC-420E-89DC-F376094B99AC}"/>
    <cellStyle name="Normal 9 3 8 5" xfId="10761" xr:uid="{00000000-0005-0000-0000-0000E95E0000}"/>
    <cellStyle name="Normal 9 3 8 6" xfId="27631" xr:uid="{A27C08D8-ED4D-40AE-A28A-8D5EEBE14C46}"/>
    <cellStyle name="Normal 9 3 9" xfId="2673" xr:uid="{00000000-0005-0000-0000-0000EA5E0000}"/>
    <cellStyle name="Normal 9 3 9 2" xfId="6957" xr:uid="{00000000-0005-0000-0000-0000EB5E0000}"/>
    <cellStyle name="Normal 9 3 9 2 2" xfId="23827" xr:uid="{00000000-0005-0000-0000-0000EC5E0000}"/>
    <cellStyle name="Normal 9 3 9 2 2 2" xfId="40695" xr:uid="{3D5D6B5C-DD63-4533-BF90-4F7DC4F69631}"/>
    <cellStyle name="Normal 9 3 9 2 3" xfId="15392" xr:uid="{00000000-0005-0000-0000-0000ED5E0000}"/>
    <cellStyle name="Normal 9 3 9 2 4" xfId="32261" xr:uid="{B6571D73-ABA8-487C-878B-EEC47C7D51C4}"/>
    <cellStyle name="Normal 9 3 9 3" xfId="19609" xr:uid="{00000000-0005-0000-0000-0000EE5E0000}"/>
    <cellStyle name="Normal 9 3 9 3 2" xfId="36478" xr:uid="{76D806D6-CA9C-4184-9EA6-3A090395A12C}"/>
    <cellStyle name="Normal 9 3 9 4" xfId="11174" xr:uid="{00000000-0005-0000-0000-0000EF5E0000}"/>
    <cellStyle name="Normal 9 3 9 5" xfId="28044" xr:uid="{54A735D8-AE45-404B-8771-55AD049512D7}"/>
    <cellStyle name="Normal 9 4" xfId="535" xr:uid="{00000000-0005-0000-0000-0000F05E0000}"/>
    <cellStyle name="Normal 9 4 2" xfId="1002" xr:uid="{00000000-0005-0000-0000-0000F15E0000}"/>
    <cellStyle name="Normal 9 5" xfId="536" xr:uid="{00000000-0005-0000-0000-0000F25E0000}"/>
    <cellStyle name="Normal 9 5 10" xfId="9117" xr:uid="{00000000-0005-0000-0000-0000F35E0000}"/>
    <cellStyle name="Normal 9 5 11" xfId="25987" xr:uid="{1E52462B-8559-4A12-A136-B407417E4503}"/>
    <cellStyle name="Normal 9 5 2" xfId="537" xr:uid="{00000000-0005-0000-0000-0000F45E0000}"/>
    <cellStyle name="Normal 9 5 2 10" xfId="25988" xr:uid="{90218326-5EA9-4A13-ABB7-60C76279B2AB}"/>
    <cellStyle name="Normal 9 5 2 2" xfId="1004" xr:uid="{00000000-0005-0000-0000-0000F55E0000}"/>
    <cellStyle name="Normal 9 5 2 2 2" xfId="3236" xr:uid="{00000000-0005-0000-0000-0000F65E0000}"/>
    <cellStyle name="Normal 9 5 2 2 2 2" xfId="7459" xr:uid="{00000000-0005-0000-0000-0000F75E0000}"/>
    <cellStyle name="Normal 9 5 2 2 2 2 2" xfId="24329" xr:uid="{00000000-0005-0000-0000-0000F85E0000}"/>
    <cellStyle name="Normal 9 5 2 2 2 2 2 2" xfId="41197" xr:uid="{F404C1AB-D117-4839-8B8E-DF29BC1A5D0F}"/>
    <cellStyle name="Normal 9 5 2 2 2 2 3" xfId="15894" xr:uid="{00000000-0005-0000-0000-0000F95E0000}"/>
    <cellStyle name="Normal 9 5 2 2 2 2 4" xfId="32763" xr:uid="{EBEFCD61-BF1E-431C-8DC7-F8CE4DD9F80E}"/>
    <cellStyle name="Normal 9 5 2 2 2 3" xfId="20111" xr:uid="{00000000-0005-0000-0000-0000FA5E0000}"/>
    <cellStyle name="Normal 9 5 2 2 2 3 2" xfId="36980" xr:uid="{34C9F011-F14C-4BB7-A39B-397E4F6188A5}"/>
    <cellStyle name="Normal 9 5 2 2 2 4" xfId="11676" xr:uid="{00000000-0005-0000-0000-0000FB5E0000}"/>
    <cellStyle name="Normal 9 5 2 2 2 5" xfId="28546" xr:uid="{F6FCA274-AC9A-4C47-B39E-F02B8FB78D52}"/>
    <cellStyle name="Normal 9 5 2 2 3" xfId="5314" xr:uid="{00000000-0005-0000-0000-0000FC5E0000}"/>
    <cellStyle name="Normal 9 5 2 2 3 2" xfId="22184" xr:uid="{00000000-0005-0000-0000-0000FD5E0000}"/>
    <cellStyle name="Normal 9 5 2 2 3 2 2" xfId="39052" xr:uid="{7C9C4198-D61A-4A70-AC8A-1CCCE242E04F}"/>
    <cellStyle name="Normal 9 5 2 2 3 3" xfId="13749" xr:uid="{00000000-0005-0000-0000-0000FE5E0000}"/>
    <cellStyle name="Normal 9 5 2 2 3 4" xfId="30618" xr:uid="{20752FBA-1CD5-42A9-827A-49148F1E74AD}"/>
    <cellStyle name="Normal 9 5 2 2 4" xfId="17966" xr:uid="{00000000-0005-0000-0000-0000FF5E0000}"/>
    <cellStyle name="Normal 9 5 2 2 4 2" xfId="34835" xr:uid="{9661AF15-9837-420D-9EC0-0CB1255BF0E6}"/>
    <cellStyle name="Normal 9 5 2 2 5" xfId="9531" xr:uid="{00000000-0005-0000-0000-0000005F0000}"/>
    <cellStyle name="Normal 9 5 2 2 6" xfId="26401" xr:uid="{7E99325D-3732-4428-A60D-7819BBDC238C}"/>
    <cellStyle name="Normal 9 5 2 3" xfId="1419" xr:uid="{00000000-0005-0000-0000-0000015F0000}"/>
    <cellStyle name="Normal 9 5 2 3 2" xfId="3649" xr:uid="{00000000-0005-0000-0000-0000025F0000}"/>
    <cellStyle name="Normal 9 5 2 3 2 2" xfId="7872" xr:uid="{00000000-0005-0000-0000-0000035F0000}"/>
    <cellStyle name="Normal 9 5 2 3 2 2 2" xfId="24742" xr:uid="{00000000-0005-0000-0000-0000045F0000}"/>
    <cellStyle name="Normal 9 5 2 3 2 2 2 2" xfId="41610" xr:uid="{7FF27824-1018-4CAD-AE9D-8DAE6DEC7395}"/>
    <cellStyle name="Normal 9 5 2 3 2 2 3" xfId="16307" xr:uid="{00000000-0005-0000-0000-0000055F0000}"/>
    <cellStyle name="Normal 9 5 2 3 2 2 4" xfId="33176" xr:uid="{FED38361-CDFF-4EC5-B285-2332F6814F29}"/>
    <cellStyle name="Normal 9 5 2 3 2 3" xfId="20524" xr:uid="{00000000-0005-0000-0000-0000065F0000}"/>
    <cellStyle name="Normal 9 5 2 3 2 3 2" xfId="37393" xr:uid="{36B6E056-342F-4543-A608-810ED2C09F0D}"/>
    <cellStyle name="Normal 9 5 2 3 2 4" xfId="12089" xr:uid="{00000000-0005-0000-0000-0000075F0000}"/>
    <cellStyle name="Normal 9 5 2 3 2 5" xfId="28959" xr:uid="{5CBD8095-7DBF-4532-8455-0ACB78CF1E34}"/>
    <cellStyle name="Normal 9 5 2 3 3" xfId="5727" xr:uid="{00000000-0005-0000-0000-0000085F0000}"/>
    <cellStyle name="Normal 9 5 2 3 3 2" xfId="22597" xr:uid="{00000000-0005-0000-0000-0000095F0000}"/>
    <cellStyle name="Normal 9 5 2 3 3 2 2" xfId="39465" xr:uid="{EED9B6A1-B37D-455B-B9C1-215DDB0725F3}"/>
    <cellStyle name="Normal 9 5 2 3 3 3" xfId="14162" xr:uid="{00000000-0005-0000-0000-00000A5F0000}"/>
    <cellStyle name="Normal 9 5 2 3 3 4" xfId="31031" xr:uid="{D6444F77-D30B-47DF-808E-44547368481C}"/>
    <cellStyle name="Normal 9 5 2 3 4" xfId="18379" xr:uid="{00000000-0005-0000-0000-00000B5F0000}"/>
    <cellStyle name="Normal 9 5 2 3 4 2" xfId="35248" xr:uid="{50706804-063A-4F28-9DB3-FDF556CDE158}"/>
    <cellStyle name="Normal 9 5 2 3 5" xfId="9944" xr:uid="{00000000-0005-0000-0000-00000C5F0000}"/>
    <cellStyle name="Normal 9 5 2 3 6" xfId="26814" xr:uid="{7B9DAFB7-FB87-49A5-898E-4EE28A49353C}"/>
    <cellStyle name="Normal 9 5 2 4" xfId="1832" xr:uid="{00000000-0005-0000-0000-00000D5F0000}"/>
    <cellStyle name="Normal 9 5 2 4 2" xfId="4062" xr:uid="{00000000-0005-0000-0000-00000E5F0000}"/>
    <cellStyle name="Normal 9 5 2 4 2 2" xfId="8285" xr:uid="{00000000-0005-0000-0000-00000F5F0000}"/>
    <cellStyle name="Normal 9 5 2 4 2 2 2" xfId="25155" xr:uid="{00000000-0005-0000-0000-0000105F0000}"/>
    <cellStyle name="Normal 9 5 2 4 2 2 2 2" xfId="42023" xr:uid="{5E2F3B86-E43C-477F-8839-A5709D5B7C86}"/>
    <cellStyle name="Normal 9 5 2 4 2 2 3" xfId="16720" xr:uid="{00000000-0005-0000-0000-0000115F0000}"/>
    <cellStyle name="Normal 9 5 2 4 2 2 4" xfId="33589" xr:uid="{826BB597-0318-4585-89E7-B9C806ACF8AB}"/>
    <cellStyle name="Normal 9 5 2 4 2 3" xfId="20937" xr:uid="{00000000-0005-0000-0000-0000125F0000}"/>
    <cellStyle name="Normal 9 5 2 4 2 3 2" xfId="37806" xr:uid="{B0FCCE72-35AC-4B33-A9D5-86EC32006BEE}"/>
    <cellStyle name="Normal 9 5 2 4 2 4" xfId="12502" xr:uid="{00000000-0005-0000-0000-0000135F0000}"/>
    <cellStyle name="Normal 9 5 2 4 2 5" xfId="29372" xr:uid="{7E44F67D-E5E5-42C5-901D-B9EBC92850C8}"/>
    <cellStyle name="Normal 9 5 2 4 3" xfId="6140" xr:uid="{00000000-0005-0000-0000-0000145F0000}"/>
    <cellStyle name="Normal 9 5 2 4 3 2" xfId="23010" xr:uid="{00000000-0005-0000-0000-0000155F0000}"/>
    <cellStyle name="Normal 9 5 2 4 3 2 2" xfId="39878" xr:uid="{AB4A8349-401B-499E-A176-56D5A2471004}"/>
    <cellStyle name="Normal 9 5 2 4 3 3" xfId="14575" xr:uid="{00000000-0005-0000-0000-0000165F0000}"/>
    <cellStyle name="Normal 9 5 2 4 3 4" xfId="31444" xr:uid="{3CB891B4-F082-40F5-B757-C9F779AF98D4}"/>
    <cellStyle name="Normal 9 5 2 4 4" xfId="18792" xr:uid="{00000000-0005-0000-0000-0000175F0000}"/>
    <cellStyle name="Normal 9 5 2 4 4 2" xfId="35661" xr:uid="{5574D0F9-2C5D-4205-968E-3F2D78AFE4FD}"/>
    <cellStyle name="Normal 9 5 2 4 5" xfId="10357" xr:uid="{00000000-0005-0000-0000-0000185F0000}"/>
    <cellStyle name="Normal 9 5 2 4 6" xfId="27227" xr:uid="{3883E938-7F7D-4458-B247-C1B3318752C3}"/>
    <cellStyle name="Normal 9 5 2 5" xfId="2246" xr:uid="{00000000-0005-0000-0000-0000195F0000}"/>
    <cellStyle name="Normal 9 5 2 5 2" xfId="4475" xr:uid="{00000000-0005-0000-0000-00001A5F0000}"/>
    <cellStyle name="Normal 9 5 2 5 2 2" xfId="8698" xr:uid="{00000000-0005-0000-0000-00001B5F0000}"/>
    <cellStyle name="Normal 9 5 2 5 2 2 2" xfId="25568" xr:uid="{00000000-0005-0000-0000-00001C5F0000}"/>
    <cellStyle name="Normal 9 5 2 5 2 2 2 2" xfId="42436" xr:uid="{A70FC8FC-6F5E-415D-8C8B-DB261AF31811}"/>
    <cellStyle name="Normal 9 5 2 5 2 2 3" xfId="17133" xr:uid="{00000000-0005-0000-0000-00001D5F0000}"/>
    <cellStyle name="Normal 9 5 2 5 2 2 4" xfId="34002" xr:uid="{76E79925-C9C0-44F1-A33A-487FB75CD487}"/>
    <cellStyle name="Normal 9 5 2 5 2 3" xfId="21350" xr:uid="{00000000-0005-0000-0000-00001E5F0000}"/>
    <cellStyle name="Normal 9 5 2 5 2 3 2" xfId="38219" xr:uid="{25D5E130-E842-4DA0-A0E4-E73F37AFDD69}"/>
    <cellStyle name="Normal 9 5 2 5 2 4" xfId="12915" xr:uid="{00000000-0005-0000-0000-00001F5F0000}"/>
    <cellStyle name="Normal 9 5 2 5 2 5" xfId="29785" xr:uid="{DEACA50A-1D99-45AE-ADED-E43851AF3FBC}"/>
    <cellStyle name="Normal 9 5 2 5 3" xfId="6553" xr:uid="{00000000-0005-0000-0000-0000205F0000}"/>
    <cellStyle name="Normal 9 5 2 5 3 2" xfId="23423" xr:uid="{00000000-0005-0000-0000-0000215F0000}"/>
    <cellStyle name="Normal 9 5 2 5 3 2 2" xfId="40291" xr:uid="{1F54DE72-B7ED-4265-91DE-29DE1350E5E7}"/>
    <cellStyle name="Normal 9 5 2 5 3 3" xfId="14988" xr:uid="{00000000-0005-0000-0000-0000225F0000}"/>
    <cellStyle name="Normal 9 5 2 5 3 4" xfId="31857" xr:uid="{6E4FF26D-6CB7-40D8-908A-0E01DDF26BED}"/>
    <cellStyle name="Normal 9 5 2 5 4" xfId="19205" xr:uid="{00000000-0005-0000-0000-0000235F0000}"/>
    <cellStyle name="Normal 9 5 2 5 4 2" xfId="36074" xr:uid="{36AF5A82-1EC0-4446-8422-58612415726C}"/>
    <cellStyle name="Normal 9 5 2 5 5" xfId="10770" xr:uid="{00000000-0005-0000-0000-0000245F0000}"/>
    <cellStyle name="Normal 9 5 2 5 6" xfId="27640" xr:uid="{D4244242-999F-473D-BA3E-0CD3A5A9DC45}"/>
    <cellStyle name="Normal 9 5 2 6" xfId="2682" xr:uid="{00000000-0005-0000-0000-0000255F0000}"/>
    <cellStyle name="Normal 9 5 2 6 2" xfId="6966" xr:uid="{00000000-0005-0000-0000-0000265F0000}"/>
    <cellStyle name="Normal 9 5 2 6 2 2" xfId="23836" xr:uid="{00000000-0005-0000-0000-0000275F0000}"/>
    <cellStyle name="Normal 9 5 2 6 2 2 2" xfId="40704" xr:uid="{89D92D9F-6DA7-4013-9445-705D022ECC5F}"/>
    <cellStyle name="Normal 9 5 2 6 2 3" xfId="15401" xr:uid="{00000000-0005-0000-0000-0000285F0000}"/>
    <cellStyle name="Normal 9 5 2 6 2 4" xfId="32270" xr:uid="{1E9889B1-4D5F-4194-A203-3975DF524117}"/>
    <cellStyle name="Normal 9 5 2 6 3" xfId="19618" xr:uid="{00000000-0005-0000-0000-0000295F0000}"/>
    <cellStyle name="Normal 9 5 2 6 3 2" xfId="36487" xr:uid="{055A4BCD-EA64-4150-A626-3600F31C9467}"/>
    <cellStyle name="Normal 9 5 2 6 4" xfId="11183" xr:uid="{00000000-0005-0000-0000-00002A5F0000}"/>
    <cellStyle name="Normal 9 5 2 6 5" xfId="28053" xr:uid="{3E7A69C8-8B36-40F1-A5EC-740B60E78627}"/>
    <cellStyle name="Normal 9 5 2 7" xfId="4901" xr:uid="{00000000-0005-0000-0000-00002B5F0000}"/>
    <cellStyle name="Normal 9 5 2 7 2" xfId="21771" xr:uid="{00000000-0005-0000-0000-00002C5F0000}"/>
    <cellStyle name="Normal 9 5 2 7 2 2" xfId="38639" xr:uid="{EBC7E3A9-5057-47D0-88DC-6D8425CFEC19}"/>
    <cellStyle name="Normal 9 5 2 7 3" xfId="13336" xr:uid="{00000000-0005-0000-0000-00002D5F0000}"/>
    <cellStyle name="Normal 9 5 2 7 4" xfId="30205" xr:uid="{3286D170-D309-48FE-8BD0-8DA591AE916A}"/>
    <cellStyle name="Normal 9 5 2 8" xfId="17553" xr:uid="{00000000-0005-0000-0000-00002E5F0000}"/>
    <cellStyle name="Normal 9 5 2 8 2" xfId="34422" xr:uid="{06E07624-C9F6-4FAB-9F69-E0F505A99E67}"/>
    <cellStyle name="Normal 9 5 2 9" xfId="9118" xr:uid="{00000000-0005-0000-0000-00002F5F0000}"/>
    <cellStyle name="Normal 9 5 3" xfId="1003" xr:uid="{00000000-0005-0000-0000-0000305F0000}"/>
    <cellStyle name="Normal 9 5 3 2" xfId="3235" xr:uid="{00000000-0005-0000-0000-0000315F0000}"/>
    <cellStyle name="Normal 9 5 3 2 2" xfId="7458" xr:uid="{00000000-0005-0000-0000-0000325F0000}"/>
    <cellStyle name="Normal 9 5 3 2 2 2" xfId="24328" xr:uid="{00000000-0005-0000-0000-0000335F0000}"/>
    <cellStyle name="Normal 9 5 3 2 2 2 2" xfId="41196" xr:uid="{0D1D2BB2-6317-477A-AEB6-486BE1BEA6BD}"/>
    <cellStyle name="Normal 9 5 3 2 2 3" xfId="15893" xr:uid="{00000000-0005-0000-0000-0000345F0000}"/>
    <cellStyle name="Normal 9 5 3 2 2 4" xfId="32762" xr:uid="{62BF4837-CF10-4213-886F-157B5816149B}"/>
    <cellStyle name="Normal 9 5 3 2 3" xfId="20110" xr:uid="{00000000-0005-0000-0000-0000355F0000}"/>
    <cellStyle name="Normal 9 5 3 2 3 2" xfId="36979" xr:uid="{BCF78A21-5A4E-4A14-BB3C-9641C433DC4E}"/>
    <cellStyle name="Normal 9 5 3 2 4" xfId="11675" xr:uid="{00000000-0005-0000-0000-0000365F0000}"/>
    <cellStyle name="Normal 9 5 3 2 5" xfId="28545" xr:uid="{E8A6F3A0-AFB6-42DF-815E-50E645F42CC5}"/>
    <cellStyle name="Normal 9 5 3 3" xfId="5313" xr:uid="{00000000-0005-0000-0000-0000375F0000}"/>
    <cellStyle name="Normal 9 5 3 3 2" xfId="22183" xr:uid="{00000000-0005-0000-0000-0000385F0000}"/>
    <cellStyle name="Normal 9 5 3 3 2 2" xfId="39051" xr:uid="{1603322C-1439-457C-9F04-88F83078C0E0}"/>
    <cellStyle name="Normal 9 5 3 3 3" xfId="13748" xr:uid="{00000000-0005-0000-0000-0000395F0000}"/>
    <cellStyle name="Normal 9 5 3 3 4" xfId="30617" xr:uid="{C0DBCF31-1F3B-46EB-B38E-634276606D6F}"/>
    <cellStyle name="Normal 9 5 3 4" xfId="17965" xr:uid="{00000000-0005-0000-0000-00003A5F0000}"/>
    <cellStyle name="Normal 9 5 3 4 2" xfId="34834" xr:uid="{7ED3B0B4-AD47-4916-B72A-9B0037FD6C53}"/>
    <cellStyle name="Normal 9 5 3 5" xfId="9530" xr:uid="{00000000-0005-0000-0000-00003B5F0000}"/>
    <cellStyle name="Normal 9 5 3 6" xfId="26400" xr:uid="{F37231EE-DC9E-472C-B9B5-F94EEE5F2D00}"/>
    <cellStyle name="Normal 9 5 4" xfId="1418" xr:uid="{00000000-0005-0000-0000-00003C5F0000}"/>
    <cellStyle name="Normal 9 5 4 2" xfId="3648" xr:uid="{00000000-0005-0000-0000-00003D5F0000}"/>
    <cellStyle name="Normal 9 5 4 2 2" xfId="7871" xr:uid="{00000000-0005-0000-0000-00003E5F0000}"/>
    <cellStyle name="Normal 9 5 4 2 2 2" xfId="24741" xr:uid="{00000000-0005-0000-0000-00003F5F0000}"/>
    <cellStyle name="Normal 9 5 4 2 2 2 2" xfId="41609" xr:uid="{FDC25C64-43CB-4E6F-A134-9F48A26B29FE}"/>
    <cellStyle name="Normal 9 5 4 2 2 3" xfId="16306" xr:uid="{00000000-0005-0000-0000-0000405F0000}"/>
    <cellStyle name="Normal 9 5 4 2 2 4" xfId="33175" xr:uid="{E0F76A85-84C9-4608-9CF3-9F48A9CF7228}"/>
    <cellStyle name="Normal 9 5 4 2 3" xfId="20523" xr:uid="{00000000-0005-0000-0000-0000415F0000}"/>
    <cellStyle name="Normal 9 5 4 2 3 2" xfId="37392" xr:uid="{AA225C9D-0A76-4049-BC27-51099AEC5ECE}"/>
    <cellStyle name="Normal 9 5 4 2 4" xfId="12088" xr:uid="{00000000-0005-0000-0000-0000425F0000}"/>
    <cellStyle name="Normal 9 5 4 2 5" xfId="28958" xr:uid="{DB642DB5-E66F-4F56-B597-2BB731E86B4B}"/>
    <cellStyle name="Normal 9 5 4 3" xfId="5726" xr:uid="{00000000-0005-0000-0000-0000435F0000}"/>
    <cellStyle name="Normal 9 5 4 3 2" xfId="22596" xr:uid="{00000000-0005-0000-0000-0000445F0000}"/>
    <cellStyle name="Normal 9 5 4 3 2 2" xfId="39464" xr:uid="{69F7CBA3-6CAC-4141-9E10-403B6565DF41}"/>
    <cellStyle name="Normal 9 5 4 3 3" xfId="14161" xr:uid="{00000000-0005-0000-0000-0000455F0000}"/>
    <cellStyle name="Normal 9 5 4 3 4" xfId="31030" xr:uid="{0ABC41C1-F773-49C2-B9E3-F3D4989782AD}"/>
    <cellStyle name="Normal 9 5 4 4" xfId="18378" xr:uid="{00000000-0005-0000-0000-0000465F0000}"/>
    <cellStyle name="Normal 9 5 4 4 2" xfId="35247" xr:uid="{8C31DA41-A172-4565-829D-A0C40114D829}"/>
    <cellStyle name="Normal 9 5 4 5" xfId="9943" xr:uid="{00000000-0005-0000-0000-0000475F0000}"/>
    <cellStyle name="Normal 9 5 4 6" xfId="26813" xr:uid="{080406C7-7146-49BE-9A45-92A38953B5C0}"/>
    <cellStyle name="Normal 9 5 5" xfId="1831" xr:uid="{00000000-0005-0000-0000-0000485F0000}"/>
    <cellStyle name="Normal 9 5 5 2" xfId="4061" xr:uid="{00000000-0005-0000-0000-0000495F0000}"/>
    <cellStyle name="Normal 9 5 5 2 2" xfId="8284" xr:uid="{00000000-0005-0000-0000-00004A5F0000}"/>
    <cellStyle name="Normal 9 5 5 2 2 2" xfId="25154" xr:uid="{00000000-0005-0000-0000-00004B5F0000}"/>
    <cellStyle name="Normal 9 5 5 2 2 2 2" xfId="42022" xr:uid="{03844B7A-2779-4FD3-82A7-CB012F79C302}"/>
    <cellStyle name="Normal 9 5 5 2 2 3" xfId="16719" xr:uid="{00000000-0005-0000-0000-00004C5F0000}"/>
    <cellStyle name="Normal 9 5 5 2 2 4" xfId="33588" xr:uid="{0B280F55-9FF8-4724-918B-0AFACC60A69B}"/>
    <cellStyle name="Normal 9 5 5 2 3" xfId="20936" xr:uid="{00000000-0005-0000-0000-00004D5F0000}"/>
    <cellStyle name="Normal 9 5 5 2 3 2" xfId="37805" xr:uid="{9DF941F5-43A3-4D6B-8994-E0E1A6B6CE70}"/>
    <cellStyle name="Normal 9 5 5 2 4" xfId="12501" xr:uid="{00000000-0005-0000-0000-00004E5F0000}"/>
    <cellStyle name="Normal 9 5 5 2 5" xfId="29371" xr:uid="{9B6D9DCC-A751-4FA6-9F37-338091C06AE6}"/>
    <cellStyle name="Normal 9 5 5 3" xfId="6139" xr:uid="{00000000-0005-0000-0000-00004F5F0000}"/>
    <cellStyle name="Normal 9 5 5 3 2" xfId="23009" xr:uid="{00000000-0005-0000-0000-0000505F0000}"/>
    <cellStyle name="Normal 9 5 5 3 2 2" xfId="39877" xr:uid="{0CB4A226-5F19-4A1A-8FF6-D34946E50DA7}"/>
    <cellStyle name="Normal 9 5 5 3 3" xfId="14574" xr:uid="{00000000-0005-0000-0000-0000515F0000}"/>
    <cellStyle name="Normal 9 5 5 3 4" xfId="31443" xr:uid="{D53E61A8-CC39-4986-B635-AC3F7F08878C}"/>
    <cellStyle name="Normal 9 5 5 4" xfId="18791" xr:uid="{00000000-0005-0000-0000-0000525F0000}"/>
    <cellStyle name="Normal 9 5 5 4 2" xfId="35660" xr:uid="{F04A355F-5BFB-43F7-AFFB-EB911CC655E8}"/>
    <cellStyle name="Normal 9 5 5 5" xfId="10356" xr:uid="{00000000-0005-0000-0000-0000535F0000}"/>
    <cellStyle name="Normal 9 5 5 6" xfId="27226" xr:uid="{F3BA7BF2-5AB5-4B0D-A393-DCD1298F9013}"/>
    <cellStyle name="Normal 9 5 6" xfId="2245" xr:uid="{00000000-0005-0000-0000-0000545F0000}"/>
    <cellStyle name="Normal 9 5 6 2" xfId="4474" xr:uid="{00000000-0005-0000-0000-0000555F0000}"/>
    <cellStyle name="Normal 9 5 6 2 2" xfId="8697" xr:uid="{00000000-0005-0000-0000-0000565F0000}"/>
    <cellStyle name="Normal 9 5 6 2 2 2" xfId="25567" xr:uid="{00000000-0005-0000-0000-0000575F0000}"/>
    <cellStyle name="Normal 9 5 6 2 2 2 2" xfId="42435" xr:uid="{355F3627-7279-4EA2-96DF-51E5CC93C404}"/>
    <cellStyle name="Normal 9 5 6 2 2 3" xfId="17132" xr:uid="{00000000-0005-0000-0000-0000585F0000}"/>
    <cellStyle name="Normal 9 5 6 2 2 4" xfId="34001" xr:uid="{86B8E76D-10A4-4271-9264-E36963827CD9}"/>
    <cellStyle name="Normal 9 5 6 2 3" xfId="21349" xr:uid="{00000000-0005-0000-0000-0000595F0000}"/>
    <cellStyle name="Normal 9 5 6 2 3 2" xfId="38218" xr:uid="{FE4E03D5-938E-4D55-87B9-B56DA4188E97}"/>
    <cellStyle name="Normal 9 5 6 2 4" xfId="12914" xr:uid="{00000000-0005-0000-0000-00005A5F0000}"/>
    <cellStyle name="Normal 9 5 6 2 5" xfId="29784" xr:uid="{0A5D7F08-27CA-4E02-B42D-AE3DE303E2EB}"/>
    <cellStyle name="Normal 9 5 6 3" xfId="6552" xr:uid="{00000000-0005-0000-0000-00005B5F0000}"/>
    <cellStyle name="Normal 9 5 6 3 2" xfId="23422" xr:uid="{00000000-0005-0000-0000-00005C5F0000}"/>
    <cellStyle name="Normal 9 5 6 3 2 2" xfId="40290" xr:uid="{0D9BF1BD-696A-4C83-BED7-75D8CFE3B1EC}"/>
    <cellStyle name="Normal 9 5 6 3 3" xfId="14987" xr:uid="{00000000-0005-0000-0000-00005D5F0000}"/>
    <cellStyle name="Normal 9 5 6 3 4" xfId="31856" xr:uid="{9F82A64A-04D6-4859-8515-091F4A8B70B0}"/>
    <cellStyle name="Normal 9 5 6 4" xfId="19204" xr:uid="{00000000-0005-0000-0000-00005E5F0000}"/>
    <cellStyle name="Normal 9 5 6 4 2" xfId="36073" xr:uid="{F726164D-1FFE-41BD-B464-CEF8846F5210}"/>
    <cellStyle name="Normal 9 5 6 5" xfId="10769" xr:uid="{00000000-0005-0000-0000-00005F5F0000}"/>
    <cellStyle name="Normal 9 5 6 6" xfId="27639" xr:uid="{4CE5DB8C-6824-438D-8CE0-32ED82FA07A1}"/>
    <cellStyle name="Normal 9 5 7" xfId="2681" xr:uid="{00000000-0005-0000-0000-0000605F0000}"/>
    <cellStyle name="Normal 9 5 7 2" xfId="6965" xr:uid="{00000000-0005-0000-0000-0000615F0000}"/>
    <cellStyle name="Normal 9 5 7 2 2" xfId="23835" xr:uid="{00000000-0005-0000-0000-0000625F0000}"/>
    <cellStyle name="Normal 9 5 7 2 2 2" xfId="40703" xr:uid="{468BB769-1EC0-4A5F-9EBF-0062C14808C7}"/>
    <cellStyle name="Normal 9 5 7 2 3" xfId="15400" xr:uid="{00000000-0005-0000-0000-0000635F0000}"/>
    <cellStyle name="Normal 9 5 7 2 4" xfId="32269" xr:uid="{346CE590-6A63-4AB7-8FD9-18425B8A87E0}"/>
    <cellStyle name="Normal 9 5 7 3" xfId="19617" xr:uid="{00000000-0005-0000-0000-0000645F0000}"/>
    <cellStyle name="Normal 9 5 7 3 2" xfId="36486" xr:uid="{FA51E5C8-1C07-45ED-86BD-B4976332F164}"/>
    <cellStyle name="Normal 9 5 7 4" xfId="11182" xr:uid="{00000000-0005-0000-0000-0000655F0000}"/>
    <cellStyle name="Normal 9 5 7 5" xfId="28052" xr:uid="{3E172147-EB29-422B-BE8B-95921980D924}"/>
    <cellStyle name="Normal 9 5 8" xfId="4900" xr:uid="{00000000-0005-0000-0000-0000665F0000}"/>
    <cellStyle name="Normal 9 5 8 2" xfId="21770" xr:uid="{00000000-0005-0000-0000-0000675F0000}"/>
    <cellStyle name="Normal 9 5 8 2 2" xfId="38638" xr:uid="{F3424380-85E0-4E65-9D59-BF90CFDE91B5}"/>
    <cellStyle name="Normal 9 5 8 3" xfId="13335" xr:uid="{00000000-0005-0000-0000-0000685F0000}"/>
    <cellStyle name="Normal 9 5 8 4" xfId="30204" xr:uid="{1599ED38-A8B4-4347-8747-6BC0D24A48C2}"/>
    <cellStyle name="Normal 9 5 9" xfId="17552" xr:uid="{00000000-0005-0000-0000-0000695F0000}"/>
    <cellStyle name="Normal 9 5 9 2" xfId="34421" xr:uid="{F4949D81-3453-473E-A1A0-BFE2F8CA4A3B}"/>
    <cellStyle name="Normal 9 6" xfId="538" xr:uid="{00000000-0005-0000-0000-00006A5F0000}"/>
    <cellStyle name="Normal 9 6 10" xfId="25989" xr:uid="{9042989B-183A-4F27-8F62-2D1B61B22A7D}"/>
    <cellStyle name="Normal 9 6 2" xfId="1005" xr:uid="{00000000-0005-0000-0000-00006B5F0000}"/>
    <cellStyle name="Normal 9 6 2 2" xfId="3237" xr:uid="{00000000-0005-0000-0000-00006C5F0000}"/>
    <cellStyle name="Normal 9 6 2 2 2" xfId="7460" xr:uid="{00000000-0005-0000-0000-00006D5F0000}"/>
    <cellStyle name="Normal 9 6 2 2 2 2" xfId="24330" xr:uid="{00000000-0005-0000-0000-00006E5F0000}"/>
    <cellStyle name="Normal 9 6 2 2 2 2 2" xfId="41198" xr:uid="{6BBA82C8-A5AB-41F1-A5C0-E4C05BB6390F}"/>
    <cellStyle name="Normal 9 6 2 2 2 3" xfId="15895" xr:uid="{00000000-0005-0000-0000-00006F5F0000}"/>
    <cellStyle name="Normal 9 6 2 2 2 4" xfId="32764" xr:uid="{0B669647-0855-46C7-B938-33DABE9A941E}"/>
    <cellStyle name="Normal 9 6 2 2 3" xfId="20112" xr:uid="{00000000-0005-0000-0000-0000705F0000}"/>
    <cellStyle name="Normal 9 6 2 2 3 2" xfId="36981" xr:uid="{8B2BD9B6-9234-496C-93E1-1B2607DE4802}"/>
    <cellStyle name="Normal 9 6 2 2 4" xfId="11677" xr:uid="{00000000-0005-0000-0000-0000715F0000}"/>
    <cellStyle name="Normal 9 6 2 2 5" xfId="28547" xr:uid="{8E866600-D86C-4C19-8BC7-70AFDE22286D}"/>
    <cellStyle name="Normal 9 6 2 3" xfId="5315" xr:uid="{00000000-0005-0000-0000-0000725F0000}"/>
    <cellStyle name="Normal 9 6 2 3 2" xfId="22185" xr:uid="{00000000-0005-0000-0000-0000735F0000}"/>
    <cellStyle name="Normal 9 6 2 3 2 2" xfId="39053" xr:uid="{6D26E329-C2DF-42AA-B7A7-8580E1E83474}"/>
    <cellStyle name="Normal 9 6 2 3 3" xfId="13750" xr:uid="{00000000-0005-0000-0000-0000745F0000}"/>
    <cellStyle name="Normal 9 6 2 3 4" xfId="30619" xr:uid="{C5E39C5C-F1D5-4267-BD43-5615ACA29FEA}"/>
    <cellStyle name="Normal 9 6 2 4" xfId="17967" xr:uid="{00000000-0005-0000-0000-0000755F0000}"/>
    <cellStyle name="Normal 9 6 2 4 2" xfId="34836" xr:uid="{6C6F8A8F-895D-4607-BB15-C2A69474A028}"/>
    <cellStyle name="Normal 9 6 2 5" xfId="9532" xr:uid="{00000000-0005-0000-0000-0000765F0000}"/>
    <cellStyle name="Normal 9 6 2 6" xfId="26402" xr:uid="{68E8874D-2A19-4238-B9A6-8BC62C012B3A}"/>
    <cellStyle name="Normal 9 6 3" xfId="1420" xr:uid="{00000000-0005-0000-0000-0000775F0000}"/>
    <cellStyle name="Normal 9 6 3 2" xfId="3650" xr:uid="{00000000-0005-0000-0000-0000785F0000}"/>
    <cellStyle name="Normal 9 6 3 2 2" xfId="7873" xr:uid="{00000000-0005-0000-0000-0000795F0000}"/>
    <cellStyle name="Normal 9 6 3 2 2 2" xfId="24743" xr:uid="{00000000-0005-0000-0000-00007A5F0000}"/>
    <cellStyle name="Normal 9 6 3 2 2 2 2" xfId="41611" xr:uid="{525D8F78-3E9E-4C66-9A18-AEAC3E2BEF0B}"/>
    <cellStyle name="Normal 9 6 3 2 2 3" xfId="16308" xr:uid="{00000000-0005-0000-0000-00007B5F0000}"/>
    <cellStyle name="Normal 9 6 3 2 2 4" xfId="33177" xr:uid="{D2D2A2ED-1B20-4055-B6FE-A7C63C6C1326}"/>
    <cellStyle name="Normal 9 6 3 2 3" xfId="20525" xr:uid="{00000000-0005-0000-0000-00007C5F0000}"/>
    <cellStyle name="Normal 9 6 3 2 3 2" xfId="37394" xr:uid="{BEA97163-110F-4EDD-AA3D-C0C4226FA131}"/>
    <cellStyle name="Normal 9 6 3 2 4" xfId="12090" xr:uid="{00000000-0005-0000-0000-00007D5F0000}"/>
    <cellStyle name="Normal 9 6 3 2 5" xfId="28960" xr:uid="{E0F6AA0F-9638-4575-89C6-4A529D538F5F}"/>
    <cellStyle name="Normal 9 6 3 3" xfId="5728" xr:uid="{00000000-0005-0000-0000-00007E5F0000}"/>
    <cellStyle name="Normal 9 6 3 3 2" xfId="22598" xr:uid="{00000000-0005-0000-0000-00007F5F0000}"/>
    <cellStyle name="Normal 9 6 3 3 2 2" xfId="39466" xr:uid="{D3464D0A-E2AF-4A37-8F2D-EED1C892FFD5}"/>
    <cellStyle name="Normal 9 6 3 3 3" xfId="14163" xr:uid="{00000000-0005-0000-0000-0000805F0000}"/>
    <cellStyle name="Normal 9 6 3 3 4" xfId="31032" xr:uid="{57F17668-FA8E-4803-A668-098649801879}"/>
    <cellStyle name="Normal 9 6 3 4" xfId="18380" xr:uid="{00000000-0005-0000-0000-0000815F0000}"/>
    <cellStyle name="Normal 9 6 3 4 2" xfId="35249" xr:uid="{006804CB-B709-4DF9-9F15-ED2AE8BBD061}"/>
    <cellStyle name="Normal 9 6 3 5" xfId="9945" xr:uid="{00000000-0005-0000-0000-0000825F0000}"/>
    <cellStyle name="Normal 9 6 3 6" xfId="26815" xr:uid="{F3AD0DCA-08AA-442E-9C38-3F2231FDF2EE}"/>
    <cellStyle name="Normal 9 6 4" xfId="1833" xr:uid="{00000000-0005-0000-0000-0000835F0000}"/>
    <cellStyle name="Normal 9 6 4 2" xfId="4063" xr:uid="{00000000-0005-0000-0000-0000845F0000}"/>
    <cellStyle name="Normal 9 6 4 2 2" xfId="8286" xr:uid="{00000000-0005-0000-0000-0000855F0000}"/>
    <cellStyle name="Normal 9 6 4 2 2 2" xfId="25156" xr:uid="{00000000-0005-0000-0000-0000865F0000}"/>
    <cellStyle name="Normal 9 6 4 2 2 2 2" xfId="42024" xr:uid="{8C228677-2581-4498-A72B-AA37F5FF4E94}"/>
    <cellStyle name="Normal 9 6 4 2 2 3" xfId="16721" xr:uid="{00000000-0005-0000-0000-0000875F0000}"/>
    <cellStyle name="Normal 9 6 4 2 2 4" xfId="33590" xr:uid="{8F1F96FC-5764-4EC1-A8D7-E411276F69F8}"/>
    <cellStyle name="Normal 9 6 4 2 3" xfId="20938" xr:uid="{00000000-0005-0000-0000-0000885F0000}"/>
    <cellStyle name="Normal 9 6 4 2 3 2" xfId="37807" xr:uid="{2ED534D8-482C-4DB3-8D45-4A866A6D1277}"/>
    <cellStyle name="Normal 9 6 4 2 4" xfId="12503" xr:uid="{00000000-0005-0000-0000-0000895F0000}"/>
    <cellStyle name="Normal 9 6 4 2 5" xfId="29373" xr:uid="{7F59540B-232A-40F8-85B6-C1313E2B8CE2}"/>
    <cellStyle name="Normal 9 6 4 3" xfId="6141" xr:uid="{00000000-0005-0000-0000-00008A5F0000}"/>
    <cellStyle name="Normal 9 6 4 3 2" xfId="23011" xr:uid="{00000000-0005-0000-0000-00008B5F0000}"/>
    <cellStyle name="Normal 9 6 4 3 2 2" xfId="39879" xr:uid="{73DDA9A5-6D58-483E-97AC-928EE748C893}"/>
    <cellStyle name="Normal 9 6 4 3 3" xfId="14576" xr:uid="{00000000-0005-0000-0000-00008C5F0000}"/>
    <cellStyle name="Normal 9 6 4 3 4" xfId="31445" xr:uid="{40ADF9D1-D2FD-4402-BC77-95143C708BAD}"/>
    <cellStyle name="Normal 9 6 4 4" xfId="18793" xr:uid="{00000000-0005-0000-0000-00008D5F0000}"/>
    <cellStyle name="Normal 9 6 4 4 2" xfId="35662" xr:uid="{AB18A723-CF16-4585-86AC-BC3ECDE09C7C}"/>
    <cellStyle name="Normal 9 6 4 5" xfId="10358" xr:uid="{00000000-0005-0000-0000-00008E5F0000}"/>
    <cellStyle name="Normal 9 6 4 6" xfId="27228" xr:uid="{DFE27E5F-E6CC-44DF-8343-E6EB9BCAEA3F}"/>
    <cellStyle name="Normal 9 6 5" xfId="2247" xr:uid="{00000000-0005-0000-0000-00008F5F0000}"/>
    <cellStyle name="Normal 9 6 5 2" xfId="4476" xr:uid="{00000000-0005-0000-0000-0000905F0000}"/>
    <cellStyle name="Normal 9 6 5 2 2" xfId="8699" xr:uid="{00000000-0005-0000-0000-0000915F0000}"/>
    <cellStyle name="Normal 9 6 5 2 2 2" xfId="25569" xr:uid="{00000000-0005-0000-0000-0000925F0000}"/>
    <cellStyle name="Normal 9 6 5 2 2 2 2" xfId="42437" xr:uid="{2D7D12D5-4B95-41E5-AD5B-4654FE75FF25}"/>
    <cellStyle name="Normal 9 6 5 2 2 3" xfId="17134" xr:uid="{00000000-0005-0000-0000-0000935F0000}"/>
    <cellStyle name="Normal 9 6 5 2 2 4" xfId="34003" xr:uid="{79DF4BD3-0FA8-4BF6-BA4C-D5971549C363}"/>
    <cellStyle name="Normal 9 6 5 2 3" xfId="21351" xr:uid="{00000000-0005-0000-0000-0000945F0000}"/>
    <cellStyle name="Normal 9 6 5 2 3 2" xfId="38220" xr:uid="{FC6EB82C-813C-403B-BFF3-F9C5B54E6219}"/>
    <cellStyle name="Normal 9 6 5 2 4" xfId="12916" xr:uid="{00000000-0005-0000-0000-0000955F0000}"/>
    <cellStyle name="Normal 9 6 5 2 5" xfId="29786" xr:uid="{6B99A8AB-11DF-4E80-85A6-118D9040DE28}"/>
    <cellStyle name="Normal 9 6 5 3" xfId="6554" xr:uid="{00000000-0005-0000-0000-0000965F0000}"/>
    <cellStyle name="Normal 9 6 5 3 2" xfId="23424" xr:uid="{00000000-0005-0000-0000-0000975F0000}"/>
    <cellStyle name="Normal 9 6 5 3 2 2" xfId="40292" xr:uid="{23F22C01-F069-48D6-9984-15554A2DAA97}"/>
    <cellStyle name="Normal 9 6 5 3 3" xfId="14989" xr:uid="{00000000-0005-0000-0000-0000985F0000}"/>
    <cellStyle name="Normal 9 6 5 3 4" xfId="31858" xr:uid="{1AB80D5D-AFFD-496D-81FD-139E4DC4BD61}"/>
    <cellStyle name="Normal 9 6 5 4" xfId="19206" xr:uid="{00000000-0005-0000-0000-0000995F0000}"/>
    <cellStyle name="Normal 9 6 5 4 2" xfId="36075" xr:uid="{77A840E0-35FE-4473-AA89-154FBB9DF6DE}"/>
    <cellStyle name="Normal 9 6 5 5" xfId="10771" xr:uid="{00000000-0005-0000-0000-00009A5F0000}"/>
    <cellStyle name="Normal 9 6 5 6" xfId="27641" xr:uid="{FBFE4FF1-F259-4E76-9787-DB333CD0A7ED}"/>
    <cellStyle name="Normal 9 6 6" xfId="2683" xr:uid="{00000000-0005-0000-0000-00009B5F0000}"/>
    <cellStyle name="Normal 9 6 6 2" xfId="6967" xr:uid="{00000000-0005-0000-0000-00009C5F0000}"/>
    <cellStyle name="Normal 9 6 6 2 2" xfId="23837" xr:uid="{00000000-0005-0000-0000-00009D5F0000}"/>
    <cellStyle name="Normal 9 6 6 2 2 2" xfId="40705" xr:uid="{5C059E14-82ED-488A-A93F-8C084265B51E}"/>
    <cellStyle name="Normal 9 6 6 2 3" xfId="15402" xr:uid="{00000000-0005-0000-0000-00009E5F0000}"/>
    <cellStyle name="Normal 9 6 6 2 4" xfId="32271" xr:uid="{58CA46E9-5650-4BB2-A346-53405B63E2A1}"/>
    <cellStyle name="Normal 9 6 6 3" xfId="19619" xr:uid="{00000000-0005-0000-0000-00009F5F0000}"/>
    <cellStyle name="Normal 9 6 6 3 2" xfId="36488" xr:uid="{7B2ABCFE-E89E-4468-8F6E-38F414A000C3}"/>
    <cellStyle name="Normal 9 6 6 4" xfId="11184" xr:uid="{00000000-0005-0000-0000-0000A05F0000}"/>
    <cellStyle name="Normal 9 6 6 5" xfId="28054" xr:uid="{784D2293-D234-4781-9139-BFB0AB1584A8}"/>
    <cellStyle name="Normal 9 6 7" xfId="4902" xr:uid="{00000000-0005-0000-0000-0000A15F0000}"/>
    <cellStyle name="Normal 9 6 7 2" xfId="21772" xr:uid="{00000000-0005-0000-0000-0000A25F0000}"/>
    <cellStyle name="Normal 9 6 7 2 2" xfId="38640" xr:uid="{7D04BAF3-4A1F-406E-9EDB-E214D78AF699}"/>
    <cellStyle name="Normal 9 6 7 3" xfId="13337" xr:uid="{00000000-0005-0000-0000-0000A35F0000}"/>
    <cellStyle name="Normal 9 6 7 4" xfId="30206" xr:uid="{2C44E925-8AE0-4531-81A2-492AB548770D}"/>
    <cellStyle name="Normal 9 6 8" xfId="17554" xr:uid="{00000000-0005-0000-0000-0000A45F0000}"/>
    <cellStyle name="Normal 9 6 8 2" xfId="34423" xr:uid="{D5B8899B-3C9B-4371-9C68-3468B68C728A}"/>
    <cellStyle name="Normal 9 6 9" xfId="9119" xr:uid="{00000000-0005-0000-0000-0000A55F0000}"/>
    <cellStyle name="Normal 9 7" xfId="977" xr:uid="{00000000-0005-0000-0000-0000A65F0000}"/>
    <cellStyle name="Normal_07-190 basis matrix" xfId="539" xr:uid="{00000000-0005-0000-0000-0000A75F0000}"/>
    <cellStyle name="Normal_07-190 basis matrix 2" xfId="540" xr:uid="{00000000-0005-0000-0000-0000A85F0000}"/>
    <cellStyle name="Normal_1" xfId="541" xr:uid="{00000000-0005-0000-0000-0000A95F0000}"/>
    <cellStyle name="Normal_100%RENTS" xfId="542" xr:uid="{00000000-0005-0000-0000-0000AA5F0000}"/>
    <cellStyle name="Normal_Contact  Development Universal Application 8-02" xfId="4503" xr:uid="{00000000-0005-0000-0000-0000AB5F0000}"/>
    <cellStyle name="Normal_CTCAC 9% Application 7-18-07 practice run 3" xfId="543" xr:uid="{00000000-0005-0000-0000-0000AC5F0000}"/>
    <cellStyle name="Normal_CTCAC 9% Application 7-18-07 practice run 3 2 2" xfId="4497" xr:uid="{00000000-0005-0000-0000-0000AD5F0000}"/>
    <cellStyle name="Normal_CTCAC 9% Application 7-18-07 practice run 3 3" xfId="1834" xr:uid="{00000000-0005-0000-0000-0000AE5F0000}"/>
    <cellStyle name="Note 2" xfId="544" xr:uid="{00000000-0005-0000-0000-0000AF5F0000}"/>
    <cellStyle name="Note 2 2" xfId="545" xr:uid="{00000000-0005-0000-0000-0000B05F0000}"/>
    <cellStyle name="Note 2 2 10" xfId="2824" xr:uid="{00000000-0005-0000-0000-0000B15F0000}"/>
    <cellStyle name="Note 2 2 10 2" xfId="7048" xr:uid="{00000000-0005-0000-0000-0000B25F0000}"/>
    <cellStyle name="Note 2 2 10 2 2" xfId="23918" xr:uid="{00000000-0005-0000-0000-0000B35F0000}"/>
    <cellStyle name="Note 2 2 10 2 2 2" xfId="40786" xr:uid="{5EF67E4D-24DB-4972-A1CE-05612D6B34D8}"/>
    <cellStyle name="Note 2 2 10 2 3" xfId="15483" xr:uid="{00000000-0005-0000-0000-0000B45F0000}"/>
    <cellStyle name="Note 2 2 10 2 4" xfId="32352" xr:uid="{8D6AB66E-18BE-4D0A-BB73-EDD11DE5763C}"/>
    <cellStyle name="Note 2 2 10 3" xfId="19700" xr:uid="{00000000-0005-0000-0000-0000B55F0000}"/>
    <cellStyle name="Note 2 2 10 3 2" xfId="36569" xr:uid="{34DFBAAF-F341-4759-A3AD-BE0794D79BD7}"/>
    <cellStyle name="Note 2 2 10 4" xfId="11265" xr:uid="{00000000-0005-0000-0000-0000B65F0000}"/>
    <cellStyle name="Note 2 2 10 5" xfId="28135" xr:uid="{875A155D-0D77-41C9-B3A1-7835CB768A54}"/>
    <cellStyle name="Note 2 2 11" xfId="4903" xr:uid="{00000000-0005-0000-0000-0000B75F0000}"/>
    <cellStyle name="Note 2 2 11 2" xfId="21773" xr:uid="{00000000-0005-0000-0000-0000B85F0000}"/>
    <cellStyle name="Note 2 2 11 2 2" xfId="38641" xr:uid="{968F8C6F-CA31-49F3-A19E-0697A2CC0DC4}"/>
    <cellStyle name="Note 2 2 11 3" xfId="13338" xr:uid="{00000000-0005-0000-0000-0000B95F0000}"/>
    <cellStyle name="Note 2 2 11 4" xfId="30207" xr:uid="{01BE44EA-5AB4-4C97-95E3-FFADDA94EE76}"/>
    <cellStyle name="Note 2 2 12" xfId="17555" xr:uid="{00000000-0005-0000-0000-0000BA5F0000}"/>
    <cellStyle name="Note 2 2 12 2" xfId="34424" xr:uid="{10F8453A-223A-46F0-A7DF-99A6BF1C1BD1}"/>
    <cellStyle name="Note 2 2 13" xfId="9120" xr:uid="{00000000-0005-0000-0000-0000BB5F0000}"/>
    <cellStyle name="Note 2 2 14" xfId="25990" xr:uid="{1E7873F3-D668-436B-9E96-7AF2757CA390}"/>
    <cellStyle name="Note 2 2 2" xfId="546" xr:uid="{00000000-0005-0000-0000-0000BC5F0000}"/>
    <cellStyle name="Note 2 2 2 10" xfId="4904" xr:uid="{00000000-0005-0000-0000-0000BD5F0000}"/>
    <cellStyle name="Note 2 2 2 10 2" xfId="21774" xr:uid="{00000000-0005-0000-0000-0000BE5F0000}"/>
    <cellStyle name="Note 2 2 2 10 2 2" xfId="38642" xr:uid="{3678C660-CC42-43F0-A548-A5FC4F112751}"/>
    <cellStyle name="Note 2 2 2 10 3" xfId="13339" xr:uid="{00000000-0005-0000-0000-0000BF5F0000}"/>
    <cellStyle name="Note 2 2 2 10 4" xfId="30208" xr:uid="{BA78F59E-9E0D-4106-A504-791EF01430A6}"/>
    <cellStyle name="Note 2 2 2 11" xfId="17556" xr:uid="{00000000-0005-0000-0000-0000C05F0000}"/>
    <cellStyle name="Note 2 2 2 11 2" xfId="34425" xr:uid="{C8A8ED59-F04A-4857-96B0-D2DE7CC470FC}"/>
    <cellStyle name="Note 2 2 2 12" xfId="9121" xr:uid="{00000000-0005-0000-0000-0000C15F0000}"/>
    <cellStyle name="Note 2 2 2 13" xfId="25991" xr:uid="{8F5E7650-2DAD-46CA-9553-DD84AEB44834}"/>
    <cellStyle name="Note 2 2 2 2" xfId="547" xr:uid="{00000000-0005-0000-0000-0000C25F0000}"/>
    <cellStyle name="Note 2 2 2 2 10" xfId="17557" xr:uid="{00000000-0005-0000-0000-0000C35F0000}"/>
    <cellStyle name="Note 2 2 2 2 10 2" xfId="34426" xr:uid="{0C2F1A56-58AE-4668-B618-8CED329F5A17}"/>
    <cellStyle name="Note 2 2 2 2 11" xfId="9122" xr:uid="{00000000-0005-0000-0000-0000C45F0000}"/>
    <cellStyle name="Note 2 2 2 2 12" xfId="25992" xr:uid="{F180C254-D2C3-4DA2-A771-F47D9BE78579}"/>
    <cellStyle name="Note 2 2 2 2 2" xfId="1008" xr:uid="{00000000-0005-0000-0000-0000C55F0000}"/>
    <cellStyle name="Note 2 2 2 2 2 2" xfId="3240" xr:uid="{00000000-0005-0000-0000-0000C65F0000}"/>
    <cellStyle name="Note 2 2 2 2 2 2 2" xfId="7463" xr:uid="{00000000-0005-0000-0000-0000C75F0000}"/>
    <cellStyle name="Note 2 2 2 2 2 2 2 2" xfId="24333" xr:uid="{00000000-0005-0000-0000-0000C85F0000}"/>
    <cellStyle name="Note 2 2 2 2 2 2 2 2 2" xfId="41201" xr:uid="{D21175A5-6CAE-4C9C-BAFF-EDF3404DA7AB}"/>
    <cellStyle name="Note 2 2 2 2 2 2 2 3" xfId="15898" xr:uid="{00000000-0005-0000-0000-0000C95F0000}"/>
    <cellStyle name="Note 2 2 2 2 2 2 2 4" xfId="32767" xr:uid="{91C14592-D54B-4C30-8E5C-E6B7E401FF1D}"/>
    <cellStyle name="Note 2 2 2 2 2 2 3" xfId="20115" xr:uid="{00000000-0005-0000-0000-0000CA5F0000}"/>
    <cellStyle name="Note 2 2 2 2 2 2 3 2" xfId="36984" xr:uid="{FF14A954-6A8B-4070-BBC0-2D00DC977F3B}"/>
    <cellStyle name="Note 2 2 2 2 2 2 4" xfId="11680" xr:uid="{00000000-0005-0000-0000-0000CB5F0000}"/>
    <cellStyle name="Note 2 2 2 2 2 2 5" xfId="28550" xr:uid="{06AF13FE-34A7-447C-9A09-F9D2AC27C78A}"/>
    <cellStyle name="Note 2 2 2 2 2 3" xfId="5318" xr:uid="{00000000-0005-0000-0000-0000CC5F0000}"/>
    <cellStyle name="Note 2 2 2 2 2 3 2" xfId="22188" xr:uid="{00000000-0005-0000-0000-0000CD5F0000}"/>
    <cellStyle name="Note 2 2 2 2 2 3 2 2" xfId="39056" xr:uid="{D0E4DD2E-0B91-4DBC-ACA1-E8D5DB5F6773}"/>
    <cellStyle name="Note 2 2 2 2 2 3 3" xfId="13753" xr:uid="{00000000-0005-0000-0000-0000CE5F0000}"/>
    <cellStyle name="Note 2 2 2 2 2 3 4" xfId="30622" xr:uid="{1EB19168-C651-46CE-83FC-122CA0F7AB8D}"/>
    <cellStyle name="Note 2 2 2 2 2 4" xfId="17970" xr:uid="{00000000-0005-0000-0000-0000CF5F0000}"/>
    <cellStyle name="Note 2 2 2 2 2 4 2" xfId="34839" xr:uid="{07501EBF-9B7C-437F-846D-82EE1F7FC327}"/>
    <cellStyle name="Note 2 2 2 2 2 5" xfId="9535" xr:uid="{00000000-0005-0000-0000-0000D05F0000}"/>
    <cellStyle name="Note 2 2 2 2 2 6" xfId="26405" xr:uid="{EDD449EA-6A41-47A0-9DF4-945ED6D33064}"/>
    <cellStyle name="Note 2 2 2 2 3" xfId="1423" xr:uid="{00000000-0005-0000-0000-0000D15F0000}"/>
    <cellStyle name="Note 2 2 2 2 3 2" xfId="3653" xr:uid="{00000000-0005-0000-0000-0000D25F0000}"/>
    <cellStyle name="Note 2 2 2 2 3 2 2" xfId="7876" xr:uid="{00000000-0005-0000-0000-0000D35F0000}"/>
    <cellStyle name="Note 2 2 2 2 3 2 2 2" xfId="24746" xr:uid="{00000000-0005-0000-0000-0000D45F0000}"/>
    <cellStyle name="Note 2 2 2 2 3 2 2 2 2" xfId="41614" xr:uid="{3CF3FF81-83DC-44B3-AE36-121E86F2DEAB}"/>
    <cellStyle name="Note 2 2 2 2 3 2 2 3" xfId="16311" xr:uid="{00000000-0005-0000-0000-0000D55F0000}"/>
    <cellStyle name="Note 2 2 2 2 3 2 2 4" xfId="33180" xr:uid="{7973F110-F661-4177-BA6F-2A2C46CD5BF6}"/>
    <cellStyle name="Note 2 2 2 2 3 2 3" xfId="20528" xr:uid="{00000000-0005-0000-0000-0000D65F0000}"/>
    <cellStyle name="Note 2 2 2 2 3 2 3 2" xfId="37397" xr:uid="{F1B8D470-6438-46BD-B022-34F667B71514}"/>
    <cellStyle name="Note 2 2 2 2 3 2 4" xfId="12093" xr:uid="{00000000-0005-0000-0000-0000D75F0000}"/>
    <cellStyle name="Note 2 2 2 2 3 2 5" xfId="28963" xr:uid="{07D70BF7-0BBE-4244-928D-377032539ADB}"/>
    <cellStyle name="Note 2 2 2 2 3 3" xfId="5731" xr:uid="{00000000-0005-0000-0000-0000D85F0000}"/>
    <cellStyle name="Note 2 2 2 2 3 3 2" xfId="22601" xr:uid="{00000000-0005-0000-0000-0000D95F0000}"/>
    <cellStyle name="Note 2 2 2 2 3 3 2 2" xfId="39469" xr:uid="{4426DEBA-8282-4972-BFC4-64218AD2EFA3}"/>
    <cellStyle name="Note 2 2 2 2 3 3 3" xfId="14166" xr:uid="{00000000-0005-0000-0000-0000DA5F0000}"/>
    <cellStyle name="Note 2 2 2 2 3 3 4" xfId="31035" xr:uid="{DFAB1B35-DC4E-47E7-A08D-1813C608F143}"/>
    <cellStyle name="Note 2 2 2 2 3 4" xfId="18383" xr:uid="{00000000-0005-0000-0000-0000DB5F0000}"/>
    <cellStyle name="Note 2 2 2 2 3 4 2" xfId="35252" xr:uid="{D7C4040A-1394-48B0-96A4-05A2C5AFB281}"/>
    <cellStyle name="Note 2 2 2 2 3 5" xfId="9948" xr:uid="{00000000-0005-0000-0000-0000DC5F0000}"/>
    <cellStyle name="Note 2 2 2 2 3 6" xfId="26818" xr:uid="{042525F8-2CE6-4614-B7B1-0229B891872D}"/>
    <cellStyle name="Note 2 2 2 2 4" xfId="1837" xr:uid="{00000000-0005-0000-0000-0000DD5F0000}"/>
    <cellStyle name="Note 2 2 2 2 4 2" xfId="4066" xr:uid="{00000000-0005-0000-0000-0000DE5F0000}"/>
    <cellStyle name="Note 2 2 2 2 4 2 2" xfId="8289" xr:uid="{00000000-0005-0000-0000-0000DF5F0000}"/>
    <cellStyle name="Note 2 2 2 2 4 2 2 2" xfId="25159" xr:uid="{00000000-0005-0000-0000-0000E05F0000}"/>
    <cellStyle name="Note 2 2 2 2 4 2 2 2 2" xfId="42027" xr:uid="{C5860911-3F73-4489-B381-4F6209528C20}"/>
    <cellStyle name="Note 2 2 2 2 4 2 2 3" xfId="16724" xr:uid="{00000000-0005-0000-0000-0000E15F0000}"/>
    <cellStyle name="Note 2 2 2 2 4 2 2 4" xfId="33593" xr:uid="{F65F1BD7-226A-4C1F-8416-B3B5547274C1}"/>
    <cellStyle name="Note 2 2 2 2 4 2 3" xfId="20941" xr:uid="{00000000-0005-0000-0000-0000E25F0000}"/>
    <cellStyle name="Note 2 2 2 2 4 2 3 2" xfId="37810" xr:uid="{B44401C7-AA78-4DA2-B0E1-DA97584F23EC}"/>
    <cellStyle name="Note 2 2 2 2 4 2 4" xfId="12506" xr:uid="{00000000-0005-0000-0000-0000E35F0000}"/>
    <cellStyle name="Note 2 2 2 2 4 2 5" xfId="29376" xr:uid="{2592AE8E-0126-4E1C-AAF8-307F461D5A96}"/>
    <cellStyle name="Note 2 2 2 2 4 3" xfId="6144" xr:uid="{00000000-0005-0000-0000-0000E45F0000}"/>
    <cellStyle name="Note 2 2 2 2 4 3 2" xfId="23014" xr:uid="{00000000-0005-0000-0000-0000E55F0000}"/>
    <cellStyle name="Note 2 2 2 2 4 3 2 2" xfId="39882" xr:uid="{7DC62EC7-BD0A-4E8A-95C6-F45D392F4DA0}"/>
    <cellStyle name="Note 2 2 2 2 4 3 3" xfId="14579" xr:uid="{00000000-0005-0000-0000-0000E65F0000}"/>
    <cellStyle name="Note 2 2 2 2 4 3 4" xfId="31448" xr:uid="{E8D0EF1C-7FEE-4604-A00E-170C1A381838}"/>
    <cellStyle name="Note 2 2 2 2 4 4" xfId="18796" xr:uid="{00000000-0005-0000-0000-0000E75F0000}"/>
    <cellStyle name="Note 2 2 2 2 4 4 2" xfId="35665" xr:uid="{B2006BB7-7426-4F32-B19B-A54C8C28E933}"/>
    <cellStyle name="Note 2 2 2 2 4 5" xfId="10361" xr:uid="{00000000-0005-0000-0000-0000E85F0000}"/>
    <cellStyle name="Note 2 2 2 2 4 6" xfId="27231" xr:uid="{ED29DEC9-2352-485E-BCB4-B2BB63989208}"/>
    <cellStyle name="Note 2 2 2 2 5" xfId="2250" xr:uid="{00000000-0005-0000-0000-0000E95F0000}"/>
    <cellStyle name="Note 2 2 2 2 5 2" xfId="4479" xr:uid="{00000000-0005-0000-0000-0000EA5F0000}"/>
    <cellStyle name="Note 2 2 2 2 5 2 2" xfId="8702" xr:uid="{00000000-0005-0000-0000-0000EB5F0000}"/>
    <cellStyle name="Note 2 2 2 2 5 2 2 2" xfId="25572" xr:uid="{00000000-0005-0000-0000-0000EC5F0000}"/>
    <cellStyle name="Note 2 2 2 2 5 2 2 2 2" xfId="42440" xr:uid="{B41BFC57-5735-4F77-9E5D-7C0D5C865B3A}"/>
    <cellStyle name="Note 2 2 2 2 5 2 2 3" xfId="17137" xr:uid="{00000000-0005-0000-0000-0000ED5F0000}"/>
    <cellStyle name="Note 2 2 2 2 5 2 2 4" xfId="34006" xr:uid="{3B2A33C8-F9B4-4795-981D-BE93268164BB}"/>
    <cellStyle name="Note 2 2 2 2 5 2 3" xfId="21354" xr:uid="{00000000-0005-0000-0000-0000EE5F0000}"/>
    <cellStyle name="Note 2 2 2 2 5 2 3 2" xfId="38223" xr:uid="{F7D60A9B-3FD1-4F01-A48B-114E05F37035}"/>
    <cellStyle name="Note 2 2 2 2 5 2 4" xfId="12919" xr:uid="{00000000-0005-0000-0000-0000EF5F0000}"/>
    <cellStyle name="Note 2 2 2 2 5 2 5" xfId="29789" xr:uid="{8912710E-73C5-4FC0-961E-14F361CC66DC}"/>
    <cellStyle name="Note 2 2 2 2 5 3" xfId="6557" xr:uid="{00000000-0005-0000-0000-0000F05F0000}"/>
    <cellStyle name="Note 2 2 2 2 5 3 2" xfId="23427" xr:uid="{00000000-0005-0000-0000-0000F15F0000}"/>
    <cellStyle name="Note 2 2 2 2 5 3 2 2" xfId="40295" xr:uid="{4DEFFF98-E713-4448-84D6-371F48627152}"/>
    <cellStyle name="Note 2 2 2 2 5 3 3" xfId="14992" xr:uid="{00000000-0005-0000-0000-0000F25F0000}"/>
    <cellStyle name="Note 2 2 2 2 5 3 4" xfId="31861" xr:uid="{AF1E71B5-D422-4BCD-A8DD-F44B6284D76A}"/>
    <cellStyle name="Note 2 2 2 2 5 4" xfId="19209" xr:uid="{00000000-0005-0000-0000-0000F35F0000}"/>
    <cellStyle name="Note 2 2 2 2 5 4 2" xfId="36078" xr:uid="{A8C6A06F-B84B-4BDD-99F5-178252B147D5}"/>
    <cellStyle name="Note 2 2 2 2 5 5" xfId="10774" xr:uid="{00000000-0005-0000-0000-0000F45F0000}"/>
    <cellStyle name="Note 2 2 2 2 5 6" xfId="27644" xr:uid="{82C8F138-D8F0-4F28-ACAC-DD4C529A1CAC}"/>
    <cellStyle name="Note 2 2 2 2 6" xfId="2686" xr:uid="{00000000-0005-0000-0000-0000F55F0000}"/>
    <cellStyle name="Note 2 2 2 2 6 2" xfId="6970" xr:uid="{00000000-0005-0000-0000-0000F65F0000}"/>
    <cellStyle name="Note 2 2 2 2 6 2 2" xfId="23840" xr:uid="{00000000-0005-0000-0000-0000F75F0000}"/>
    <cellStyle name="Note 2 2 2 2 6 2 2 2" xfId="40708" xr:uid="{97C176E6-4E54-4ECD-996C-57A5884B4F08}"/>
    <cellStyle name="Note 2 2 2 2 6 2 3" xfId="15405" xr:uid="{00000000-0005-0000-0000-0000F85F0000}"/>
    <cellStyle name="Note 2 2 2 2 6 2 4" xfId="32274" xr:uid="{8977F894-BCDB-4E45-BB0C-B11F971F4E79}"/>
    <cellStyle name="Note 2 2 2 2 6 3" xfId="19622" xr:uid="{00000000-0005-0000-0000-0000F95F0000}"/>
    <cellStyle name="Note 2 2 2 2 6 3 2" xfId="36491" xr:uid="{A8044037-86C6-4149-890E-FE9AF7B026C7}"/>
    <cellStyle name="Note 2 2 2 2 6 4" xfId="11187" xr:uid="{00000000-0005-0000-0000-0000FA5F0000}"/>
    <cellStyle name="Note 2 2 2 2 6 5" xfId="28057" xr:uid="{62CA98EF-6CD9-49B9-A366-220B13CC01DC}"/>
    <cellStyle name="Note 2 2 2 2 7" xfId="2745" xr:uid="{00000000-0005-0000-0000-0000FB5F0000}"/>
    <cellStyle name="Note 2 2 2 2 8" xfId="2826" xr:uid="{00000000-0005-0000-0000-0000FC5F0000}"/>
    <cellStyle name="Note 2 2 2 2 8 2" xfId="7050" xr:uid="{00000000-0005-0000-0000-0000FD5F0000}"/>
    <cellStyle name="Note 2 2 2 2 8 2 2" xfId="23920" xr:uid="{00000000-0005-0000-0000-0000FE5F0000}"/>
    <cellStyle name="Note 2 2 2 2 8 2 2 2" xfId="40788" xr:uid="{6A6DA54F-4DE3-4CFE-8FF0-607EAEE762F7}"/>
    <cellStyle name="Note 2 2 2 2 8 2 3" xfId="15485" xr:uid="{00000000-0005-0000-0000-0000FF5F0000}"/>
    <cellStyle name="Note 2 2 2 2 8 2 4" xfId="32354" xr:uid="{8CC4DA0E-066B-4152-ADA7-34464BFCBF35}"/>
    <cellStyle name="Note 2 2 2 2 8 3" xfId="19702" xr:uid="{00000000-0005-0000-0000-000000600000}"/>
    <cellStyle name="Note 2 2 2 2 8 3 2" xfId="36571" xr:uid="{2B82F86F-4326-4B83-82B4-CA7ABD3BFC50}"/>
    <cellStyle name="Note 2 2 2 2 8 4" xfId="11267" xr:uid="{00000000-0005-0000-0000-000001600000}"/>
    <cellStyle name="Note 2 2 2 2 8 5" xfId="28137" xr:uid="{9EDFAB66-EF7D-4444-BCFA-82C5EF6DB879}"/>
    <cellStyle name="Note 2 2 2 2 9" xfId="4905" xr:uid="{00000000-0005-0000-0000-000002600000}"/>
    <cellStyle name="Note 2 2 2 2 9 2" xfId="21775" xr:uid="{00000000-0005-0000-0000-000003600000}"/>
    <cellStyle name="Note 2 2 2 2 9 2 2" xfId="38643" xr:uid="{B61CD21B-6D49-46AA-A095-6777D14AEBE8}"/>
    <cellStyle name="Note 2 2 2 2 9 3" xfId="13340" xr:uid="{00000000-0005-0000-0000-000004600000}"/>
    <cellStyle name="Note 2 2 2 2 9 4" xfId="30209" xr:uid="{0E9B24A3-ABA4-430D-BB78-2AFFB9C96556}"/>
    <cellStyle name="Note 2 2 2 3" xfId="1007" xr:uid="{00000000-0005-0000-0000-000005600000}"/>
    <cellStyle name="Note 2 2 2 3 2" xfId="3239" xr:uid="{00000000-0005-0000-0000-000006600000}"/>
    <cellStyle name="Note 2 2 2 3 2 2" xfId="7462" xr:uid="{00000000-0005-0000-0000-000007600000}"/>
    <cellStyle name="Note 2 2 2 3 2 2 2" xfId="24332" xr:uid="{00000000-0005-0000-0000-000008600000}"/>
    <cellStyle name="Note 2 2 2 3 2 2 2 2" xfId="41200" xr:uid="{CFAB8D59-EB0B-43D7-9FCA-549C3029B8D7}"/>
    <cellStyle name="Note 2 2 2 3 2 2 3" xfId="15897" xr:uid="{00000000-0005-0000-0000-000009600000}"/>
    <cellStyle name="Note 2 2 2 3 2 2 4" xfId="32766" xr:uid="{43C0CA08-C6F8-4DD2-A6D4-A1F207FB7F84}"/>
    <cellStyle name="Note 2 2 2 3 2 3" xfId="20114" xr:uid="{00000000-0005-0000-0000-00000A600000}"/>
    <cellStyle name="Note 2 2 2 3 2 3 2" xfId="36983" xr:uid="{9B8184DD-1F15-46D7-828C-79C56A8992EC}"/>
    <cellStyle name="Note 2 2 2 3 2 4" xfId="11679" xr:uid="{00000000-0005-0000-0000-00000B600000}"/>
    <cellStyle name="Note 2 2 2 3 2 5" xfId="28549" xr:uid="{779752D8-C0CE-4430-93DF-0F813C9F166E}"/>
    <cellStyle name="Note 2 2 2 3 3" xfId="5317" xr:uid="{00000000-0005-0000-0000-00000C600000}"/>
    <cellStyle name="Note 2 2 2 3 3 2" xfId="22187" xr:uid="{00000000-0005-0000-0000-00000D600000}"/>
    <cellStyle name="Note 2 2 2 3 3 2 2" xfId="39055" xr:uid="{886734CB-77CF-4560-9F8A-0FC02438706D}"/>
    <cellStyle name="Note 2 2 2 3 3 3" xfId="13752" xr:uid="{00000000-0005-0000-0000-00000E600000}"/>
    <cellStyle name="Note 2 2 2 3 3 4" xfId="30621" xr:uid="{DC833B0B-379D-434C-9255-5ACC1B9080B0}"/>
    <cellStyle name="Note 2 2 2 3 4" xfId="17969" xr:uid="{00000000-0005-0000-0000-00000F600000}"/>
    <cellStyle name="Note 2 2 2 3 4 2" xfId="34838" xr:uid="{309B5B33-BCDD-4441-BC6C-5F5A152E16FC}"/>
    <cellStyle name="Note 2 2 2 3 5" xfId="9534" xr:uid="{00000000-0005-0000-0000-000010600000}"/>
    <cellStyle name="Note 2 2 2 3 6" xfId="26404" xr:uid="{3674EA8F-F097-4740-8B7E-5A514EC3CB77}"/>
    <cellStyle name="Note 2 2 2 4" xfId="1422" xr:uid="{00000000-0005-0000-0000-000011600000}"/>
    <cellStyle name="Note 2 2 2 4 2" xfId="3652" xr:uid="{00000000-0005-0000-0000-000012600000}"/>
    <cellStyle name="Note 2 2 2 4 2 2" xfId="7875" xr:uid="{00000000-0005-0000-0000-000013600000}"/>
    <cellStyle name="Note 2 2 2 4 2 2 2" xfId="24745" xr:uid="{00000000-0005-0000-0000-000014600000}"/>
    <cellStyle name="Note 2 2 2 4 2 2 2 2" xfId="41613" xr:uid="{AECCC6D3-4122-4FF7-8500-B1F817BF44B0}"/>
    <cellStyle name="Note 2 2 2 4 2 2 3" xfId="16310" xr:uid="{00000000-0005-0000-0000-000015600000}"/>
    <cellStyle name="Note 2 2 2 4 2 2 4" xfId="33179" xr:uid="{1E0C6D8D-7D8D-4B0E-8664-A52316EC6610}"/>
    <cellStyle name="Note 2 2 2 4 2 3" xfId="20527" xr:uid="{00000000-0005-0000-0000-000016600000}"/>
    <cellStyle name="Note 2 2 2 4 2 3 2" xfId="37396" xr:uid="{5D5657B8-6417-4D1E-ABF6-1D0CE252555F}"/>
    <cellStyle name="Note 2 2 2 4 2 4" xfId="12092" xr:uid="{00000000-0005-0000-0000-000017600000}"/>
    <cellStyle name="Note 2 2 2 4 2 5" xfId="28962" xr:uid="{858CF8A3-E6AA-4045-B4E1-13645BFB01CC}"/>
    <cellStyle name="Note 2 2 2 4 3" xfId="5730" xr:uid="{00000000-0005-0000-0000-000018600000}"/>
    <cellStyle name="Note 2 2 2 4 3 2" xfId="22600" xr:uid="{00000000-0005-0000-0000-000019600000}"/>
    <cellStyle name="Note 2 2 2 4 3 2 2" xfId="39468" xr:uid="{2BA96FEE-51DD-4FAE-AE3B-86E268BA326F}"/>
    <cellStyle name="Note 2 2 2 4 3 3" xfId="14165" xr:uid="{00000000-0005-0000-0000-00001A600000}"/>
    <cellStyle name="Note 2 2 2 4 3 4" xfId="31034" xr:uid="{8BEC7570-5BB4-416A-A83B-9F0941A2C7F4}"/>
    <cellStyle name="Note 2 2 2 4 4" xfId="18382" xr:uid="{00000000-0005-0000-0000-00001B600000}"/>
    <cellStyle name="Note 2 2 2 4 4 2" xfId="35251" xr:uid="{CBE1BE9E-8E7F-4FDE-80BE-89E19A820661}"/>
    <cellStyle name="Note 2 2 2 4 5" xfId="9947" xr:uid="{00000000-0005-0000-0000-00001C600000}"/>
    <cellStyle name="Note 2 2 2 4 6" xfId="26817" xr:uid="{927B3812-9F01-4FDA-AE44-57E5D69670C3}"/>
    <cellStyle name="Note 2 2 2 5" xfId="1836" xr:uid="{00000000-0005-0000-0000-00001D600000}"/>
    <cellStyle name="Note 2 2 2 5 2" xfId="4065" xr:uid="{00000000-0005-0000-0000-00001E600000}"/>
    <cellStyle name="Note 2 2 2 5 2 2" xfId="8288" xr:uid="{00000000-0005-0000-0000-00001F600000}"/>
    <cellStyle name="Note 2 2 2 5 2 2 2" xfId="25158" xr:uid="{00000000-0005-0000-0000-000020600000}"/>
    <cellStyle name="Note 2 2 2 5 2 2 2 2" xfId="42026" xr:uid="{4E8C3D45-28A5-452C-9A92-3CB00BFC2469}"/>
    <cellStyle name="Note 2 2 2 5 2 2 3" xfId="16723" xr:uid="{00000000-0005-0000-0000-000021600000}"/>
    <cellStyle name="Note 2 2 2 5 2 2 4" xfId="33592" xr:uid="{224F82DC-6CD3-4F79-9FD9-B890668C1D36}"/>
    <cellStyle name="Note 2 2 2 5 2 3" xfId="20940" xr:uid="{00000000-0005-0000-0000-000022600000}"/>
    <cellStyle name="Note 2 2 2 5 2 3 2" xfId="37809" xr:uid="{D8D1984B-2D22-42FD-B495-0733766E17ED}"/>
    <cellStyle name="Note 2 2 2 5 2 4" xfId="12505" xr:uid="{00000000-0005-0000-0000-000023600000}"/>
    <cellStyle name="Note 2 2 2 5 2 5" xfId="29375" xr:uid="{F760D6EE-AC88-4956-A688-41533058D5B9}"/>
    <cellStyle name="Note 2 2 2 5 3" xfId="6143" xr:uid="{00000000-0005-0000-0000-000024600000}"/>
    <cellStyle name="Note 2 2 2 5 3 2" xfId="23013" xr:uid="{00000000-0005-0000-0000-000025600000}"/>
    <cellStyle name="Note 2 2 2 5 3 2 2" xfId="39881" xr:uid="{A33A5952-8D56-495B-B326-3BA040AA4D13}"/>
    <cellStyle name="Note 2 2 2 5 3 3" xfId="14578" xr:uid="{00000000-0005-0000-0000-000026600000}"/>
    <cellStyle name="Note 2 2 2 5 3 4" xfId="31447" xr:uid="{FA541494-F612-4E03-B6E8-B174A725CA7A}"/>
    <cellStyle name="Note 2 2 2 5 4" xfId="18795" xr:uid="{00000000-0005-0000-0000-000027600000}"/>
    <cellStyle name="Note 2 2 2 5 4 2" xfId="35664" xr:uid="{4B9FA6A8-3FFB-4845-83B4-87F72E035D6F}"/>
    <cellStyle name="Note 2 2 2 5 5" xfId="10360" xr:uid="{00000000-0005-0000-0000-000028600000}"/>
    <cellStyle name="Note 2 2 2 5 6" xfId="27230" xr:uid="{0F31B787-C8C7-4229-9F06-97DE6F481D10}"/>
    <cellStyle name="Note 2 2 2 6" xfId="2249" xr:uid="{00000000-0005-0000-0000-000029600000}"/>
    <cellStyle name="Note 2 2 2 6 2" xfId="4478" xr:uid="{00000000-0005-0000-0000-00002A600000}"/>
    <cellStyle name="Note 2 2 2 6 2 2" xfId="8701" xr:uid="{00000000-0005-0000-0000-00002B600000}"/>
    <cellStyle name="Note 2 2 2 6 2 2 2" xfId="25571" xr:uid="{00000000-0005-0000-0000-00002C600000}"/>
    <cellStyle name="Note 2 2 2 6 2 2 2 2" xfId="42439" xr:uid="{BA7BAB96-6AF0-4C60-8C35-4F3D205A9DAB}"/>
    <cellStyle name="Note 2 2 2 6 2 2 3" xfId="17136" xr:uid="{00000000-0005-0000-0000-00002D600000}"/>
    <cellStyle name="Note 2 2 2 6 2 2 4" xfId="34005" xr:uid="{758B79DF-7307-40F3-A790-2B33E13E3FE8}"/>
    <cellStyle name="Note 2 2 2 6 2 3" xfId="21353" xr:uid="{00000000-0005-0000-0000-00002E600000}"/>
    <cellStyle name="Note 2 2 2 6 2 3 2" xfId="38222" xr:uid="{2888D1BB-4B3A-4795-8215-79399E08C1EF}"/>
    <cellStyle name="Note 2 2 2 6 2 4" xfId="12918" xr:uid="{00000000-0005-0000-0000-00002F600000}"/>
    <cellStyle name="Note 2 2 2 6 2 5" xfId="29788" xr:uid="{3CC88227-BEC3-4C0A-8771-0F8BB3A9047E}"/>
    <cellStyle name="Note 2 2 2 6 3" xfId="6556" xr:uid="{00000000-0005-0000-0000-000030600000}"/>
    <cellStyle name="Note 2 2 2 6 3 2" xfId="23426" xr:uid="{00000000-0005-0000-0000-000031600000}"/>
    <cellStyle name="Note 2 2 2 6 3 2 2" xfId="40294" xr:uid="{9136F4CB-FDD6-4523-B76D-3E9F6EF0E522}"/>
    <cellStyle name="Note 2 2 2 6 3 3" xfId="14991" xr:uid="{00000000-0005-0000-0000-000032600000}"/>
    <cellStyle name="Note 2 2 2 6 3 4" xfId="31860" xr:uid="{9BC9B796-054D-4E97-9E50-5BFAE1788A7E}"/>
    <cellStyle name="Note 2 2 2 6 4" xfId="19208" xr:uid="{00000000-0005-0000-0000-000033600000}"/>
    <cellStyle name="Note 2 2 2 6 4 2" xfId="36077" xr:uid="{3222B7C3-2B0A-4540-867F-924FBA02AA3A}"/>
    <cellStyle name="Note 2 2 2 6 5" xfId="10773" xr:uid="{00000000-0005-0000-0000-000034600000}"/>
    <cellStyle name="Note 2 2 2 6 6" xfId="27643" xr:uid="{FE246D03-E2BC-44AA-978B-648C47A59F8B}"/>
    <cellStyle name="Note 2 2 2 7" xfId="2685" xr:uid="{00000000-0005-0000-0000-000035600000}"/>
    <cellStyle name="Note 2 2 2 7 2" xfId="6969" xr:uid="{00000000-0005-0000-0000-000036600000}"/>
    <cellStyle name="Note 2 2 2 7 2 2" xfId="23839" xr:uid="{00000000-0005-0000-0000-000037600000}"/>
    <cellStyle name="Note 2 2 2 7 2 2 2" xfId="40707" xr:uid="{5319EA0E-160C-4058-B76C-AE50C3631C78}"/>
    <cellStyle name="Note 2 2 2 7 2 3" xfId="15404" xr:uid="{00000000-0005-0000-0000-000038600000}"/>
    <cellStyle name="Note 2 2 2 7 2 4" xfId="32273" xr:uid="{4B150D3B-A8AB-4830-BF31-A183AEE4BD80}"/>
    <cellStyle name="Note 2 2 2 7 3" xfId="19621" xr:uid="{00000000-0005-0000-0000-000039600000}"/>
    <cellStyle name="Note 2 2 2 7 3 2" xfId="36490" xr:uid="{F09C3249-67DA-4175-A27D-4FEAA66E5943}"/>
    <cellStyle name="Note 2 2 2 7 4" xfId="11186" xr:uid="{00000000-0005-0000-0000-00003A600000}"/>
    <cellStyle name="Note 2 2 2 7 5" xfId="28056" xr:uid="{A3D4A821-A2A5-4F24-B7CF-E88DA3262F20}"/>
    <cellStyle name="Note 2 2 2 8" xfId="2744" xr:uid="{00000000-0005-0000-0000-00003B600000}"/>
    <cellStyle name="Note 2 2 2 9" xfId="2825" xr:uid="{00000000-0005-0000-0000-00003C600000}"/>
    <cellStyle name="Note 2 2 2 9 2" xfId="7049" xr:uid="{00000000-0005-0000-0000-00003D600000}"/>
    <cellStyle name="Note 2 2 2 9 2 2" xfId="23919" xr:uid="{00000000-0005-0000-0000-00003E600000}"/>
    <cellStyle name="Note 2 2 2 9 2 2 2" xfId="40787" xr:uid="{76980169-EC1A-4750-A43F-081FB8BA334E}"/>
    <cellStyle name="Note 2 2 2 9 2 3" xfId="15484" xr:uid="{00000000-0005-0000-0000-00003F600000}"/>
    <cellStyle name="Note 2 2 2 9 2 4" xfId="32353" xr:uid="{03B0494C-6196-4068-BCC4-16843E265803}"/>
    <cellStyle name="Note 2 2 2 9 3" xfId="19701" xr:uid="{00000000-0005-0000-0000-000040600000}"/>
    <cellStyle name="Note 2 2 2 9 3 2" xfId="36570" xr:uid="{BC1042A5-4C5E-4CB1-BDAA-DFE654715AE1}"/>
    <cellStyle name="Note 2 2 2 9 4" xfId="11266" xr:uid="{00000000-0005-0000-0000-000041600000}"/>
    <cellStyle name="Note 2 2 2 9 5" xfId="28136" xr:uid="{81E7C1A4-98CA-4CED-9EEE-9D3E4D257EDF}"/>
    <cellStyle name="Note 2 2 3" xfId="548" xr:uid="{00000000-0005-0000-0000-000042600000}"/>
    <cellStyle name="Note 2 2 3 10" xfId="17558" xr:uid="{00000000-0005-0000-0000-000043600000}"/>
    <cellStyle name="Note 2 2 3 10 2" xfId="34427" xr:uid="{A1FF693B-3B66-48B6-8964-7A387B3620DE}"/>
    <cellStyle name="Note 2 2 3 11" xfId="9123" xr:uid="{00000000-0005-0000-0000-000044600000}"/>
    <cellStyle name="Note 2 2 3 12" xfId="25993" xr:uid="{BB0DD120-C300-401D-AF77-7ED7240F295D}"/>
    <cellStyle name="Note 2 2 3 2" xfId="1009" xr:uid="{00000000-0005-0000-0000-000045600000}"/>
    <cellStyle name="Note 2 2 3 2 2" xfId="3241" xr:uid="{00000000-0005-0000-0000-000046600000}"/>
    <cellStyle name="Note 2 2 3 2 2 2" xfId="7464" xr:uid="{00000000-0005-0000-0000-000047600000}"/>
    <cellStyle name="Note 2 2 3 2 2 2 2" xfId="24334" xr:uid="{00000000-0005-0000-0000-000048600000}"/>
    <cellStyle name="Note 2 2 3 2 2 2 2 2" xfId="41202" xr:uid="{4957F198-1503-4FBC-B775-4D1639655AB5}"/>
    <cellStyle name="Note 2 2 3 2 2 2 3" xfId="15899" xr:uid="{00000000-0005-0000-0000-000049600000}"/>
    <cellStyle name="Note 2 2 3 2 2 2 4" xfId="32768" xr:uid="{9E9C71B6-25C1-447E-B2F2-6160836BFBF2}"/>
    <cellStyle name="Note 2 2 3 2 2 3" xfId="20116" xr:uid="{00000000-0005-0000-0000-00004A600000}"/>
    <cellStyle name="Note 2 2 3 2 2 3 2" xfId="36985" xr:uid="{EA4F6CCE-D6B6-4F67-AFAC-976A932C8DE4}"/>
    <cellStyle name="Note 2 2 3 2 2 4" xfId="11681" xr:uid="{00000000-0005-0000-0000-00004B600000}"/>
    <cellStyle name="Note 2 2 3 2 2 5" xfId="28551" xr:uid="{1CCB3874-ACBE-4165-91F0-8D9CB6740C18}"/>
    <cellStyle name="Note 2 2 3 2 3" xfId="5319" xr:uid="{00000000-0005-0000-0000-00004C600000}"/>
    <cellStyle name="Note 2 2 3 2 3 2" xfId="22189" xr:uid="{00000000-0005-0000-0000-00004D600000}"/>
    <cellStyle name="Note 2 2 3 2 3 2 2" xfId="39057" xr:uid="{4D302847-B610-480F-9FD0-159DB73BF276}"/>
    <cellStyle name="Note 2 2 3 2 3 3" xfId="13754" xr:uid="{00000000-0005-0000-0000-00004E600000}"/>
    <cellStyle name="Note 2 2 3 2 3 4" xfId="30623" xr:uid="{4A0652EE-8BBB-4B5C-802E-E4B56C570A4C}"/>
    <cellStyle name="Note 2 2 3 2 4" xfId="17971" xr:uid="{00000000-0005-0000-0000-00004F600000}"/>
    <cellStyle name="Note 2 2 3 2 4 2" xfId="34840" xr:uid="{51235688-7411-48E3-8A89-549E478BA64F}"/>
    <cellStyle name="Note 2 2 3 2 5" xfId="9536" xr:uid="{00000000-0005-0000-0000-000050600000}"/>
    <cellStyle name="Note 2 2 3 2 6" xfId="26406" xr:uid="{E80D4DFA-CAD2-47DE-BDD8-E6E0F403E6A3}"/>
    <cellStyle name="Note 2 2 3 3" xfId="1424" xr:uid="{00000000-0005-0000-0000-000051600000}"/>
    <cellStyle name="Note 2 2 3 3 2" xfId="3654" xr:uid="{00000000-0005-0000-0000-000052600000}"/>
    <cellStyle name="Note 2 2 3 3 2 2" xfId="7877" xr:uid="{00000000-0005-0000-0000-000053600000}"/>
    <cellStyle name="Note 2 2 3 3 2 2 2" xfId="24747" xr:uid="{00000000-0005-0000-0000-000054600000}"/>
    <cellStyle name="Note 2 2 3 3 2 2 2 2" xfId="41615" xr:uid="{897871BC-CAA8-4AA3-A877-088CF735E1E2}"/>
    <cellStyle name="Note 2 2 3 3 2 2 3" xfId="16312" xr:uid="{00000000-0005-0000-0000-000055600000}"/>
    <cellStyle name="Note 2 2 3 3 2 2 4" xfId="33181" xr:uid="{BFEB0B4F-E381-464C-BEDC-268753B90E30}"/>
    <cellStyle name="Note 2 2 3 3 2 3" xfId="20529" xr:uid="{00000000-0005-0000-0000-000056600000}"/>
    <cellStyle name="Note 2 2 3 3 2 3 2" xfId="37398" xr:uid="{B6C5D7B4-E22D-428C-B094-383A834E33BC}"/>
    <cellStyle name="Note 2 2 3 3 2 4" xfId="12094" xr:uid="{00000000-0005-0000-0000-000057600000}"/>
    <cellStyle name="Note 2 2 3 3 2 5" xfId="28964" xr:uid="{A828C124-6133-45BE-BD66-1196059AB52C}"/>
    <cellStyle name="Note 2 2 3 3 3" xfId="5732" xr:uid="{00000000-0005-0000-0000-000058600000}"/>
    <cellStyle name="Note 2 2 3 3 3 2" xfId="22602" xr:uid="{00000000-0005-0000-0000-000059600000}"/>
    <cellStyle name="Note 2 2 3 3 3 2 2" xfId="39470" xr:uid="{D7C211D8-0624-4581-A5D7-A0D86A8E6630}"/>
    <cellStyle name="Note 2 2 3 3 3 3" xfId="14167" xr:uid="{00000000-0005-0000-0000-00005A600000}"/>
    <cellStyle name="Note 2 2 3 3 3 4" xfId="31036" xr:uid="{F4356BC5-3260-4FBE-822E-7B096DAAF04D}"/>
    <cellStyle name="Note 2 2 3 3 4" xfId="18384" xr:uid="{00000000-0005-0000-0000-00005B600000}"/>
    <cellStyle name="Note 2 2 3 3 4 2" xfId="35253" xr:uid="{8A3427DA-EC94-4832-A2B8-C85ED22826B9}"/>
    <cellStyle name="Note 2 2 3 3 5" xfId="9949" xr:uid="{00000000-0005-0000-0000-00005C600000}"/>
    <cellStyle name="Note 2 2 3 3 6" xfId="26819" xr:uid="{898F992D-F773-41B0-9533-7DB4DD35FACC}"/>
    <cellStyle name="Note 2 2 3 4" xfId="1838" xr:uid="{00000000-0005-0000-0000-00005D600000}"/>
    <cellStyle name="Note 2 2 3 4 2" xfId="4067" xr:uid="{00000000-0005-0000-0000-00005E600000}"/>
    <cellStyle name="Note 2 2 3 4 2 2" xfId="8290" xr:uid="{00000000-0005-0000-0000-00005F600000}"/>
    <cellStyle name="Note 2 2 3 4 2 2 2" xfId="25160" xr:uid="{00000000-0005-0000-0000-000060600000}"/>
    <cellStyle name="Note 2 2 3 4 2 2 2 2" xfId="42028" xr:uid="{F533525E-E554-41BB-9476-9E45964CEEBB}"/>
    <cellStyle name="Note 2 2 3 4 2 2 3" xfId="16725" xr:uid="{00000000-0005-0000-0000-000061600000}"/>
    <cellStyle name="Note 2 2 3 4 2 2 4" xfId="33594" xr:uid="{661B8E4C-19DA-49F0-BF0E-8DC08C6D6A5F}"/>
    <cellStyle name="Note 2 2 3 4 2 3" xfId="20942" xr:uid="{00000000-0005-0000-0000-000062600000}"/>
    <cellStyle name="Note 2 2 3 4 2 3 2" xfId="37811" xr:uid="{CD2CB742-CCB6-48CE-8976-D4EE4B5CD19E}"/>
    <cellStyle name="Note 2 2 3 4 2 4" xfId="12507" xr:uid="{00000000-0005-0000-0000-000063600000}"/>
    <cellStyle name="Note 2 2 3 4 2 5" xfId="29377" xr:uid="{094850BC-B36B-4DC4-9DE4-F5CDB394A702}"/>
    <cellStyle name="Note 2 2 3 4 3" xfId="6145" xr:uid="{00000000-0005-0000-0000-000064600000}"/>
    <cellStyle name="Note 2 2 3 4 3 2" xfId="23015" xr:uid="{00000000-0005-0000-0000-000065600000}"/>
    <cellStyle name="Note 2 2 3 4 3 2 2" xfId="39883" xr:uid="{5F02A7C2-D0E6-4257-9F8C-48AC20BC909A}"/>
    <cellStyle name="Note 2 2 3 4 3 3" xfId="14580" xr:uid="{00000000-0005-0000-0000-000066600000}"/>
    <cellStyle name="Note 2 2 3 4 3 4" xfId="31449" xr:uid="{499B443E-3C33-41D8-9595-7FB69156C398}"/>
    <cellStyle name="Note 2 2 3 4 4" xfId="18797" xr:uid="{00000000-0005-0000-0000-000067600000}"/>
    <cellStyle name="Note 2 2 3 4 4 2" xfId="35666" xr:uid="{6A3F801E-2A63-4DED-A2D7-6E6CAE62B883}"/>
    <cellStyle name="Note 2 2 3 4 5" xfId="10362" xr:uid="{00000000-0005-0000-0000-000068600000}"/>
    <cellStyle name="Note 2 2 3 4 6" xfId="27232" xr:uid="{5960229B-0B4A-4BCA-8DFF-F8DC481CF047}"/>
    <cellStyle name="Note 2 2 3 5" xfId="2251" xr:uid="{00000000-0005-0000-0000-000069600000}"/>
    <cellStyle name="Note 2 2 3 5 2" xfId="4480" xr:uid="{00000000-0005-0000-0000-00006A600000}"/>
    <cellStyle name="Note 2 2 3 5 2 2" xfId="8703" xr:uid="{00000000-0005-0000-0000-00006B600000}"/>
    <cellStyle name="Note 2 2 3 5 2 2 2" xfId="25573" xr:uid="{00000000-0005-0000-0000-00006C600000}"/>
    <cellStyle name="Note 2 2 3 5 2 2 2 2" xfId="42441" xr:uid="{7F7E7EF8-9F70-4FDB-9093-3BC822CF5634}"/>
    <cellStyle name="Note 2 2 3 5 2 2 3" xfId="17138" xr:uid="{00000000-0005-0000-0000-00006D600000}"/>
    <cellStyle name="Note 2 2 3 5 2 2 4" xfId="34007" xr:uid="{25264774-9EBE-4382-82B9-2BDAB6450330}"/>
    <cellStyle name="Note 2 2 3 5 2 3" xfId="21355" xr:uid="{00000000-0005-0000-0000-00006E600000}"/>
    <cellStyle name="Note 2 2 3 5 2 3 2" xfId="38224" xr:uid="{F3DE6F9F-F531-497F-AAB5-E37238BFCAC2}"/>
    <cellStyle name="Note 2 2 3 5 2 4" xfId="12920" xr:uid="{00000000-0005-0000-0000-00006F600000}"/>
    <cellStyle name="Note 2 2 3 5 2 5" xfId="29790" xr:uid="{E2CFAE86-71A0-4F60-828E-BD67A3922ED2}"/>
    <cellStyle name="Note 2 2 3 5 3" xfId="6558" xr:uid="{00000000-0005-0000-0000-000070600000}"/>
    <cellStyle name="Note 2 2 3 5 3 2" xfId="23428" xr:uid="{00000000-0005-0000-0000-000071600000}"/>
    <cellStyle name="Note 2 2 3 5 3 2 2" xfId="40296" xr:uid="{D092CEA6-2B4C-4F06-83FD-91FA8ABCE6E6}"/>
    <cellStyle name="Note 2 2 3 5 3 3" xfId="14993" xr:uid="{00000000-0005-0000-0000-000072600000}"/>
    <cellStyle name="Note 2 2 3 5 3 4" xfId="31862" xr:uid="{E9A47BC0-C4D0-4E70-8F07-F16C72829D6E}"/>
    <cellStyle name="Note 2 2 3 5 4" xfId="19210" xr:uid="{00000000-0005-0000-0000-000073600000}"/>
    <cellStyle name="Note 2 2 3 5 4 2" xfId="36079" xr:uid="{5E5E1884-9D16-407E-96F9-74CE2719309C}"/>
    <cellStyle name="Note 2 2 3 5 5" xfId="10775" xr:uid="{00000000-0005-0000-0000-000074600000}"/>
    <cellStyle name="Note 2 2 3 5 6" xfId="27645" xr:uid="{B05AF60A-C999-467C-9429-BD262937DE60}"/>
    <cellStyle name="Note 2 2 3 6" xfId="2687" xr:uid="{00000000-0005-0000-0000-000075600000}"/>
    <cellStyle name="Note 2 2 3 6 2" xfId="6971" xr:uid="{00000000-0005-0000-0000-000076600000}"/>
    <cellStyle name="Note 2 2 3 6 2 2" xfId="23841" xr:uid="{00000000-0005-0000-0000-000077600000}"/>
    <cellStyle name="Note 2 2 3 6 2 2 2" xfId="40709" xr:uid="{3290B2ED-E91D-4F17-A89C-7F94A8918ACB}"/>
    <cellStyle name="Note 2 2 3 6 2 3" xfId="15406" xr:uid="{00000000-0005-0000-0000-000078600000}"/>
    <cellStyle name="Note 2 2 3 6 2 4" xfId="32275" xr:uid="{2FCEEC41-7791-433F-8716-5B0C8DDA8701}"/>
    <cellStyle name="Note 2 2 3 6 3" xfId="19623" xr:uid="{00000000-0005-0000-0000-000079600000}"/>
    <cellStyle name="Note 2 2 3 6 3 2" xfId="36492" xr:uid="{0C4919AF-5FF9-4F1B-8CB9-A5340A44D429}"/>
    <cellStyle name="Note 2 2 3 6 4" xfId="11188" xr:uid="{00000000-0005-0000-0000-00007A600000}"/>
    <cellStyle name="Note 2 2 3 6 5" xfId="28058" xr:uid="{48390100-11FD-460B-809A-4B4BEA56F376}"/>
    <cellStyle name="Note 2 2 3 7" xfId="2746" xr:uid="{00000000-0005-0000-0000-00007B600000}"/>
    <cellStyle name="Note 2 2 3 8" xfId="2827" xr:uid="{00000000-0005-0000-0000-00007C600000}"/>
    <cellStyle name="Note 2 2 3 8 2" xfId="7051" xr:uid="{00000000-0005-0000-0000-00007D600000}"/>
    <cellStyle name="Note 2 2 3 8 2 2" xfId="23921" xr:uid="{00000000-0005-0000-0000-00007E600000}"/>
    <cellStyle name="Note 2 2 3 8 2 2 2" xfId="40789" xr:uid="{E74524CE-C6D0-40E7-B8FC-C73FFB0B8D99}"/>
    <cellStyle name="Note 2 2 3 8 2 3" xfId="15486" xr:uid="{00000000-0005-0000-0000-00007F600000}"/>
    <cellStyle name="Note 2 2 3 8 2 4" xfId="32355" xr:uid="{F15F40A8-493F-40C7-B6BE-686212058372}"/>
    <cellStyle name="Note 2 2 3 8 3" xfId="19703" xr:uid="{00000000-0005-0000-0000-000080600000}"/>
    <cellStyle name="Note 2 2 3 8 3 2" xfId="36572" xr:uid="{54F61A17-1C53-414E-84C0-6EAB34F637EE}"/>
    <cellStyle name="Note 2 2 3 8 4" xfId="11268" xr:uid="{00000000-0005-0000-0000-000081600000}"/>
    <cellStyle name="Note 2 2 3 8 5" xfId="28138" xr:uid="{89E7942F-E415-41B6-AFD3-DA7FA885DBBE}"/>
    <cellStyle name="Note 2 2 3 9" xfId="4906" xr:uid="{00000000-0005-0000-0000-000082600000}"/>
    <cellStyle name="Note 2 2 3 9 2" xfId="21776" xr:uid="{00000000-0005-0000-0000-000083600000}"/>
    <cellStyle name="Note 2 2 3 9 2 2" xfId="38644" xr:uid="{1131C77E-E816-440E-AED4-B421F60427A3}"/>
    <cellStyle name="Note 2 2 3 9 3" xfId="13341" xr:uid="{00000000-0005-0000-0000-000084600000}"/>
    <cellStyle name="Note 2 2 3 9 4" xfId="30210" xr:uid="{549440C3-2599-4929-ABEC-1168D027C1DB}"/>
    <cellStyle name="Note 2 2 4" xfId="1006" xr:uid="{00000000-0005-0000-0000-000085600000}"/>
    <cellStyle name="Note 2 2 4 2" xfId="3238" xr:uid="{00000000-0005-0000-0000-000086600000}"/>
    <cellStyle name="Note 2 2 4 2 2" xfId="7461" xr:uid="{00000000-0005-0000-0000-000087600000}"/>
    <cellStyle name="Note 2 2 4 2 2 2" xfId="24331" xr:uid="{00000000-0005-0000-0000-000088600000}"/>
    <cellStyle name="Note 2 2 4 2 2 2 2" xfId="41199" xr:uid="{717A0DC2-A61B-4775-8009-B2A52E4A5B51}"/>
    <cellStyle name="Note 2 2 4 2 2 3" xfId="15896" xr:uid="{00000000-0005-0000-0000-000089600000}"/>
    <cellStyle name="Note 2 2 4 2 2 4" xfId="32765" xr:uid="{A07A1EB4-EC4B-44E6-A80E-2D9F5A41980A}"/>
    <cellStyle name="Note 2 2 4 2 3" xfId="20113" xr:uid="{00000000-0005-0000-0000-00008A600000}"/>
    <cellStyle name="Note 2 2 4 2 3 2" xfId="36982" xr:uid="{F96E66E1-960B-41AE-A58F-3B078A42A4C8}"/>
    <cellStyle name="Note 2 2 4 2 4" xfId="11678" xr:uid="{00000000-0005-0000-0000-00008B600000}"/>
    <cellStyle name="Note 2 2 4 2 5" xfId="28548" xr:uid="{5E0DDAA5-0569-43B1-838E-0575D64E26A2}"/>
    <cellStyle name="Note 2 2 4 3" xfId="5316" xr:uid="{00000000-0005-0000-0000-00008C600000}"/>
    <cellStyle name="Note 2 2 4 3 2" xfId="22186" xr:uid="{00000000-0005-0000-0000-00008D600000}"/>
    <cellStyle name="Note 2 2 4 3 2 2" xfId="39054" xr:uid="{AC70ECC9-0610-4AC0-8F35-E515925A89BB}"/>
    <cellStyle name="Note 2 2 4 3 3" xfId="13751" xr:uid="{00000000-0005-0000-0000-00008E600000}"/>
    <cellStyle name="Note 2 2 4 3 4" xfId="30620" xr:uid="{0B946A4B-0BCC-4013-9155-F08C3E6C9678}"/>
    <cellStyle name="Note 2 2 4 4" xfId="17968" xr:uid="{00000000-0005-0000-0000-00008F600000}"/>
    <cellStyle name="Note 2 2 4 4 2" xfId="34837" xr:uid="{65EABD85-49DF-457B-95F4-57C8292A8B8A}"/>
    <cellStyle name="Note 2 2 4 5" xfId="9533" xr:uid="{00000000-0005-0000-0000-000090600000}"/>
    <cellStyle name="Note 2 2 4 6" xfId="26403" xr:uid="{D7C22DE9-B1F1-46D1-B63B-85C8858CA2DE}"/>
    <cellStyle name="Note 2 2 5" xfId="1421" xr:uid="{00000000-0005-0000-0000-000091600000}"/>
    <cellStyle name="Note 2 2 5 2" xfId="3651" xr:uid="{00000000-0005-0000-0000-000092600000}"/>
    <cellStyle name="Note 2 2 5 2 2" xfId="7874" xr:uid="{00000000-0005-0000-0000-000093600000}"/>
    <cellStyle name="Note 2 2 5 2 2 2" xfId="24744" xr:uid="{00000000-0005-0000-0000-000094600000}"/>
    <cellStyle name="Note 2 2 5 2 2 2 2" xfId="41612" xr:uid="{B5583C8D-AAE8-4682-9EAE-7C0BA9C95749}"/>
    <cellStyle name="Note 2 2 5 2 2 3" xfId="16309" xr:uid="{00000000-0005-0000-0000-000095600000}"/>
    <cellStyle name="Note 2 2 5 2 2 4" xfId="33178" xr:uid="{645FB667-4534-4CCF-A512-39179832B6A2}"/>
    <cellStyle name="Note 2 2 5 2 3" xfId="20526" xr:uid="{00000000-0005-0000-0000-000096600000}"/>
    <cellStyle name="Note 2 2 5 2 3 2" xfId="37395" xr:uid="{EFD83E6E-6687-4C3C-99C5-6C8A9D2CEC2D}"/>
    <cellStyle name="Note 2 2 5 2 4" xfId="12091" xr:uid="{00000000-0005-0000-0000-000097600000}"/>
    <cellStyle name="Note 2 2 5 2 5" xfId="28961" xr:uid="{81CA1735-586A-4AE9-BF3B-6423C202334E}"/>
    <cellStyle name="Note 2 2 5 3" xfId="5729" xr:uid="{00000000-0005-0000-0000-000098600000}"/>
    <cellStyle name="Note 2 2 5 3 2" xfId="22599" xr:uid="{00000000-0005-0000-0000-000099600000}"/>
    <cellStyle name="Note 2 2 5 3 2 2" xfId="39467" xr:uid="{8C44DFE8-9C04-44FF-9DB2-0A8C106317B3}"/>
    <cellStyle name="Note 2 2 5 3 3" xfId="14164" xr:uid="{00000000-0005-0000-0000-00009A600000}"/>
    <cellStyle name="Note 2 2 5 3 4" xfId="31033" xr:uid="{4F19ED89-9E72-4ADB-BFAC-675711ACB1F9}"/>
    <cellStyle name="Note 2 2 5 4" xfId="18381" xr:uid="{00000000-0005-0000-0000-00009B600000}"/>
    <cellStyle name="Note 2 2 5 4 2" xfId="35250" xr:uid="{F0BDDE6D-85FF-4DFA-AC5B-95BB3A413E3A}"/>
    <cellStyle name="Note 2 2 5 5" xfId="9946" xr:uid="{00000000-0005-0000-0000-00009C600000}"/>
    <cellStyle name="Note 2 2 5 6" xfId="26816" xr:uid="{00EF8A25-D237-41BD-A699-76E64B156A4A}"/>
    <cellStyle name="Note 2 2 6" xfId="1835" xr:uid="{00000000-0005-0000-0000-00009D600000}"/>
    <cellStyle name="Note 2 2 6 2" xfId="4064" xr:uid="{00000000-0005-0000-0000-00009E600000}"/>
    <cellStyle name="Note 2 2 6 2 2" xfId="8287" xr:uid="{00000000-0005-0000-0000-00009F600000}"/>
    <cellStyle name="Note 2 2 6 2 2 2" xfId="25157" xr:uid="{00000000-0005-0000-0000-0000A0600000}"/>
    <cellStyle name="Note 2 2 6 2 2 2 2" xfId="42025" xr:uid="{56B10B86-769D-414E-A285-817854EA4F32}"/>
    <cellStyle name="Note 2 2 6 2 2 3" xfId="16722" xr:uid="{00000000-0005-0000-0000-0000A1600000}"/>
    <cellStyle name="Note 2 2 6 2 2 4" xfId="33591" xr:uid="{D169D503-A70D-46D5-9C73-A8A755EE5ACC}"/>
    <cellStyle name="Note 2 2 6 2 3" xfId="20939" xr:uid="{00000000-0005-0000-0000-0000A2600000}"/>
    <cellStyle name="Note 2 2 6 2 3 2" xfId="37808" xr:uid="{CA803E50-2447-4A96-90EA-BA2800C9267A}"/>
    <cellStyle name="Note 2 2 6 2 4" xfId="12504" xr:uid="{00000000-0005-0000-0000-0000A3600000}"/>
    <cellStyle name="Note 2 2 6 2 5" xfId="29374" xr:uid="{FE36EBE4-B23D-4129-94B9-8A1DF5C0AC58}"/>
    <cellStyle name="Note 2 2 6 3" xfId="6142" xr:uid="{00000000-0005-0000-0000-0000A4600000}"/>
    <cellStyle name="Note 2 2 6 3 2" xfId="23012" xr:uid="{00000000-0005-0000-0000-0000A5600000}"/>
    <cellStyle name="Note 2 2 6 3 2 2" xfId="39880" xr:uid="{797562F4-17FE-4603-AC53-A6EAA299C76D}"/>
    <cellStyle name="Note 2 2 6 3 3" xfId="14577" xr:uid="{00000000-0005-0000-0000-0000A6600000}"/>
    <cellStyle name="Note 2 2 6 3 4" xfId="31446" xr:uid="{1E1BA909-CB13-42EC-B6C3-A35B73349694}"/>
    <cellStyle name="Note 2 2 6 4" xfId="18794" xr:uid="{00000000-0005-0000-0000-0000A7600000}"/>
    <cellStyle name="Note 2 2 6 4 2" xfId="35663" xr:uid="{588DB125-1FBC-4F1E-A189-BAE03EDA17B6}"/>
    <cellStyle name="Note 2 2 6 5" xfId="10359" xr:uid="{00000000-0005-0000-0000-0000A8600000}"/>
    <cellStyle name="Note 2 2 6 6" xfId="27229" xr:uid="{F10DC603-9995-4764-83FD-68BDDE5770E8}"/>
    <cellStyle name="Note 2 2 7" xfId="2248" xr:uid="{00000000-0005-0000-0000-0000A9600000}"/>
    <cellStyle name="Note 2 2 7 2" xfId="4477" xr:uid="{00000000-0005-0000-0000-0000AA600000}"/>
    <cellStyle name="Note 2 2 7 2 2" xfId="8700" xr:uid="{00000000-0005-0000-0000-0000AB600000}"/>
    <cellStyle name="Note 2 2 7 2 2 2" xfId="25570" xr:uid="{00000000-0005-0000-0000-0000AC600000}"/>
    <cellStyle name="Note 2 2 7 2 2 2 2" xfId="42438" xr:uid="{2D54D89B-0ACB-424F-AB72-6ED80EDF4B29}"/>
    <cellStyle name="Note 2 2 7 2 2 3" xfId="17135" xr:uid="{00000000-0005-0000-0000-0000AD600000}"/>
    <cellStyle name="Note 2 2 7 2 2 4" xfId="34004" xr:uid="{F4D61A06-0204-49AF-AEED-11B1E6C8BE79}"/>
    <cellStyle name="Note 2 2 7 2 3" xfId="21352" xr:uid="{00000000-0005-0000-0000-0000AE600000}"/>
    <cellStyle name="Note 2 2 7 2 3 2" xfId="38221" xr:uid="{146E9515-5F4F-42C6-B400-9B4EF957C648}"/>
    <cellStyle name="Note 2 2 7 2 4" xfId="12917" xr:uid="{00000000-0005-0000-0000-0000AF600000}"/>
    <cellStyle name="Note 2 2 7 2 5" xfId="29787" xr:uid="{62064D02-394F-4AEE-B4BD-55F1FA5D6191}"/>
    <cellStyle name="Note 2 2 7 3" xfId="6555" xr:uid="{00000000-0005-0000-0000-0000B0600000}"/>
    <cellStyle name="Note 2 2 7 3 2" xfId="23425" xr:uid="{00000000-0005-0000-0000-0000B1600000}"/>
    <cellStyle name="Note 2 2 7 3 2 2" xfId="40293" xr:uid="{05A35B03-E6B3-46D3-9E96-3DC876D56D8A}"/>
    <cellStyle name="Note 2 2 7 3 3" xfId="14990" xr:uid="{00000000-0005-0000-0000-0000B2600000}"/>
    <cellStyle name="Note 2 2 7 3 4" xfId="31859" xr:uid="{DCBD52C3-3107-4F16-8EF4-D19F050500AE}"/>
    <cellStyle name="Note 2 2 7 4" xfId="19207" xr:uid="{00000000-0005-0000-0000-0000B3600000}"/>
    <cellStyle name="Note 2 2 7 4 2" xfId="36076" xr:uid="{6BA7CBB0-7D84-42FC-878B-D9FFA807C189}"/>
    <cellStyle name="Note 2 2 7 5" xfId="10772" xr:uid="{00000000-0005-0000-0000-0000B4600000}"/>
    <cellStyle name="Note 2 2 7 6" xfId="27642" xr:uid="{CC14DE90-4660-4F9F-BE3C-D832B9FAC08A}"/>
    <cellStyle name="Note 2 2 8" xfId="2684" xr:uid="{00000000-0005-0000-0000-0000B5600000}"/>
    <cellStyle name="Note 2 2 8 2" xfId="6968" xr:uid="{00000000-0005-0000-0000-0000B6600000}"/>
    <cellStyle name="Note 2 2 8 2 2" xfId="23838" xr:uid="{00000000-0005-0000-0000-0000B7600000}"/>
    <cellStyle name="Note 2 2 8 2 2 2" xfId="40706" xr:uid="{4C0F51FD-F9DE-4669-A0CE-EF145B4C516B}"/>
    <cellStyle name="Note 2 2 8 2 3" xfId="15403" xr:uid="{00000000-0005-0000-0000-0000B8600000}"/>
    <cellStyle name="Note 2 2 8 2 4" xfId="32272" xr:uid="{5EEC09F1-F65C-4914-A8EF-9984EC8B41D4}"/>
    <cellStyle name="Note 2 2 8 3" xfId="19620" xr:uid="{00000000-0005-0000-0000-0000B9600000}"/>
    <cellStyle name="Note 2 2 8 3 2" xfId="36489" xr:uid="{1E06DE5A-43AA-4DF8-A43E-C7BAABA6AA78}"/>
    <cellStyle name="Note 2 2 8 4" xfId="11185" xr:uid="{00000000-0005-0000-0000-0000BA600000}"/>
    <cellStyle name="Note 2 2 8 5" xfId="28055" xr:uid="{6BB5365A-28C7-4C58-A522-934A16251D2D}"/>
    <cellStyle name="Note 2 2 9" xfId="2743" xr:uid="{00000000-0005-0000-0000-0000BB600000}"/>
    <cellStyle name="Note 2 3" xfId="549" xr:uid="{00000000-0005-0000-0000-0000BC600000}"/>
    <cellStyle name="Note 2 3 10" xfId="4907" xr:uid="{00000000-0005-0000-0000-0000BD600000}"/>
    <cellStyle name="Note 2 3 10 2" xfId="21777" xr:uid="{00000000-0005-0000-0000-0000BE600000}"/>
    <cellStyle name="Note 2 3 10 2 2" xfId="38645" xr:uid="{462AAEB3-DA39-42A6-98F8-F7400ECF76B3}"/>
    <cellStyle name="Note 2 3 10 3" xfId="13342" xr:uid="{00000000-0005-0000-0000-0000BF600000}"/>
    <cellStyle name="Note 2 3 10 4" xfId="30211" xr:uid="{85422C1D-5D54-4FAC-9558-FC3DF00DBE17}"/>
    <cellStyle name="Note 2 3 11" xfId="17559" xr:uid="{00000000-0005-0000-0000-0000C0600000}"/>
    <cellStyle name="Note 2 3 11 2" xfId="34428" xr:uid="{0FED3473-3659-484D-A5BC-0A0C5132359C}"/>
    <cellStyle name="Note 2 3 12" xfId="9124" xr:uid="{00000000-0005-0000-0000-0000C1600000}"/>
    <cellStyle name="Note 2 3 13" xfId="25994" xr:uid="{B4648A88-EAF8-4E80-AC9A-5A1B20711FF0}"/>
    <cellStyle name="Note 2 3 2" xfId="550" xr:uid="{00000000-0005-0000-0000-0000C2600000}"/>
    <cellStyle name="Note 2 3 2 10" xfId="17560" xr:uid="{00000000-0005-0000-0000-0000C3600000}"/>
    <cellStyle name="Note 2 3 2 10 2" xfId="34429" xr:uid="{1893D037-5A3A-4F4B-807E-9B9AC72A9960}"/>
    <cellStyle name="Note 2 3 2 11" xfId="9125" xr:uid="{00000000-0005-0000-0000-0000C4600000}"/>
    <cellStyle name="Note 2 3 2 12" xfId="25995" xr:uid="{23F006FB-66A1-471B-8197-C907AF6243D3}"/>
    <cellStyle name="Note 2 3 2 2" xfId="1011" xr:uid="{00000000-0005-0000-0000-0000C5600000}"/>
    <cellStyle name="Note 2 3 2 2 2" xfId="3243" xr:uid="{00000000-0005-0000-0000-0000C6600000}"/>
    <cellStyle name="Note 2 3 2 2 2 2" xfId="7466" xr:uid="{00000000-0005-0000-0000-0000C7600000}"/>
    <cellStyle name="Note 2 3 2 2 2 2 2" xfId="24336" xr:uid="{00000000-0005-0000-0000-0000C8600000}"/>
    <cellStyle name="Note 2 3 2 2 2 2 2 2" xfId="41204" xr:uid="{1356919F-FC2D-4232-B1F6-31AC7DDFB57A}"/>
    <cellStyle name="Note 2 3 2 2 2 2 3" xfId="15901" xr:uid="{00000000-0005-0000-0000-0000C9600000}"/>
    <cellStyle name="Note 2 3 2 2 2 2 4" xfId="32770" xr:uid="{A2D4077C-62E0-4F96-97B6-1A58B851EA93}"/>
    <cellStyle name="Note 2 3 2 2 2 3" xfId="20118" xr:uid="{00000000-0005-0000-0000-0000CA600000}"/>
    <cellStyle name="Note 2 3 2 2 2 3 2" xfId="36987" xr:uid="{226D7285-58FF-469A-B20B-A7325B85FBC0}"/>
    <cellStyle name="Note 2 3 2 2 2 4" xfId="11683" xr:uid="{00000000-0005-0000-0000-0000CB600000}"/>
    <cellStyle name="Note 2 3 2 2 2 5" xfId="28553" xr:uid="{C7E1C8A5-BECD-4453-93B3-65C24C5C7E3F}"/>
    <cellStyle name="Note 2 3 2 2 3" xfId="5321" xr:uid="{00000000-0005-0000-0000-0000CC600000}"/>
    <cellStyle name="Note 2 3 2 2 3 2" xfId="22191" xr:uid="{00000000-0005-0000-0000-0000CD600000}"/>
    <cellStyle name="Note 2 3 2 2 3 2 2" xfId="39059" xr:uid="{D734B74F-4396-4E7C-9C46-19CABCE3A5E9}"/>
    <cellStyle name="Note 2 3 2 2 3 3" xfId="13756" xr:uid="{00000000-0005-0000-0000-0000CE600000}"/>
    <cellStyle name="Note 2 3 2 2 3 4" xfId="30625" xr:uid="{2A43EBE3-E009-4336-99C0-428EF41815E4}"/>
    <cellStyle name="Note 2 3 2 2 4" xfId="17973" xr:uid="{00000000-0005-0000-0000-0000CF600000}"/>
    <cellStyle name="Note 2 3 2 2 4 2" xfId="34842" xr:uid="{DB32DC72-A34E-4B61-98E4-300995342A8A}"/>
    <cellStyle name="Note 2 3 2 2 5" xfId="9538" xr:uid="{00000000-0005-0000-0000-0000D0600000}"/>
    <cellStyle name="Note 2 3 2 2 6" xfId="26408" xr:uid="{05C8C31F-92F8-48CB-BDDC-3D152343EC08}"/>
    <cellStyle name="Note 2 3 2 3" xfId="1426" xr:uid="{00000000-0005-0000-0000-0000D1600000}"/>
    <cellStyle name="Note 2 3 2 3 2" xfId="3656" xr:uid="{00000000-0005-0000-0000-0000D2600000}"/>
    <cellStyle name="Note 2 3 2 3 2 2" xfId="7879" xr:uid="{00000000-0005-0000-0000-0000D3600000}"/>
    <cellStyle name="Note 2 3 2 3 2 2 2" xfId="24749" xr:uid="{00000000-0005-0000-0000-0000D4600000}"/>
    <cellStyle name="Note 2 3 2 3 2 2 2 2" xfId="41617" xr:uid="{68679BA7-32A6-440A-854E-282A368B5AF5}"/>
    <cellStyle name="Note 2 3 2 3 2 2 3" xfId="16314" xr:uid="{00000000-0005-0000-0000-0000D5600000}"/>
    <cellStyle name="Note 2 3 2 3 2 2 4" xfId="33183" xr:uid="{05A151D1-A682-4761-A786-3790C8AD8EAE}"/>
    <cellStyle name="Note 2 3 2 3 2 3" xfId="20531" xr:uid="{00000000-0005-0000-0000-0000D6600000}"/>
    <cellStyle name="Note 2 3 2 3 2 3 2" xfId="37400" xr:uid="{47EA95C2-3A9F-488B-A520-A3AD65101207}"/>
    <cellStyle name="Note 2 3 2 3 2 4" xfId="12096" xr:uid="{00000000-0005-0000-0000-0000D7600000}"/>
    <cellStyle name="Note 2 3 2 3 2 5" xfId="28966" xr:uid="{ACA38B7A-B9C6-4B7F-95EE-5AE440B3042A}"/>
    <cellStyle name="Note 2 3 2 3 3" xfId="5734" xr:uid="{00000000-0005-0000-0000-0000D8600000}"/>
    <cellStyle name="Note 2 3 2 3 3 2" xfId="22604" xr:uid="{00000000-0005-0000-0000-0000D9600000}"/>
    <cellStyle name="Note 2 3 2 3 3 2 2" xfId="39472" xr:uid="{95016488-804D-4E26-A3B6-7D87C936BCD5}"/>
    <cellStyle name="Note 2 3 2 3 3 3" xfId="14169" xr:uid="{00000000-0005-0000-0000-0000DA600000}"/>
    <cellStyle name="Note 2 3 2 3 3 4" xfId="31038" xr:uid="{3EB84878-771F-4898-9120-0046F7A61A44}"/>
    <cellStyle name="Note 2 3 2 3 4" xfId="18386" xr:uid="{00000000-0005-0000-0000-0000DB600000}"/>
    <cellStyle name="Note 2 3 2 3 4 2" xfId="35255" xr:uid="{7E9AC4B7-4C08-4501-B7DF-F0B69B8FB6C6}"/>
    <cellStyle name="Note 2 3 2 3 5" xfId="9951" xr:uid="{00000000-0005-0000-0000-0000DC600000}"/>
    <cellStyle name="Note 2 3 2 3 6" xfId="26821" xr:uid="{D386FC26-B9AB-4164-A0D2-EFAC7F5F911E}"/>
    <cellStyle name="Note 2 3 2 4" xfId="1840" xr:uid="{00000000-0005-0000-0000-0000DD600000}"/>
    <cellStyle name="Note 2 3 2 4 2" xfId="4069" xr:uid="{00000000-0005-0000-0000-0000DE600000}"/>
    <cellStyle name="Note 2 3 2 4 2 2" xfId="8292" xr:uid="{00000000-0005-0000-0000-0000DF600000}"/>
    <cellStyle name="Note 2 3 2 4 2 2 2" xfId="25162" xr:uid="{00000000-0005-0000-0000-0000E0600000}"/>
    <cellStyle name="Note 2 3 2 4 2 2 2 2" xfId="42030" xr:uid="{5705C906-05BC-497A-A5EE-1C30FCD1416E}"/>
    <cellStyle name="Note 2 3 2 4 2 2 3" xfId="16727" xr:uid="{00000000-0005-0000-0000-0000E1600000}"/>
    <cellStyle name="Note 2 3 2 4 2 2 4" xfId="33596" xr:uid="{CB8F5AE0-E4D4-4201-9D89-EBC245652E09}"/>
    <cellStyle name="Note 2 3 2 4 2 3" xfId="20944" xr:uid="{00000000-0005-0000-0000-0000E2600000}"/>
    <cellStyle name="Note 2 3 2 4 2 3 2" xfId="37813" xr:uid="{D5F8B26B-0197-4E5C-B6C3-F618AF6A7C9D}"/>
    <cellStyle name="Note 2 3 2 4 2 4" xfId="12509" xr:uid="{00000000-0005-0000-0000-0000E3600000}"/>
    <cellStyle name="Note 2 3 2 4 2 5" xfId="29379" xr:uid="{390D1970-43B5-4744-9D01-8706E1AA27A2}"/>
    <cellStyle name="Note 2 3 2 4 3" xfId="6147" xr:uid="{00000000-0005-0000-0000-0000E4600000}"/>
    <cellStyle name="Note 2 3 2 4 3 2" xfId="23017" xr:uid="{00000000-0005-0000-0000-0000E5600000}"/>
    <cellStyle name="Note 2 3 2 4 3 2 2" xfId="39885" xr:uid="{E4E12B25-AD7A-44B0-AF3F-1E6A84B77574}"/>
    <cellStyle name="Note 2 3 2 4 3 3" xfId="14582" xr:uid="{00000000-0005-0000-0000-0000E6600000}"/>
    <cellStyle name="Note 2 3 2 4 3 4" xfId="31451" xr:uid="{09E6E9F8-68E9-40AC-8A27-4677AEA6A7E1}"/>
    <cellStyle name="Note 2 3 2 4 4" xfId="18799" xr:uid="{00000000-0005-0000-0000-0000E7600000}"/>
    <cellStyle name="Note 2 3 2 4 4 2" xfId="35668" xr:uid="{6B81AF9F-D6F5-4889-B6C2-0246CBF89D14}"/>
    <cellStyle name="Note 2 3 2 4 5" xfId="10364" xr:uid="{00000000-0005-0000-0000-0000E8600000}"/>
    <cellStyle name="Note 2 3 2 4 6" xfId="27234" xr:uid="{79576A61-DA7A-4A5C-8B5B-B6DEB2C88DF8}"/>
    <cellStyle name="Note 2 3 2 5" xfId="2253" xr:uid="{00000000-0005-0000-0000-0000E9600000}"/>
    <cellStyle name="Note 2 3 2 5 2" xfId="4482" xr:uid="{00000000-0005-0000-0000-0000EA600000}"/>
    <cellStyle name="Note 2 3 2 5 2 2" xfId="8705" xr:uid="{00000000-0005-0000-0000-0000EB600000}"/>
    <cellStyle name="Note 2 3 2 5 2 2 2" xfId="25575" xr:uid="{00000000-0005-0000-0000-0000EC600000}"/>
    <cellStyle name="Note 2 3 2 5 2 2 2 2" xfId="42443" xr:uid="{52F20F1F-A5F6-4217-94B5-A681BE8110BB}"/>
    <cellStyle name="Note 2 3 2 5 2 2 3" xfId="17140" xr:uid="{00000000-0005-0000-0000-0000ED600000}"/>
    <cellStyle name="Note 2 3 2 5 2 2 4" xfId="34009" xr:uid="{7258A49E-CE53-446A-81CC-F9FDA81AE0E7}"/>
    <cellStyle name="Note 2 3 2 5 2 3" xfId="21357" xr:uid="{00000000-0005-0000-0000-0000EE600000}"/>
    <cellStyle name="Note 2 3 2 5 2 3 2" xfId="38226" xr:uid="{2C806A5F-5273-4C76-A29B-42AF6A4A5768}"/>
    <cellStyle name="Note 2 3 2 5 2 4" xfId="12922" xr:uid="{00000000-0005-0000-0000-0000EF600000}"/>
    <cellStyle name="Note 2 3 2 5 2 5" xfId="29792" xr:uid="{ABEF5E18-8CD6-4C6A-B2CF-2A2B54980520}"/>
    <cellStyle name="Note 2 3 2 5 3" xfId="6560" xr:uid="{00000000-0005-0000-0000-0000F0600000}"/>
    <cellStyle name="Note 2 3 2 5 3 2" xfId="23430" xr:uid="{00000000-0005-0000-0000-0000F1600000}"/>
    <cellStyle name="Note 2 3 2 5 3 2 2" xfId="40298" xr:uid="{07D3B457-DD47-45CC-8484-D43A09AA4BD7}"/>
    <cellStyle name="Note 2 3 2 5 3 3" xfId="14995" xr:uid="{00000000-0005-0000-0000-0000F2600000}"/>
    <cellStyle name="Note 2 3 2 5 3 4" xfId="31864" xr:uid="{74156BCC-D620-4997-8281-87A41FC6C214}"/>
    <cellStyle name="Note 2 3 2 5 4" xfId="19212" xr:uid="{00000000-0005-0000-0000-0000F3600000}"/>
    <cellStyle name="Note 2 3 2 5 4 2" xfId="36081" xr:uid="{3F0D0DEA-10FB-41AC-AA73-9651453DB212}"/>
    <cellStyle name="Note 2 3 2 5 5" xfId="10777" xr:uid="{00000000-0005-0000-0000-0000F4600000}"/>
    <cellStyle name="Note 2 3 2 5 6" xfId="27647" xr:uid="{510D6EB8-E672-49C8-ADBD-C36D577B653A}"/>
    <cellStyle name="Note 2 3 2 6" xfId="2689" xr:uid="{00000000-0005-0000-0000-0000F5600000}"/>
    <cellStyle name="Note 2 3 2 6 2" xfId="6973" xr:uid="{00000000-0005-0000-0000-0000F6600000}"/>
    <cellStyle name="Note 2 3 2 6 2 2" xfId="23843" xr:uid="{00000000-0005-0000-0000-0000F7600000}"/>
    <cellStyle name="Note 2 3 2 6 2 2 2" xfId="40711" xr:uid="{B105C4E0-D1FF-4B52-BB97-5BF04A9DAC84}"/>
    <cellStyle name="Note 2 3 2 6 2 3" xfId="15408" xr:uid="{00000000-0005-0000-0000-0000F8600000}"/>
    <cellStyle name="Note 2 3 2 6 2 4" xfId="32277" xr:uid="{A5A8BB0C-4F69-4317-94FE-F442BDE86B10}"/>
    <cellStyle name="Note 2 3 2 6 3" xfId="19625" xr:uid="{00000000-0005-0000-0000-0000F9600000}"/>
    <cellStyle name="Note 2 3 2 6 3 2" xfId="36494" xr:uid="{BD8645CF-62E8-4629-B154-F7B589E2F047}"/>
    <cellStyle name="Note 2 3 2 6 4" xfId="11190" xr:uid="{00000000-0005-0000-0000-0000FA600000}"/>
    <cellStyle name="Note 2 3 2 6 5" xfId="28060" xr:uid="{FA9EE732-EF91-4D7A-8B2D-8ED6AB3BA70B}"/>
    <cellStyle name="Note 2 3 2 7" xfId="2748" xr:uid="{00000000-0005-0000-0000-0000FB600000}"/>
    <cellStyle name="Note 2 3 2 8" xfId="2829" xr:uid="{00000000-0005-0000-0000-0000FC600000}"/>
    <cellStyle name="Note 2 3 2 8 2" xfId="7053" xr:uid="{00000000-0005-0000-0000-0000FD600000}"/>
    <cellStyle name="Note 2 3 2 8 2 2" xfId="23923" xr:uid="{00000000-0005-0000-0000-0000FE600000}"/>
    <cellStyle name="Note 2 3 2 8 2 2 2" xfId="40791" xr:uid="{DCA374DC-A6EB-4FC9-9459-5CB555E09056}"/>
    <cellStyle name="Note 2 3 2 8 2 3" xfId="15488" xr:uid="{00000000-0005-0000-0000-0000FF600000}"/>
    <cellStyle name="Note 2 3 2 8 2 4" xfId="32357" xr:uid="{3B470632-E170-4616-A4DF-C3066789D8BD}"/>
    <cellStyle name="Note 2 3 2 8 3" xfId="19705" xr:uid="{00000000-0005-0000-0000-000000610000}"/>
    <cellStyle name="Note 2 3 2 8 3 2" xfId="36574" xr:uid="{5683681E-E73E-46C9-9EFC-CE44432C770E}"/>
    <cellStyle name="Note 2 3 2 8 4" xfId="11270" xr:uid="{00000000-0005-0000-0000-000001610000}"/>
    <cellStyle name="Note 2 3 2 8 5" xfId="28140" xr:uid="{6AEDEF1E-A813-4591-B980-4E6C9B6843DB}"/>
    <cellStyle name="Note 2 3 2 9" xfId="4908" xr:uid="{00000000-0005-0000-0000-000002610000}"/>
    <cellStyle name="Note 2 3 2 9 2" xfId="21778" xr:uid="{00000000-0005-0000-0000-000003610000}"/>
    <cellStyle name="Note 2 3 2 9 2 2" xfId="38646" xr:uid="{9185928F-DEC9-410A-AAC5-BE06C68EE873}"/>
    <cellStyle name="Note 2 3 2 9 3" xfId="13343" xr:uid="{00000000-0005-0000-0000-000004610000}"/>
    <cellStyle name="Note 2 3 2 9 4" xfId="30212" xr:uid="{6F5FC61A-5854-4695-B219-101962BF569E}"/>
    <cellStyle name="Note 2 3 3" xfId="1010" xr:uid="{00000000-0005-0000-0000-000005610000}"/>
    <cellStyle name="Note 2 3 3 2" xfId="3242" xr:uid="{00000000-0005-0000-0000-000006610000}"/>
    <cellStyle name="Note 2 3 3 2 2" xfId="7465" xr:uid="{00000000-0005-0000-0000-000007610000}"/>
    <cellStyle name="Note 2 3 3 2 2 2" xfId="24335" xr:uid="{00000000-0005-0000-0000-000008610000}"/>
    <cellStyle name="Note 2 3 3 2 2 2 2" xfId="41203" xr:uid="{D92CB252-6D2E-431B-BF20-84125B623DE4}"/>
    <cellStyle name="Note 2 3 3 2 2 3" xfId="15900" xr:uid="{00000000-0005-0000-0000-000009610000}"/>
    <cellStyle name="Note 2 3 3 2 2 4" xfId="32769" xr:uid="{287413AD-6834-48E0-B14D-D628F43F0FDC}"/>
    <cellStyle name="Note 2 3 3 2 3" xfId="20117" xr:uid="{00000000-0005-0000-0000-00000A610000}"/>
    <cellStyle name="Note 2 3 3 2 3 2" xfId="36986" xr:uid="{59E2A803-CF07-4E0A-9564-95E7735630A7}"/>
    <cellStyle name="Note 2 3 3 2 4" xfId="11682" xr:uid="{00000000-0005-0000-0000-00000B610000}"/>
    <cellStyle name="Note 2 3 3 2 5" xfId="28552" xr:uid="{B34F7057-9D70-487F-B649-979771456E44}"/>
    <cellStyle name="Note 2 3 3 3" xfId="5320" xr:uid="{00000000-0005-0000-0000-00000C610000}"/>
    <cellStyle name="Note 2 3 3 3 2" xfId="22190" xr:uid="{00000000-0005-0000-0000-00000D610000}"/>
    <cellStyle name="Note 2 3 3 3 2 2" xfId="39058" xr:uid="{F63CBCBC-0113-446D-8683-649B42893C70}"/>
    <cellStyle name="Note 2 3 3 3 3" xfId="13755" xr:uid="{00000000-0005-0000-0000-00000E610000}"/>
    <cellStyle name="Note 2 3 3 3 4" xfId="30624" xr:uid="{CEFBAAC1-F57D-45DA-A3A6-6173A3265EF4}"/>
    <cellStyle name="Note 2 3 3 4" xfId="17972" xr:uid="{00000000-0005-0000-0000-00000F610000}"/>
    <cellStyle name="Note 2 3 3 4 2" xfId="34841" xr:uid="{09B4AAF5-85B4-4F06-A64C-8E246CEBDDCF}"/>
    <cellStyle name="Note 2 3 3 5" xfId="9537" xr:uid="{00000000-0005-0000-0000-000010610000}"/>
    <cellStyle name="Note 2 3 3 6" xfId="26407" xr:uid="{992B5C7A-36DC-41E6-8B10-1B037B6DB76D}"/>
    <cellStyle name="Note 2 3 4" xfId="1425" xr:uid="{00000000-0005-0000-0000-000011610000}"/>
    <cellStyle name="Note 2 3 4 2" xfId="3655" xr:uid="{00000000-0005-0000-0000-000012610000}"/>
    <cellStyle name="Note 2 3 4 2 2" xfId="7878" xr:uid="{00000000-0005-0000-0000-000013610000}"/>
    <cellStyle name="Note 2 3 4 2 2 2" xfId="24748" xr:uid="{00000000-0005-0000-0000-000014610000}"/>
    <cellStyle name="Note 2 3 4 2 2 2 2" xfId="41616" xr:uid="{4469D95F-C98A-49FC-B456-D58BC06F7CCC}"/>
    <cellStyle name="Note 2 3 4 2 2 3" xfId="16313" xr:uid="{00000000-0005-0000-0000-000015610000}"/>
    <cellStyle name="Note 2 3 4 2 2 4" xfId="33182" xr:uid="{5002BC9D-76F8-467D-8ABF-D0EBC3813755}"/>
    <cellStyle name="Note 2 3 4 2 3" xfId="20530" xr:uid="{00000000-0005-0000-0000-000016610000}"/>
    <cellStyle name="Note 2 3 4 2 3 2" xfId="37399" xr:uid="{CAF88237-3672-4622-9DDE-92C1BBD6E9E8}"/>
    <cellStyle name="Note 2 3 4 2 4" xfId="12095" xr:uid="{00000000-0005-0000-0000-000017610000}"/>
    <cellStyle name="Note 2 3 4 2 5" xfId="28965" xr:uid="{1CD492C5-AAF1-4A67-BA62-C4B8093BD7E6}"/>
    <cellStyle name="Note 2 3 4 3" xfId="5733" xr:uid="{00000000-0005-0000-0000-000018610000}"/>
    <cellStyle name="Note 2 3 4 3 2" xfId="22603" xr:uid="{00000000-0005-0000-0000-000019610000}"/>
    <cellStyle name="Note 2 3 4 3 2 2" xfId="39471" xr:uid="{A209E6E3-C192-426A-AD30-2D012CA3095C}"/>
    <cellStyle name="Note 2 3 4 3 3" xfId="14168" xr:uid="{00000000-0005-0000-0000-00001A610000}"/>
    <cellStyle name="Note 2 3 4 3 4" xfId="31037" xr:uid="{DBE663E0-1E0B-41CB-A253-22D1EA3F93C0}"/>
    <cellStyle name="Note 2 3 4 4" xfId="18385" xr:uid="{00000000-0005-0000-0000-00001B610000}"/>
    <cellStyle name="Note 2 3 4 4 2" xfId="35254" xr:uid="{C7A7E362-90EF-4B22-8E1D-12B3B7581D15}"/>
    <cellStyle name="Note 2 3 4 5" xfId="9950" xr:uid="{00000000-0005-0000-0000-00001C610000}"/>
    <cellStyle name="Note 2 3 4 6" xfId="26820" xr:uid="{2694FDF0-EDEC-4A4F-8E2D-FE741DBC2FDF}"/>
    <cellStyle name="Note 2 3 5" xfId="1839" xr:uid="{00000000-0005-0000-0000-00001D610000}"/>
    <cellStyle name="Note 2 3 5 2" xfId="4068" xr:uid="{00000000-0005-0000-0000-00001E610000}"/>
    <cellStyle name="Note 2 3 5 2 2" xfId="8291" xr:uid="{00000000-0005-0000-0000-00001F610000}"/>
    <cellStyle name="Note 2 3 5 2 2 2" xfId="25161" xr:uid="{00000000-0005-0000-0000-000020610000}"/>
    <cellStyle name="Note 2 3 5 2 2 2 2" xfId="42029" xr:uid="{222BA4CF-0C1B-4D2E-B166-34D4DE4BC0D2}"/>
    <cellStyle name="Note 2 3 5 2 2 3" xfId="16726" xr:uid="{00000000-0005-0000-0000-000021610000}"/>
    <cellStyle name="Note 2 3 5 2 2 4" xfId="33595" xr:uid="{0DF16D54-B501-45C4-9824-186F4DC31DBB}"/>
    <cellStyle name="Note 2 3 5 2 3" xfId="20943" xr:uid="{00000000-0005-0000-0000-000022610000}"/>
    <cellStyle name="Note 2 3 5 2 3 2" xfId="37812" xr:uid="{D26D1A9F-AC64-4656-B23B-85FD07007654}"/>
    <cellStyle name="Note 2 3 5 2 4" xfId="12508" xr:uid="{00000000-0005-0000-0000-000023610000}"/>
    <cellStyle name="Note 2 3 5 2 5" xfId="29378" xr:uid="{843E0523-198A-481B-8289-1B4D3BECDEBE}"/>
    <cellStyle name="Note 2 3 5 3" xfId="6146" xr:uid="{00000000-0005-0000-0000-000024610000}"/>
    <cellStyle name="Note 2 3 5 3 2" xfId="23016" xr:uid="{00000000-0005-0000-0000-000025610000}"/>
    <cellStyle name="Note 2 3 5 3 2 2" xfId="39884" xr:uid="{805618DC-4740-466D-98D2-016E42836535}"/>
    <cellStyle name="Note 2 3 5 3 3" xfId="14581" xr:uid="{00000000-0005-0000-0000-000026610000}"/>
    <cellStyle name="Note 2 3 5 3 4" xfId="31450" xr:uid="{AF2720F8-3A2B-48F8-A2EA-1DC1C457B948}"/>
    <cellStyle name="Note 2 3 5 4" xfId="18798" xr:uid="{00000000-0005-0000-0000-000027610000}"/>
    <cellStyle name="Note 2 3 5 4 2" xfId="35667" xr:uid="{32A146CE-D67A-43A9-86B0-CA354D82BC49}"/>
    <cellStyle name="Note 2 3 5 5" xfId="10363" xr:uid="{00000000-0005-0000-0000-000028610000}"/>
    <cellStyle name="Note 2 3 5 6" xfId="27233" xr:uid="{2A8759E0-49D9-429C-BE62-F4815CC7160F}"/>
    <cellStyle name="Note 2 3 6" xfId="2252" xr:uid="{00000000-0005-0000-0000-000029610000}"/>
    <cellStyle name="Note 2 3 6 2" xfId="4481" xr:uid="{00000000-0005-0000-0000-00002A610000}"/>
    <cellStyle name="Note 2 3 6 2 2" xfId="8704" xr:uid="{00000000-0005-0000-0000-00002B610000}"/>
    <cellStyle name="Note 2 3 6 2 2 2" xfId="25574" xr:uid="{00000000-0005-0000-0000-00002C610000}"/>
    <cellStyle name="Note 2 3 6 2 2 2 2" xfId="42442" xr:uid="{C0744173-A475-4BB2-9627-2BB45D546BF8}"/>
    <cellStyle name="Note 2 3 6 2 2 3" xfId="17139" xr:uid="{00000000-0005-0000-0000-00002D610000}"/>
    <cellStyle name="Note 2 3 6 2 2 4" xfId="34008" xr:uid="{273E809E-DB2E-4563-BD24-B92541EA06DD}"/>
    <cellStyle name="Note 2 3 6 2 3" xfId="21356" xr:uid="{00000000-0005-0000-0000-00002E610000}"/>
    <cellStyle name="Note 2 3 6 2 3 2" xfId="38225" xr:uid="{455BCF87-9312-448C-A7D1-89D0E61F40AC}"/>
    <cellStyle name="Note 2 3 6 2 4" xfId="12921" xr:uid="{00000000-0005-0000-0000-00002F610000}"/>
    <cellStyle name="Note 2 3 6 2 5" xfId="29791" xr:uid="{2F96DC06-0EC7-47C2-8689-FB891C3CAB50}"/>
    <cellStyle name="Note 2 3 6 3" xfId="6559" xr:uid="{00000000-0005-0000-0000-000030610000}"/>
    <cellStyle name="Note 2 3 6 3 2" xfId="23429" xr:uid="{00000000-0005-0000-0000-000031610000}"/>
    <cellStyle name="Note 2 3 6 3 2 2" xfId="40297" xr:uid="{81568E06-6AA8-4D4D-BC90-AB9B6D4A3649}"/>
    <cellStyle name="Note 2 3 6 3 3" xfId="14994" xr:uid="{00000000-0005-0000-0000-000032610000}"/>
    <cellStyle name="Note 2 3 6 3 4" xfId="31863" xr:uid="{33A8F21C-B89F-4C99-8DA6-6C10D93A94A1}"/>
    <cellStyle name="Note 2 3 6 4" xfId="19211" xr:uid="{00000000-0005-0000-0000-000033610000}"/>
    <cellStyle name="Note 2 3 6 4 2" xfId="36080" xr:uid="{97A68439-A097-4F17-B83C-202B9FEA449F}"/>
    <cellStyle name="Note 2 3 6 5" xfId="10776" xr:uid="{00000000-0005-0000-0000-000034610000}"/>
    <cellStyle name="Note 2 3 6 6" xfId="27646" xr:uid="{A6B8E437-CBB3-4A25-BEF6-2CA16EE3FBFF}"/>
    <cellStyle name="Note 2 3 7" xfId="2688" xr:uid="{00000000-0005-0000-0000-000035610000}"/>
    <cellStyle name="Note 2 3 7 2" xfId="6972" xr:uid="{00000000-0005-0000-0000-000036610000}"/>
    <cellStyle name="Note 2 3 7 2 2" xfId="23842" xr:uid="{00000000-0005-0000-0000-000037610000}"/>
    <cellStyle name="Note 2 3 7 2 2 2" xfId="40710" xr:uid="{D772D322-ECDC-45EC-A15C-B73BAA679C1B}"/>
    <cellStyle name="Note 2 3 7 2 3" xfId="15407" xr:uid="{00000000-0005-0000-0000-000038610000}"/>
    <cellStyle name="Note 2 3 7 2 4" xfId="32276" xr:uid="{D5DEDB42-03A7-4918-9410-E809378CCCB1}"/>
    <cellStyle name="Note 2 3 7 3" xfId="19624" xr:uid="{00000000-0005-0000-0000-000039610000}"/>
    <cellStyle name="Note 2 3 7 3 2" xfId="36493" xr:uid="{10C29F3D-8881-4C89-A1AB-332545A70989}"/>
    <cellStyle name="Note 2 3 7 4" xfId="11189" xr:uid="{00000000-0005-0000-0000-00003A610000}"/>
    <cellStyle name="Note 2 3 7 5" xfId="28059" xr:uid="{A3681BD0-099A-4790-B3FD-CCB60BC4D1CC}"/>
    <cellStyle name="Note 2 3 8" xfId="2747" xr:uid="{00000000-0005-0000-0000-00003B610000}"/>
    <cellStyle name="Note 2 3 9" xfId="2828" xr:uid="{00000000-0005-0000-0000-00003C610000}"/>
    <cellStyle name="Note 2 3 9 2" xfId="7052" xr:uid="{00000000-0005-0000-0000-00003D610000}"/>
    <cellStyle name="Note 2 3 9 2 2" xfId="23922" xr:uid="{00000000-0005-0000-0000-00003E610000}"/>
    <cellStyle name="Note 2 3 9 2 2 2" xfId="40790" xr:uid="{067D1513-D8DD-4547-AD5A-73159C21EAB3}"/>
    <cellStyle name="Note 2 3 9 2 3" xfId="15487" xr:uid="{00000000-0005-0000-0000-00003F610000}"/>
    <cellStyle name="Note 2 3 9 2 4" xfId="32356" xr:uid="{41BB3AFF-99A1-4B77-A04B-EE328EB24FDC}"/>
    <cellStyle name="Note 2 3 9 3" xfId="19704" xr:uid="{00000000-0005-0000-0000-000040610000}"/>
    <cellStyle name="Note 2 3 9 3 2" xfId="36573" xr:uid="{62BF98CA-3582-450E-8011-29AD98029B4D}"/>
    <cellStyle name="Note 2 3 9 4" xfId="11269" xr:uid="{00000000-0005-0000-0000-000041610000}"/>
    <cellStyle name="Note 2 3 9 5" xfId="28139" xr:uid="{83AEF963-6534-4F78-8451-5339861EAE8F}"/>
    <cellStyle name="Note 2 4" xfId="551" xr:uid="{00000000-0005-0000-0000-000042610000}"/>
    <cellStyle name="Note 2 4 10" xfId="17561" xr:uid="{00000000-0005-0000-0000-000043610000}"/>
    <cellStyle name="Note 2 4 10 2" xfId="34430" xr:uid="{FBD72734-0789-41A2-B128-C9B9B41887E0}"/>
    <cellStyle name="Note 2 4 11" xfId="9126" xr:uid="{00000000-0005-0000-0000-000044610000}"/>
    <cellStyle name="Note 2 4 12" xfId="25996" xr:uid="{468EE38C-5463-4B88-916D-8F7ADF3930E7}"/>
    <cellStyle name="Note 2 4 2" xfId="1012" xr:uid="{00000000-0005-0000-0000-000045610000}"/>
    <cellStyle name="Note 2 4 2 2" xfId="3244" xr:uid="{00000000-0005-0000-0000-000046610000}"/>
    <cellStyle name="Note 2 4 2 2 2" xfId="7467" xr:uid="{00000000-0005-0000-0000-000047610000}"/>
    <cellStyle name="Note 2 4 2 2 2 2" xfId="24337" xr:uid="{00000000-0005-0000-0000-000048610000}"/>
    <cellStyle name="Note 2 4 2 2 2 2 2" xfId="41205" xr:uid="{5FF22BBE-C719-4345-8410-26A7D9DFF28D}"/>
    <cellStyle name="Note 2 4 2 2 2 3" xfId="15902" xr:uid="{00000000-0005-0000-0000-000049610000}"/>
    <cellStyle name="Note 2 4 2 2 2 4" xfId="32771" xr:uid="{EB2189BD-956F-49F7-9F22-4F03E334597A}"/>
    <cellStyle name="Note 2 4 2 2 3" xfId="20119" xr:uid="{00000000-0005-0000-0000-00004A610000}"/>
    <cellStyle name="Note 2 4 2 2 3 2" xfId="36988" xr:uid="{474F1521-84B6-4449-B91F-026946C1759B}"/>
    <cellStyle name="Note 2 4 2 2 4" xfId="11684" xr:uid="{00000000-0005-0000-0000-00004B610000}"/>
    <cellStyle name="Note 2 4 2 2 5" xfId="28554" xr:uid="{536CAF8F-B9B4-40C0-B4C2-1ACB1B161968}"/>
    <cellStyle name="Note 2 4 2 3" xfId="5322" xr:uid="{00000000-0005-0000-0000-00004C610000}"/>
    <cellStyle name="Note 2 4 2 3 2" xfId="22192" xr:uid="{00000000-0005-0000-0000-00004D610000}"/>
    <cellStyle name="Note 2 4 2 3 2 2" xfId="39060" xr:uid="{3E1EF6A6-ACFC-40C3-BA2F-3952624E015A}"/>
    <cellStyle name="Note 2 4 2 3 3" xfId="13757" xr:uid="{00000000-0005-0000-0000-00004E610000}"/>
    <cellStyle name="Note 2 4 2 3 4" xfId="30626" xr:uid="{CC3B739D-DDAB-4D84-9F68-A1D96F4A0973}"/>
    <cellStyle name="Note 2 4 2 4" xfId="17974" xr:uid="{00000000-0005-0000-0000-00004F610000}"/>
    <cellStyle name="Note 2 4 2 4 2" xfId="34843" xr:uid="{B47A4A6A-811A-4ECE-94F2-93DC55E7CCB1}"/>
    <cellStyle name="Note 2 4 2 5" xfId="9539" xr:uid="{00000000-0005-0000-0000-000050610000}"/>
    <cellStyle name="Note 2 4 2 6" xfId="26409" xr:uid="{3B71E122-716D-46FD-9A33-7A379592509B}"/>
    <cellStyle name="Note 2 4 3" xfId="1427" xr:uid="{00000000-0005-0000-0000-000051610000}"/>
    <cellStyle name="Note 2 4 3 2" xfId="3657" xr:uid="{00000000-0005-0000-0000-000052610000}"/>
    <cellStyle name="Note 2 4 3 2 2" xfId="7880" xr:uid="{00000000-0005-0000-0000-000053610000}"/>
    <cellStyle name="Note 2 4 3 2 2 2" xfId="24750" xr:uid="{00000000-0005-0000-0000-000054610000}"/>
    <cellStyle name="Note 2 4 3 2 2 2 2" xfId="41618" xr:uid="{C1F045B4-E9D1-4B28-9A85-E139F63CED59}"/>
    <cellStyle name="Note 2 4 3 2 2 3" xfId="16315" xr:uid="{00000000-0005-0000-0000-000055610000}"/>
    <cellStyle name="Note 2 4 3 2 2 4" xfId="33184" xr:uid="{261DFA0E-C3C7-4642-9C17-BF3C1AFB48A7}"/>
    <cellStyle name="Note 2 4 3 2 3" xfId="20532" xr:uid="{00000000-0005-0000-0000-000056610000}"/>
    <cellStyle name="Note 2 4 3 2 3 2" xfId="37401" xr:uid="{AD96901D-6A25-4516-9988-4455B19A2864}"/>
    <cellStyle name="Note 2 4 3 2 4" xfId="12097" xr:uid="{00000000-0005-0000-0000-000057610000}"/>
    <cellStyle name="Note 2 4 3 2 5" xfId="28967" xr:uid="{2C5E1EE1-D3A2-42C7-A3FA-D860CA2C1E2C}"/>
    <cellStyle name="Note 2 4 3 3" xfId="5735" xr:uid="{00000000-0005-0000-0000-000058610000}"/>
    <cellStyle name="Note 2 4 3 3 2" xfId="22605" xr:uid="{00000000-0005-0000-0000-000059610000}"/>
    <cellStyle name="Note 2 4 3 3 2 2" xfId="39473" xr:uid="{F9F4A4F1-A088-468C-B4E7-400718DDD8E9}"/>
    <cellStyle name="Note 2 4 3 3 3" xfId="14170" xr:uid="{00000000-0005-0000-0000-00005A610000}"/>
    <cellStyle name="Note 2 4 3 3 4" xfId="31039" xr:uid="{B2D1E1D1-725D-450A-98C4-AE2220FDEDD8}"/>
    <cellStyle name="Note 2 4 3 4" xfId="18387" xr:uid="{00000000-0005-0000-0000-00005B610000}"/>
    <cellStyle name="Note 2 4 3 4 2" xfId="35256" xr:uid="{5BD57EE9-9225-4B2B-A93A-E5D102BA8327}"/>
    <cellStyle name="Note 2 4 3 5" xfId="9952" xr:uid="{00000000-0005-0000-0000-00005C610000}"/>
    <cellStyle name="Note 2 4 3 6" xfId="26822" xr:uid="{371AB670-2FFF-4E2C-AA8C-12A745EE2C6A}"/>
    <cellStyle name="Note 2 4 4" xfId="1841" xr:uid="{00000000-0005-0000-0000-00005D610000}"/>
    <cellStyle name="Note 2 4 4 2" xfId="4070" xr:uid="{00000000-0005-0000-0000-00005E610000}"/>
    <cellStyle name="Note 2 4 4 2 2" xfId="8293" xr:uid="{00000000-0005-0000-0000-00005F610000}"/>
    <cellStyle name="Note 2 4 4 2 2 2" xfId="25163" xr:uid="{00000000-0005-0000-0000-000060610000}"/>
    <cellStyle name="Note 2 4 4 2 2 2 2" xfId="42031" xr:uid="{40209CF0-C6A6-4EEC-BFC6-2E0BB151EDD9}"/>
    <cellStyle name="Note 2 4 4 2 2 3" xfId="16728" xr:uid="{00000000-0005-0000-0000-000061610000}"/>
    <cellStyle name="Note 2 4 4 2 2 4" xfId="33597" xr:uid="{13F14B78-24BC-4C63-B049-7F6738B48505}"/>
    <cellStyle name="Note 2 4 4 2 3" xfId="20945" xr:uid="{00000000-0005-0000-0000-000062610000}"/>
    <cellStyle name="Note 2 4 4 2 3 2" xfId="37814" xr:uid="{B0904293-F5F2-4596-A69F-46A274BE7CDF}"/>
    <cellStyle name="Note 2 4 4 2 4" xfId="12510" xr:uid="{00000000-0005-0000-0000-000063610000}"/>
    <cellStyle name="Note 2 4 4 2 5" xfId="29380" xr:uid="{2C0BC6DE-03FC-470E-AAA3-C46B192846CF}"/>
    <cellStyle name="Note 2 4 4 3" xfId="6148" xr:uid="{00000000-0005-0000-0000-000064610000}"/>
    <cellStyle name="Note 2 4 4 3 2" xfId="23018" xr:uid="{00000000-0005-0000-0000-000065610000}"/>
    <cellStyle name="Note 2 4 4 3 2 2" xfId="39886" xr:uid="{D19D1367-A61C-47C3-B12C-0301E4DDD8A0}"/>
    <cellStyle name="Note 2 4 4 3 3" xfId="14583" xr:uid="{00000000-0005-0000-0000-000066610000}"/>
    <cellStyle name="Note 2 4 4 3 4" xfId="31452" xr:uid="{29BCB62B-BFB8-4BB2-BA96-9D431196EE86}"/>
    <cellStyle name="Note 2 4 4 4" xfId="18800" xr:uid="{00000000-0005-0000-0000-000067610000}"/>
    <cellStyle name="Note 2 4 4 4 2" xfId="35669" xr:uid="{AA6F735F-8BE5-4651-AE18-450AB4EF2F26}"/>
    <cellStyle name="Note 2 4 4 5" xfId="10365" xr:uid="{00000000-0005-0000-0000-000068610000}"/>
    <cellStyle name="Note 2 4 4 6" xfId="27235" xr:uid="{7D9EB695-DC37-4365-87B8-400ED5AEC0EE}"/>
    <cellStyle name="Note 2 4 5" xfId="2254" xr:uid="{00000000-0005-0000-0000-000069610000}"/>
    <cellStyle name="Note 2 4 5 2" xfId="4483" xr:uid="{00000000-0005-0000-0000-00006A610000}"/>
    <cellStyle name="Note 2 4 5 2 2" xfId="8706" xr:uid="{00000000-0005-0000-0000-00006B610000}"/>
    <cellStyle name="Note 2 4 5 2 2 2" xfId="25576" xr:uid="{00000000-0005-0000-0000-00006C610000}"/>
    <cellStyle name="Note 2 4 5 2 2 2 2" xfId="42444" xr:uid="{23BE986F-41EB-47F7-B896-0F701E3D0751}"/>
    <cellStyle name="Note 2 4 5 2 2 3" xfId="17141" xr:uid="{00000000-0005-0000-0000-00006D610000}"/>
    <cellStyle name="Note 2 4 5 2 2 4" xfId="34010" xr:uid="{874C7F29-F557-4210-B9E6-9A0EC7D74053}"/>
    <cellStyle name="Note 2 4 5 2 3" xfId="21358" xr:uid="{00000000-0005-0000-0000-00006E610000}"/>
    <cellStyle name="Note 2 4 5 2 3 2" xfId="38227" xr:uid="{696A34E3-FC5D-4BFF-BF04-1985E53395D6}"/>
    <cellStyle name="Note 2 4 5 2 4" xfId="12923" xr:uid="{00000000-0005-0000-0000-00006F610000}"/>
    <cellStyle name="Note 2 4 5 2 5" xfId="29793" xr:uid="{C5220AE7-3751-4AE7-A3D8-7075751E57D6}"/>
    <cellStyle name="Note 2 4 5 3" xfId="6561" xr:uid="{00000000-0005-0000-0000-000070610000}"/>
    <cellStyle name="Note 2 4 5 3 2" xfId="23431" xr:uid="{00000000-0005-0000-0000-000071610000}"/>
    <cellStyle name="Note 2 4 5 3 2 2" xfId="40299" xr:uid="{E232CA47-B27E-4828-A367-1AFFF3BEC766}"/>
    <cellStyle name="Note 2 4 5 3 3" xfId="14996" xr:uid="{00000000-0005-0000-0000-000072610000}"/>
    <cellStyle name="Note 2 4 5 3 4" xfId="31865" xr:uid="{9C9D8A75-2360-4F59-8E9E-74C6C141CDE3}"/>
    <cellStyle name="Note 2 4 5 4" xfId="19213" xr:uid="{00000000-0005-0000-0000-000073610000}"/>
    <cellStyle name="Note 2 4 5 4 2" xfId="36082" xr:uid="{E801313C-C0CF-4F08-B145-07E3EBF21C54}"/>
    <cellStyle name="Note 2 4 5 5" xfId="10778" xr:uid="{00000000-0005-0000-0000-000074610000}"/>
    <cellStyle name="Note 2 4 5 6" xfId="27648" xr:uid="{0E61AADA-7BC2-4265-A599-2BCFBC6F46D5}"/>
    <cellStyle name="Note 2 4 6" xfId="2690" xr:uid="{00000000-0005-0000-0000-000075610000}"/>
    <cellStyle name="Note 2 4 6 2" xfId="6974" xr:uid="{00000000-0005-0000-0000-000076610000}"/>
    <cellStyle name="Note 2 4 6 2 2" xfId="23844" xr:uid="{00000000-0005-0000-0000-000077610000}"/>
    <cellStyle name="Note 2 4 6 2 2 2" xfId="40712" xr:uid="{3A4E1343-39BB-404E-9B70-1486AB923A09}"/>
    <cellStyle name="Note 2 4 6 2 3" xfId="15409" xr:uid="{00000000-0005-0000-0000-000078610000}"/>
    <cellStyle name="Note 2 4 6 2 4" xfId="32278" xr:uid="{EEDCE0F8-568D-4C08-8C1F-D798E487E8D1}"/>
    <cellStyle name="Note 2 4 6 3" xfId="19626" xr:uid="{00000000-0005-0000-0000-000079610000}"/>
    <cellStyle name="Note 2 4 6 3 2" xfId="36495" xr:uid="{F6590D69-7920-4A76-A2D8-ED132CAF0D6C}"/>
    <cellStyle name="Note 2 4 6 4" xfId="11191" xr:uid="{00000000-0005-0000-0000-00007A610000}"/>
    <cellStyle name="Note 2 4 6 5" xfId="28061" xr:uid="{5A99FCDD-86B3-41DE-98D8-F5B40A76F0C1}"/>
    <cellStyle name="Note 2 4 7" xfId="2749" xr:uid="{00000000-0005-0000-0000-00007B610000}"/>
    <cellStyle name="Note 2 4 8" xfId="2830" xr:uid="{00000000-0005-0000-0000-00007C610000}"/>
    <cellStyle name="Note 2 4 8 2" xfId="7054" xr:uid="{00000000-0005-0000-0000-00007D610000}"/>
    <cellStyle name="Note 2 4 8 2 2" xfId="23924" xr:uid="{00000000-0005-0000-0000-00007E610000}"/>
    <cellStyle name="Note 2 4 8 2 2 2" xfId="40792" xr:uid="{99FE6939-5FC1-4624-95E9-0414333F7BD6}"/>
    <cellStyle name="Note 2 4 8 2 3" xfId="15489" xr:uid="{00000000-0005-0000-0000-00007F610000}"/>
    <cellStyle name="Note 2 4 8 2 4" xfId="32358" xr:uid="{1B86980B-A174-4FBE-9FF7-1F7C295BED16}"/>
    <cellStyle name="Note 2 4 8 3" xfId="19706" xr:uid="{00000000-0005-0000-0000-000080610000}"/>
    <cellStyle name="Note 2 4 8 3 2" xfId="36575" xr:uid="{C4C3A035-B143-45E0-B289-3004727D8362}"/>
    <cellStyle name="Note 2 4 8 4" xfId="11271" xr:uid="{00000000-0005-0000-0000-000081610000}"/>
    <cellStyle name="Note 2 4 8 5" xfId="28141" xr:uid="{A09D0DF9-039A-4155-A660-D3C46F3714AE}"/>
    <cellStyle name="Note 2 4 9" xfId="4909" xr:uid="{00000000-0005-0000-0000-000082610000}"/>
    <cellStyle name="Note 2 4 9 2" xfId="21779" xr:uid="{00000000-0005-0000-0000-000083610000}"/>
    <cellStyle name="Note 2 4 9 2 2" xfId="38647" xr:uid="{62F9AEEB-F1A0-4182-9FCA-190CBC9DB821}"/>
    <cellStyle name="Note 2 4 9 3" xfId="13344" xr:uid="{00000000-0005-0000-0000-000084610000}"/>
    <cellStyle name="Note 2 4 9 4" xfId="30213" xr:uid="{61E86B2D-EAA5-4F33-ADF8-4E25CCD02375}"/>
    <cellStyle name="Note 2 5" xfId="552" xr:uid="{00000000-0005-0000-0000-000085610000}"/>
    <cellStyle name="Note 2 5 10" xfId="17562" xr:uid="{00000000-0005-0000-0000-000086610000}"/>
    <cellStyle name="Note 2 5 10 2" xfId="34431" xr:uid="{C946C445-E709-40AA-9394-CCD8AD99E5BE}"/>
    <cellStyle name="Note 2 5 11" xfId="9127" xr:uid="{00000000-0005-0000-0000-000087610000}"/>
    <cellStyle name="Note 2 5 12" xfId="25997" xr:uid="{3870A9F2-BB3E-4727-84BF-FF4A44D1A3D1}"/>
    <cellStyle name="Note 2 5 2" xfId="1013" xr:uid="{00000000-0005-0000-0000-000088610000}"/>
    <cellStyle name="Note 2 5 2 2" xfId="3245" xr:uid="{00000000-0005-0000-0000-000089610000}"/>
    <cellStyle name="Note 2 5 2 2 2" xfId="7468" xr:uid="{00000000-0005-0000-0000-00008A610000}"/>
    <cellStyle name="Note 2 5 2 2 2 2" xfId="24338" xr:uid="{00000000-0005-0000-0000-00008B610000}"/>
    <cellStyle name="Note 2 5 2 2 2 2 2" xfId="41206" xr:uid="{30F41E26-74FF-42FD-8569-82898D65702E}"/>
    <cellStyle name="Note 2 5 2 2 2 3" xfId="15903" xr:uid="{00000000-0005-0000-0000-00008C610000}"/>
    <cellStyle name="Note 2 5 2 2 2 4" xfId="32772" xr:uid="{AF3DD43D-EB99-405C-9B33-7BE1B14D7057}"/>
    <cellStyle name="Note 2 5 2 2 3" xfId="20120" xr:uid="{00000000-0005-0000-0000-00008D610000}"/>
    <cellStyle name="Note 2 5 2 2 3 2" xfId="36989" xr:uid="{9D984983-008D-4EF6-B5F7-7108D4E60A70}"/>
    <cellStyle name="Note 2 5 2 2 4" xfId="11685" xr:uid="{00000000-0005-0000-0000-00008E610000}"/>
    <cellStyle name="Note 2 5 2 2 5" xfId="28555" xr:uid="{9AEF1782-DF0C-4EFF-A168-72D5942780ED}"/>
    <cellStyle name="Note 2 5 2 3" xfId="5323" xr:uid="{00000000-0005-0000-0000-00008F610000}"/>
    <cellStyle name="Note 2 5 2 3 2" xfId="22193" xr:uid="{00000000-0005-0000-0000-000090610000}"/>
    <cellStyle name="Note 2 5 2 3 2 2" xfId="39061" xr:uid="{B3061741-4E5C-426B-831B-D77A924AD614}"/>
    <cellStyle name="Note 2 5 2 3 3" xfId="13758" xr:uid="{00000000-0005-0000-0000-000091610000}"/>
    <cellStyle name="Note 2 5 2 3 4" xfId="30627" xr:uid="{938661D1-44D4-4167-9BFD-82F435A6EAFA}"/>
    <cellStyle name="Note 2 5 2 4" xfId="17975" xr:uid="{00000000-0005-0000-0000-000092610000}"/>
    <cellStyle name="Note 2 5 2 4 2" xfId="34844" xr:uid="{F1976DFB-C43B-49D6-B4B4-9BCBE427DBEB}"/>
    <cellStyle name="Note 2 5 2 5" xfId="9540" xr:uid="{00000000-0005-0000-0000-000093610000}"/>
    <cellStyle name="Note 2 5 2 6" xfId="26410" xr:uid="{9855F9D5-9FEF-4D6F-A3A4-031F9AE3C7AA}"/>
    <cellStyle name="Note 2 5 3" xfId="1428" xr:uid="{00000000-0005-0000-0000-000094610000}"/>
    <cellStyle name="Note 2 5 3 2" xfId="3658" xr:uid="{00000000-0005-0000-0000-000095610000}"/>
    <cellStyle name="Note 2 5 3 2 2" xfId="7881" xr:uid="{00000000-0005-0000-0000-000096610000}"/>
    <cellStyle name="Note 2 5 3 2 2 2" xfId="24751" xr:uid="{00000000-0005-0000-0000-000097610000}"/>
    <cellStyle name="Note 2 5 3 2 2 2 2" xfId="41619" xr:uid="{A9702132-6D68-4012-A468-D9327879378A}"/>
    <cellStyle name="Note 2 5 3 2 2 3" xfId="16316" xr:uid="{00000000-0005-0000-0000-000098610000}"/>
    <cellStyle name="Note 2 5 3 2 2 4" xfId="33185" xr:uid="{7DDCE716-AFE7-44D5-B935-622C0568C1A1}"/>
    <cellStyle name="Note 2 5 3 2 3" xfId="20533" xr:uid="{00000000-0005-0000-0000-000099610000}"/>
    <cellStyle name="Note 2 5 3 2 3 2" xfId="37402" xr:uid="{CE172BA4-DD05-4890-A7AA-6DA925FE1445}"/>
    <cellStyle name="Note 2 5 3 2 4" xfId="12098" xr:uid="{00000000-0005-0000-0000-00009A610000}"/>
    <cellStyle name="Note 2 5 3 2 5" xfId="28968" xr:uid="{F1DF814D-C9A6-4834-A730-49FD423E420F}"/>
    <cellStyle name="Note 2 5 3 3" xfId="5736" xr:uid="{00000000-0005-0000-0000-00009B610000}"/>
    <cellStyle name="Note 2 5 3 3 2" xfId="22606" xr:uid="{00000000-0005-0000-0000-00009C610000}"/>
    <cellStyle name="Note 2 5 3 3 2 2" xfId="39474" xr:uid="{234E4BC9-C062-445F-B9FE-23FAFBBDB4CD}"/>
    <cellStyle name="Note 2 5 3 3 3" xfId="14171" xr:uid="{00000000-0005-0000-0000-00009D610000}"/>
    <cellStyle name="Note 2 5 3 3 4" xfId="31040" xr:uid="{7BD1BE5F-599E-44E5-9F25-A1C99192EB33}"/>
    <cellStyle name="Note 2 5 3 4" xfId="18388" xr:uid="{00000000-0005-0000-0000-00009E610000}"/>
    <cellStyle name="Note 2 5 3 4 2" xfId="35257" xr:uid="{590F905F-DAA6-4D72-8A40-AC723E7518CA}"/>
    <cellStyle name="Note 2 5 3 5" xfId="9953" xr:uid="{00000000-0005-0000-0000-00009F610000}"/>
    <cellStyle name="Note 2 5 3 6" xfId="26823" xr:uid="{EE7D441F-42AD-4716-913C-9900A0805DBF}"/>
    <cellStyle name="Note 2 5 4" xfId="1842" xr:uid="{00000000-0005-0000-0000-0000A0610000}"/>
    <cellStyle name="Note 2 5 4 2" xfId="4071" xr:uid="{00000000-0005-0000-0000-0000A1610000}"/>
    <cellStyle name="Note 2 5 4 2 2" xfId="8294" xr:uid="{00000000-0005-0000-0000-0000A2610000}"/>
    <cellStyle name="Note 2 5 4 2 2 2" xfId="25164" xr:uid="{00000000-0005-0000-0000-0000A3610000}"/>
    <cellStyle name="Note 2 5 4 2 2 2 2" xfId="42032" xr:uid="{822E4633-59D2-4E76-8526-11AB51DA712C}"/>
    <cellStyle name="Note 2 5 4 2 2 3" xfId="16729" xr:uid="{00000000-0005-0000-0000-0000A4610000}"/>
    <cellStyle name="Note 2 5 4 2 2 4" xfId="33598" xr:uid="{6A1B6C1B-7059-4FD8-BBBC-E529C80AB703}"/>
    <cellStyle name="Note 2 5 4 2 3" xfId="20946" xr:uid="{00000000-0005-0000-0000-0000A5610000}"/>
    <cellStyle name="Note 2 5 4 2 3 2" xfId="37815" xr:uid="{D9E580B6-6FDA-43F0-8130-E3CDC3368BB7}"/>
    <cellStyle name="Note 2 5 4 2 4" xfId="12511" xr:uid="{00000000-0005-0000-0000-0000A6610000}"/>
    <cellStyle name="Note 2 5 4 2 5" xfId="29381" xr:uid="{25A0F683-13A7-4946-86A1-4937B902A641}"/>
    <cellStyle name="Note 2 5 4 3" xfId="6149" xr:uid="{00000000-0005-0000-0000-0000A7610000}"/>
    <cellStyle name="Note 2 5 4 3 2" xfId="23019" xr:uid="{00000000-0005-0000-0000-0000A8610000}"/>
    <cellStyle name="Note 2 5 4 3 2 2" xfId="39887" xr:uid="{6BA4B1DF-CE56-4032-AB07-A510882CAB20}"/>
    <cellStyle name="Note 2 5 4 3 3" xfId="14584" xr:uid="{00000000-0005-0000-0000-0000A9610000}"/>
    <cellStyle name="Note 2 5 4 3 4" xfId="31453" xr:uid="{C01235A2-6C59-4EC1-8ED2-60D1DA0F97AA}"/>
    <cellStyle name="Note 2 5 4 4" xfId="18801" xr:uid="{00000000-0005-0000-0000-0000AA610000}"/>
    <cellStyle name="Note 2 5 4 4 2" xfId="35670" xr:uid="{A9BB7B22-231E-4E7A-BB64-E0B476E595C3}"/>
    <cellStyle name="Note 2 5 4 5" xfId="10366" xr:uid="{00000000-0005-0000-0000-0000AB610000}"/>
    <cellStyle name="Note 2 5 4 6" xfId="27236" xr:uid="{D7F9F498-A8A4-4871-8997-F54FCF548679}"/>
    <cellStyle name="Note 2 5 5" xfId="2255" xr:uid="{00000000-0005-0000-0000-0000AC610000}"/>
    <cellStyle name="Note 2 5 5 2" xfId="4484" xr:uid="{00000000-0005-0000-0000-0000AD610000}"/>
    <cellStyle name="Note 2 5 5 2 2" xfId="8707" xr:uid="{00000000-0005-0000-0000-0000AE610000}"/>
    <cellStyle name="Note 2 5 5 2 2 2" xfId="25577" xr:uid="{00000000-0005-0000-0000-0000AF610000}"/>
    <cellStyle name="Note 2 5 5 2 2 2 2" xfId="42445" xr:uid="{564A3502-48B3-4840-B047-3CC9F7C770C7}"/>
    <cellStyle name="Note 2 5 5 2 2 3" xfId="17142" xr:uid="{00000000-0005-0000-0000-0000B0610000}"/>
    <cellStyle name="Note 2 5 5 2 2 4" xfId="34011" xr:uid="{7B3B28DF-4878-4CFF-958E-2DDAE9EA4771}"/>
    <cellStyle name="Note 2 5 5 2 3" xfId="21359" xr:uid="{00000000-0005-0000-0000-0000B1610000}"/>
    <cellStyle name="Note 2 5 5 2 3 2" xfId="38228" xr:uid="{F89F5215-437B-4773-93EE-57152A2A64A9}"/>
    <cellStyle name="Note 2 5 5 2 4" xfId="12924" xr:uid="{00000000-0005-0000-0000-0000B2610000}"/>
    <cellStyle name="Note 2 5 5 2 5" xfId="29794" xr:uid="{FDEC6A09-9675-4AEF-B848-7EF845B8F95C}"/>
    <cellStyle name="Note 2 5 5 3" xfId="6562" xr:uid="{00000000-0005-0000-0000-0000B3610000}"/>
    <cellStyle name="Note 2 5 5 3 2" xfId="23432" xr:uid="{00000000-0005-0000-0000-0000B4610000}"/>
    <cellStyle name="Note 2 5 5 3 2 2" xfId="40300" xr:uid="{28792077-3AE4-4D79-8716-FF2D8DCD248E}"/>
    <cellStyle name="Note 2 5 5 3 3" xfId="14997" xr:uid="{00000000-0005-0000-0000-0000B5610000}"/>
    <cellStyle name="Note 2 5 5 3 4" xfId="31866" xr:uid="{9B8B58EF-4AE5-4E1A-A77E-77D44EE40A84}"/>
    <cellStyle name="Note 2 5 5 4" xfId="19214" xr:uid="{00000000-0005-0000-0000-0000B6610000}"/>
    <cellStyle name="Note 2 5 5 4 2" xfId="36083" xr:uid="{886884AE-4EBD-41D1-BE4F-B78C2C51B0A9}"/>
    <cellStyle name="Note 2 5 5 5" xfId="10779" xr:uid="{00000000-0005-0000-0000-0000B7610000}"/>
    <cellStyle name="Note 2 5 5 6" xfId="27649" xr:uid="{E8C8D90D-3BBF-4BE8-A4E2-D1309A25B6E6}"/>
    <cellStyle name="Note 2 5 6" xfId="2691" xr:uid="{00000000-0005-0000-0000-0000B8610000}"/>
    <cellStyle name="Note 2 5 6 2" xfId="6975" xr:uid="{00000000-0005-0000-0000-0000B9610000}"/>
    <cellStyle name="Note 2 5 6 2 2" xfId="23845" xr:uid="{00000000-0005-0000-0000-0000BA610000}"/>
    <cellStyle name="Note 2 5 6 2 2 2" xfId="40713" xr:uid="{FE8151D4-204D-4160-8B90-C235F3F6DF80}"/>
    <cellStyle name="Note 2 5 6 2 3" xfId="15410" xr:uid="{00000000-0005-0000-0000-0000BB610000}"/>
    <cellStyle name="Note 2 5 6 2 4" xfId="32279" xr:uid="{56533A57-0473-4358-8347-1F23F3BC23C5}"/>
    <cellStyle name="Note 2 5 6 3" xfId="19627" xr:uid="{00000000-0005-0000-0000-0000BC610000}"/>
    <cellStyle name="Note 2 5 6 3 2" xfId="36496" xr:uid="{35A58E19-74CD-41DB-84AC-9A67ED1D91B5}"/>
    <cellStyle name="Note 2 5 6 4" xfId="11192" xr:uid="{00000000-0005-0000-0000-0000BD610000}"/>
    <cellStyle name="Note 2 5 6 5" xfId="28062" xr:uid="{38D96D57-3757-49F4-ACE0-82522C426690}"/>
    <cellStyle name="Note 2 5 7" xfId="2750" xr:uid="{00000000-0005-0000-0000-0000BE610000}"/>
    <cellStyle name="Note 2 5 8" xfId="2831" xr:uid="{00000000-0005-0000-0000-0000BF610000}"/>
    <cellStyle name="Note 2 5 8 2" xfId="7055" xr:uid="{00000000-0005-0000-0000-0000C0610000}"/>
    <cellStyle name="Note 2 5 8 2 2" xfId="23925" xr:uid="{00000000-0005-0000-0000-0000C1610000}"/>
    <cellStyle name="Note 2 5 8 2 2 2" xfId="40793" xr:uid="{0C2ECA1E-4AB7-4B45-8D0C-8548393E70DF}"/>
    <cellStyle name="Note 2 5 8 2 3" xfId="15490" xr:uid="{00000000-0005-0000-0000-0000C2610000}"/>
    <cellStyle name="Note 2 5 8 2 4" xfId="32359" xr:uid="{E1A12B08-49D2-4AC5-970E-A026A47D6D68}"/>
    <cellStyle name="Note 2 5 8 3" xfId="19707" xr:uid="{00000000-0005-0000-0000-0000C3610000}"/>
    <cellStyle name="Note 2 5 8 3 2" xfId="36576" xr:uid="{4921E588-6AE4-4333-B40F-5855DEE5A2E6}"/>
    <cellStyle name="Note 2 5 8 4" xfId="11272" xr:uid="{00000000-0005-0000-0000-0000C4610000}"/>
    <cellStyle name="Note 2 5 8 5" xfId="28142" xr:uid="{42DDC11F-4A50-4FD1-8AAF-2B807973ABCE}"/>
    <cellStyle name="Note 2 5 9" xfId="4910" xr:uid="{00000000-0005-0000-0000-0000C5610000}"/>
    <cellStyle name="Note 2 5 9 2" xfId="21780" xr:uid="{00000000-0005-0000-0000-0000C6610000}"/>
    <cellStyle name="Note 2 5 9 2 2" xfId="38648" xr:uid="{75DA5AC8-2B57-421F-A519-3BC0A01F5F7F}"/>
    <cellStyle name="Note 2 5 9 3" xfId="13345" xr:uid="{00000000-0005-0000-0000-0000C7610000}"/>
    <cellStyle name="Note 2 5 9 4" xfId="30214" xr:uid="{3BC492DA-BBB4-47EC-AC43-050AE1065086}"/>
    <cellStyle name="Note 3" xfId="553" xr:uid="{00000000-0005-0000-0000-0000C8610000}"/>
    <cellStyle name="Note 3 2" xfId="554" xr:uid="{00000000-0005-0000-0000-0000C9610000}"/>
    <cellStyle name="Note 3 2 10" xfId="2832" xr:uid="{00000000-0005-0000-0000-0000CA610000}"/>
    <cellStyle name="Note 3 2 10 2" xfId="7056" xr:uid="{00000000-0005-0000-0000-0000CB610000}"/>
    <cellStyle name="Note 3 2 10 2 2" xfId="23926" xr:uid="{00000000-0005-0000-0000-0000CC610000}"/>
    <cellStyle name="Note 3 2 10 2 2 2" xfId="40794" xr:uid="{372266E3-31DA-402D-BABA-74B867A443A5}"/>
    <cellStyle name="Note 3 2 10 2 3" xfId="15491" xr:uid="{00000000-0005-0000-0000-0000CD610000}"/>
    <cellStyle name="Note 3 2 10 2 4" xfId="32360" xr:uid="{90D77121-9AAA-439B-B429-88C8AC6D5802}"/>
    <cellStyle name="Note 3 2 10 3" xfId="19708" xr:uid="{00000000-0005-0000-0000-0000CE610000}"/>
    <cellStyle name="Note 3 2 10 3 2" xfId="36577" xr:uid="{8429C6DA-1E14-41CA-82D6-A34C9CD689C7}"/>
    <cellStyle name="Note 3 2 10 4" xfId="11273" xr:uid="{00000000-0005-0000-0000-0000CF610000}"/>
    <cellStyle name="Note 3 2 10 5" xfId="28143" xr:uid="{A2CA3E22-42C2-4A93-A1A9-E9A29B27F58E}"/>
    <cellStyle name="Note 3 2 11" xfId="4911" xr:uid="{00000000-0005-0000-0000-0000D0610000}"/>
    <cellStyle name="Note 3 2 11 2" xfId="21781" xr:uid="{00000000-0005-0000-0000-0000D1610000}"/>
    <cellStyle name="Note 3 2 11 2 2" xfId="38649" xr:uid="{B3AC9DB3-6C8A-48B1-95CB-64503D555402}"/>
    <cellStyle name="Note 3 2 11 3" xfId="13346" xr:uid="{00000000-0005-0000-0000-0000D2610000}"/>
    <cellStyle name="Note 3 2 11 4" xfId="30215" xr:uid="{32EC2B0A-5972-485A-A2D4-961AFDF51784}"/>
    <cellStyle name="Note 3 2 12" xfId="17563" xr:uid="{00000000-0005-0000-0000-0000D3610000}"/>
    <cellStyle name="Note 3 2 12 2" xfId="34432" xr:uid="{7753C1F1-3781-41F8-AC22-2B0A122E71DF}"/>
    <cellStyle name="Note 3 2 13" xfId="9128" xr:uid="{00000000-0005-0000-0000-0000D4610000}"/>
    <cellStyle name="Note 3 2 14" xfId="25998" xr:uid="{1BC0C97A-7C69-4E0F-BCC3-E30EB97558A8}"/>
    <cellStyle name="Note 3 2 2" xfId="555" xr:uid="{00000000-0005-0000-0000-0000D5610000}"/>
    <cellStyle name="Note 3 2 2 10" xfId="4912" xr:uid="{00000000-0005-0000-0000-0000D6610000}"/>
    <cellStyle name="Note 3 2 2 10 2" xfId="21782" xr:uid="{00000000-0005-0000-0000-0000D7610000}"/>
    <cellStyle name="Note 3 2 2 10 2 2" xfId="38650" xr:uid="{726A54D8-70FB-49C5-BC4A-9C9FFE6E5AF9}"/>
    <cellStyle name="Note 3 2 2 10 3" xfId="13347" xr:uid="{00000000-0005-0000-0000-0000D8610000}"/>
    <cellStyle name="Note 3 2 2 10 4" xfId="30216" xr:uid="{ECC76351-AC55-4109-B79F-C45C36E03D4D}"/>
    <cellStyle name="Note 3 2 2 11" xfId="17564" xr:uid="{00000000-0005-0000-0000-0000D9610000}"/>
    <cellStyle name="Note 3 2 2 11 2" xfId="34433" xr:uid="{26336E20-BE10-44BE-AC5D-CC8878880AA9}"/>
    <cellStyle name="Note 3 2 2 12" xfId="9129" xr:uid="{00000000-0005-0000-0000-0000DA610000}"/>
    <cellStyle name="Note 3 2 2 13" xfId="25999" xr:uid="{39EF558A-23FF-42E3-A155-B75FA4660927}"/>
    <cellStyle name="Note 3 2 2 2" xfId="556" xr:uid="{00000000-0005-0000-0000-0000DB610000}"/>
    <cellStyle name="Note 3 2 2 2 10" xfId="17565" xr:uid="{00000000-0005-0000-0000-0000DC610000}"/>
    <cellStyle name="Note 3 2 2 2 10 2" xfId="34434" xr:uid="{8BEBFB92-16F9-4CDC-8DDC-7660A682895A}"/>
    <cellStyle name="Note 3 2 2 2 11" xfId="9130" xr:uid="{00000000-0005-0000-0000-0000DD610000}"/>
    <cellStyle name="Note 3 2 2 2 12" xfId="26000" xr:uid="{BFE040DF-3BF9-48A9-A0EB-E4896019C26C}"/>
    <cellStyle name="Note 3 2 2 2 2" xfId="1016" xr:uid="{00000000-0005-0000-0000-0000DE610000}"/>
    <cellStyle name="Note 3 2 2 2 2 2" xfId="3248" xr:uid="{00000000-0005-0000-0000-0000DF610000}"/>
    <cellStyle name="Note 3 2 2 2 2 2 2" xfId="7471" xr:uid="{00000000-0005-0000-0000-0000E0610000}"/>
    <cellStyle name="Note 3 2 2 2 2 2 2 2" xfId="24341" xr:uid="{00000000-0005-0000-0000-0000E1610000}"/>
    <cellStyle name="Note 3 2 2 2 2 2 2 2 2" xfId="41209" xr:uid="{537A5AAC-D2B2-42FA-9DA8-CFDDA6F95584}"/>
    <cellStyle name="Note 3 2 2 2 2 2 2 3" xfId="15906" xr:uid="{00000000-0005-0000-0000-0000E2610000}"/>
    <cellStyle name="Note 3 2 2 2 2 2 2 4" xfId="32775" xr:uid="{1C1A628B-08DA-4A70-BAE3-02E6159DB9D8}"/>
    <cellStyle name="Note 3 2 2 2 2 2 3" xfId="20123" xr:uid="{00000000-0005-0000-0000-0000E3610000}"/>
    <cellStyle name="Note 3 2 2 2 2 2 3 2" xfId="36992" xr:uid="{2883AB9C-0E5C-4D01-B6C7-44981FB1392F}"/>
    <cellStyle name="Note 3 2 2 2 2 2 4" xfId="11688" xr:uid="{00000000-0005-0000-0000-0000E4610000}"/>
    <cellStyle name="Note 3 2 2 2 2 2 5" xfId="28558" xr:uid="{B49DF0B1-2824-4EB0-9726-1370C20F92F8}"/>
    <cellStyle name="Note 3 2 2 2 2 3" xfId="5326" xr:uid="{00000000-0005-0000-0000-0000E5610000}"/>
    <cellStyle name="Note 3 2 2 2 2 3 2" xfId="22196" xr:uid="{00000000-0005-0000-0000-0000E6610000}"/>
    <cellStyle name="Note 3 2 2 2 2 3 2 2" xfId="39064" xr:uid="{BE62C056-9954-478A-A9EA-D102CD804BB0}"/>
    <cellStyle name="Note 3 2 2 2 2 3 3" xfId="13761" xr:uid="{00000000-0005-0000-0000-0000E7610000}"/>
    <cellStyle name="Note 3 2 2 2 2 3 4" xfId="30630" xr:uid="{72971D50-0D61-4D02-8D2F-807DB9C5E12E}"/>
    <cellStyle name="Note 3 2 2 2 2 4" xfId="17978" xr:uid="{00000000-0005-0000-0000-0000E8610000}"/>
    <cellStyle name="Note 3 2 2 2 2 4 2" xfId="34847" xr:uid="{64F3405C-4643-46E0-89C2-5102563C6419}"/>
    <cellStyle name="Note 3 2 2 2 2 5" xfId="9543" xr:uid="{00000000-0005-0000-0000-0000E9610000}"/>
    <cellStyle name="Note 3 2 2 2 2 6" xfId="26413" xr:uid="{FDBC19D4-3200-4F4C-B879-AC72358A496B}"/>
    <cellStyle name="Note 3 2 2 2 3" xfId="1431" xr:uid="{00000000-0005-0000-0000-0000EA610000}"/>
    <cellStyle name="Note 3 2 2 2 3 2" xfId="3661" xr:uid="{00000000-0005-0000-0000-0000EB610000}"/>
    <cellStyle name="Note 3 2 2 2 3 2 2" xfId="7884" xr:uid="{00000000-0005-0000-0000-0000EC610000}"/>
    <cellStyle name="Note 3 2 2 2 3 2 2 2" xfId="24754" xr:uid="{00000000-0005-0000-0000-0000ED610000}"/>
    <cellStyle name="Note 3 2 2 2 3 2 2 2 2" xfId="41622" xr:uid="{FC0FC6FE-9376-4FD1-91A5-62D4F3FC7392}"/>
    <cellStyle name="Note 3 2 2 2 3 2 2 3" xfId="16319" xr:uid="{00000000-0005-0000-0000-0000EE610000}"/>
    <cellStyle name="Note 3 2 2 2 3 2 2 4" xfId="33188" xr:uid="{B86AE192-7256-4569-A703-5B9FFFBF6A17}"/>
    <cellStyle name="Note 3 2 2 2 3 2 3" xfId="20536" xr:uid="{00000000-0005-0000-0000-0000EF610000}"/>
    <cellStyle name="Note 3 2 2 2 3 2 3 2" xfId="37405" xr:uid="{9145243A-14F9-4769-BB5B-659E6D9B81B2}"/>
    <cellStyle name="Note 3 2 2 2 3 2 4" xfId="12101" xr:uid="{00000000-0005-0000-0000-0000F0610000}"/>
    <cellStyle name="Note 3 2 2 2 3 2 5" xfId="28971" xr:uid="{EBD5BE72-1929-4F00-8F37-92C30E6A68AF}"/>
    <cellStyle name="Note 3 2 2 2 3 3" xfId="5739" xr:uid="{00000000-0005-0000-0000-0000F1610000}"/>
    <cellStyle name="Note 3 2 2 2 3 3 2" xfId="22609" xr:uid="{00000000-0005-0000-0000-0000F2610000}"/>
    <cellStyle name="Note 3 2 2 2 3 3 2 2" xfId="39477" xr:uid="{D73D6100-EE9B-4094-9826-60652A3C5AF1}"/>
    <cellStyle name="Note 3 2 2 2 3 3 3" xfId="14174" xr:uid="{00000000-0005-0000-0000-0000F3610000}"/>
    <cellStyle name="Note 3 2 2 2 3 3 4" xfId="31043" xr:uid="{962D45D9-7D5D-4E5F-940B-880712A35BC7}"/>
    <cellStyle name="Note 3 2 2 2 3 4" xfId="18391" xr:uid="{00000000-0005-0000-0000-0000F4610000}"/>
    <cellStyle name="Note 3 2 2 2 3 4 2" xfId="35260" xr:uid="{59C6A736-1F3E-454D-BE99-211D9DB58BEC}"/>
    <cellStyle name="Note 3 2 2 2 3 5" xfId="9956" xr:uid="{00000000-0005-0000-0000-0000F5610000}"/>
    <cellStyle name="Note 3 2 2 2 3 6" xfId="26826" xr:uid="{2F4C76B2-684B-42DE-84DA-38448B8F4A9D}"/>
    <cellStyle name="Note 3 2 2 2 4" xfId="1845" xr:uid="{00000000-0005-0000-0000-0000F6610000}"/>
    <cellStyle name="Note 3 2 2 2 4 2" xfId="4074" xr:uid="{00000000-0005-0000-0000-0000F7610000}"/>
    <cellStyle name="Note 3 2 2 2 4 2 2" xfId="8297" xr:uid="{00000000-0005-0000-0000-0000F8610000}"/>
    <cellStyle name="Note 3 2 2 2 4 2 2 2" xfId="25167" xr:uid="{00000000-0005-0000-0000-0000F9610000}"/>
    <cellStyle name="Note 3 2 2 2 4 2 2 2 2" xfId="42035" xr:uid="{9E6BCCB4-9A29-45E1-870A-B51F702CD743}"/>
    <cellStyle name="Note 3 2 2 2 4 2 2 3" xfId="16732" xr:uid="{00000000-0005-0000-0000-0000FA610000}"/>
    <cellStyle name="Note 3 2 2 2 4 2 2 4" xfId="33601" xr:uid="{AEBF5609-AF74-4069-8935-8E6C61B1A804}"/>
    <cellStyle name="Note 3 2 2 2 4 2 3" xfId="20949" xr:uid="{00000000-0005-0000-0000-0000FB610000}"/>
    <cellStyle name="Note 3 2 2 2 4 2 3 2" xfId="37818" xr:uid="{6D97A932-F3FA-4DE5-955E-763DF654A752}"/>
    <cellStyle name="Note 3 2 2 2 4 2 4" xfId="12514" xr:uid="{00000000-0005-0000-0000-0000FC610000}"/>
    <cellStyle name="Note 3 2 2 2 4 2 5" xfId="29384" xr:uid="{77B29F19-3D42-4556-8FB5-3D1F860E4955}"/>
    <cellStyle name="Note 3 2 2 2 4 3" xfId="6152" xr:uid="{00000000-0005-0000-0000-0000FD610000}"/>
    <cellStyle name="Note 3 2 2 2 4 3 2" xfId="23022" xr:uid="{00000000-0005-0000-0000-0000FE610000}"/>
    <cellStyle name="Note 3 2 2 2 4 3 2 2" xfId="39890" xr:uid="{3E839BFD-7C53-4AEA-AE07-E1D146B4F468}"/>
    <cellStyle name="Note 3 2 2 2 4 3 3" xfId="14587" xr:uid="{00000000-0005-0000-0000-0000FF610000}"/>
    <cellStyle name="Note 3 2 2 2 4 3 4" xfId="31456" xr:uid="{18768C55-4157-4927-9875-A70E21BDB315}"/>
    <cellStyle name="Note 3 2 2 2 4 4" xfId="18804" xr:uid="{00000000-0005-0000-0000-000000620000}"/>
    <cellStyle name="Note 3 2 2 2 4 4 2" xfId="35673" xr:uid="{23A4CEBE-72C9-4076-8022-771F46E1BFD7}"/>
    <cellStyle name="Note 3 2 2 2 4 5" xfId="10369" xr:uid="{00000000-0005-0000-0000-000001620000}"/>
    <cellStyle name="Note 3 2 2 2 4 6" xfId="27239" xr:uid="{C6E6B6B8-C27C-476F-9FAA-6F67E2275988}"/>
    <cellStyle name="Note 3 2 2 2 5" xfId="2258" xr:uid="{00000000-0005-0000-0000-000002620000}"/>
    <cellStyle name="Note 3 2 2 2 5 2" xfId="4487" xr:uid="{00000000-0005-0000-0000-000003620000}"/>
    <cellStyle name="Note 3 2 2 2 5 2 2" xfId="8710" xr:uid="{00000000-0005-0000-0000-000004620000}"/>
    <cellStyle name="Note 3 2 2 2 5 2 2 2" xfId="25580" xr:uid="{00000000-0005-0000-0000-000005620000}"/>
    <cellStyle name="Note 3 2 2 2 5 2 2 2 2" xfId="42448" xr:uid="{E9C77BC1-3D5D-4F2B-BAEF-A956F4579596}"/>
    <cellStyle name="Note 3 2 2 2 5 2 2 3" xfId="17145" xr:uid="{00000000-0005-0000-0000-000006620000}"/>
    <cellStyle name="Note 3 2 2 2 5 2 2 4" xfId="34014" xr:uid="{5627E00D-FC55-4D97-8B80-D133BC4E2A7C}"/>
    <cellStyle name="Note 3 2 2 2 5 2 3" xfId="21362" xr:uid="{00000000-0005-0000-0000-000007620000}"/>
    <cellStyle name="Note 3 2 2 2 5 2 3 2" xfId="38231" xr:uid="{E78C8B18-042C-4510-8A35-C1FBF4E2E512}"/>
    <cellStyle name="Note 3 2 2 2 5 2 4" xfId="12927" xr:uid="{00000000-0005-0000-0000-000008620000}"/>
    <cellStyle name="Note 3 2 2 2 5 2 5" xfId="29797" xr:uid="{85241B73-79DD-4665-801B-4A02E6B8FC0B}"/>
    <cellStyle name="Note 3 2 2 2 5 3" xfId="6565" xr:uid="{00000000-0005-0000-0000-000009620000}"/>
    <cellStyle name="Note 3 2 2 2 5 3 2" xfId="23435" xr:uid="{00000000-0005-0000-0000-00000A620000}"/>
    <cellStyle name="Note 3 2 2 2 5 3 2 2" xfId="40303" xr:uid="{998714E9-ACF9-4D16-BBC1-12BC2307B511}"/>
    <cellStyle name="Note 3 2 2 2 5 3 3" xfId="15000" xr:uid="{00000000-0005-0000-0000-00000B620000}"/>
    <cellStyle name="Note 3 2 2 2 5 3 4" xfId="31869" xr:uid="{6C9AEC8B-EE45-4E01-AA55-6112F3195A9A}"/>
    <cellStyle name="Note 3 2 2 2 5 4" xfId="19217" xr:uid="{00000000-0005-0000-0000-00000C620000}"/>
    <cellStyle name="Note 3 2 2 2 5 4 2" xfId="36086" xr:uid="{29A06DBB-C849-4585-AB64-91261631EA1A}"/>
    <cellStyle name="Note 3 2 2 2 5 5" xfId="10782" xr:uid="{00000000-0005-0000-0000-00000D620000}"/>
    <cellStyle name="Note 3 2 2 2 5 6" xfId="27652" xr:uid="{E79699E8-7603-4F7A-9B6B-3F2C35BF6FAD}"/>
    <cellStyle name="Note 3 2 2 2 6" xfId="2694" xr:uid="{00000000-0005-0000-0000-00000E620000}"/>
    <cellStyle name="Note 3 2 2 2 6 2" xfId="6978" xr:uid="{00000000-0005-0000-0000-00000F620000}"/>
    <cellStyle name="Note 3 2 2 2 6 2 2" xfId="23848" xr:uid="{00000000-0005-0000-0000-000010620000}"/>
    <cellStyle name="Note 3 2 2 2 6 2 2 2" xfId="40716" xr:uid="{0F8FC14E-005C-405E-86AE-F7D2024AC988}"/>
    <cellStyle name="Note 3 2 2 2 6 2 3" xfId="15413" xr:uid="{00000000-0005-0000-0000-000011620000}"/>
    <cellStyle name="Note 3 2 2 2 6 2 4" xfId="32282" xr:uid="{08E19199-35DA-4FDC-B3D1-6CD90A2A4BB3}"/>
    <cellStyle name="Note 3 2 2 2 6 3" xfId="19630" xr:uid="{00000000-0005-0000-0000-000012620000}"/>
    <cellStyle name="Note 3 2 2 2 6 3 2" xfId="36499" xr:uid="{A9E3FD38-9F06-40C4-8351-3FD674710E5A}"/>
    <cellStyle name="Note 3 2 2 2 6 4" xfId="11195" xr:uid="{00000000-0005-0000-0000-000013620000}"/>
    <cellStyle name="Note 3 2 2 2 6 5" xfId="28065" xr:uid="{577CC013-440F-4F6B-919F-A013294870D8}"/>
    <cellStyle name="Note 3 2 2 2 7" xfId="2753" xr:uid="{00000000-0005-0000-0000-000014620000}"/>
    <cellStyle name="Note 3 2 2 2 8" xfId="2834" xr:uid="{00000000-0005-0000-0000-000015620000}"/>
    <cellStyle name="Note 3 2 2 2 8 2" xfId="7058" xr:uid="{00000000-0005-0000-0000-000016620000}"/>
    <cellStyle name="Note 3 2 2 2 8 2 2" xfId="23928" xr:uid="{00000000-0005-0000-0000-000017620000}"/>
    <cellStyle name="Note 3 2 2 2 8 2 2 2" xfId="40796" xr:uid="{577B1197-D041-44C5-A9F0-7D70416CA37E}"/>
    <cellStyle name="Note 3 2 2 2 8 2 3" xfId="15493" xr:uid="{00000000-0005-0000-0000-000018620000}"/>
    <cellStyle name="Note 3 2 2 2 8 2 4" xfId="32362" xr:uid="{F1555006-C1FF-4F55-A06D-4C4F69639223}"/>
    <cellStyle name="Note 3 2 2 2 8 3" xfId="19710" xr:uid="{00000000-0005-0000-0000-000019620000}"/>
    <cellStyle name="Note 3 2 2 2 8 3 2" xfId="36579" xr:uid="{C7D36582-5BEB-4E86-88CD-42DD174A2610}"/>
    <cellStyle name="Note 3 2 2 2 8 4" xfId="11275" xr:uid="{00000000-0005-0000-0000-00001A620000}"/>
    <cellStyle name="Note 3 2 2 2 8 5" xfId="28145" xr:uid="{67825039-37BE-437C-9457-0713F87C6131}"/>
    <cellStyle name="Note 3 2 2 2 9" xfId="4913" xr:uid="{00000000-0005-0000-0000-00001B620000}"/>
    <cellStyle name="Note 3 2 2 2 9 2" xfId="21783" xr:uid="{00000000-0005-0000-0000-00001C620000}"/>
    <cellStyle name="Note 3 2 2 2 9 2 2" xfId="38651" xr:uid="{4531806E-E0DB-4C1E-AE21-EFAD6D877ADF}"/>
    <cellStyle name="Note 3 2 2 2 9 3" xfId="13348" xr:uid="{00000000-0005-0000-0000-00001D620000}"/>
    <cellStyle name="Note 3 2 2 2 9 4" xfId="30217" xr:uid="{36A7E70F-DB91-4298-8BFA-414A9B5485F9}"/>
    <cellStyle name="Note 3 2 2 3" xfId="1015" xr:uid="{00000000-0005-0000-0000-00001E620000}"/>
    <cellStyle name="Note 3 2 2 3 2" xfId="3247" xr:uid="{00000000-0005-0000-0000-00001F620000}"/>
    <cellStyle name="Note 3 2 2 3 2 2" xfId="7470" xr:uid="{00000000-0005-0000-0000-000020620000}"/>
    <cellStyle name="Note 3 2 2 3 2 2 2" xfId="24340" xr:uid="{00000000-0005-0000-0000-000021620000}"/>
    <cellStyle name="Note 3 2 2 3 2 2 2 2" xfId="41208" xr:uid="{094006FB-AACD-4609-8DCB-74EACB97022B}"/>
    <cellStyle name="Note 3 2 2 3 2 2 3" xfId="15905" xr:uid="{00000000-0005-0000-0000-000022620000}"/>
    <cellStyle name="Note 3 2 2 3 2 2 4" xfId="32774" xr:uid="{33980F90-9625-4593-B0D1-12FFE1348108}"/>
    <cellStyle name="Note 3 2 2 3 2 3" xfId="20122" xr:uid="{00000000-0005-0000-0000-000023620000}"/>
    <cellStyle name="Note 3 2 2 3 2 3 2" xfId="36991" xr:uid="{7E52BC1E-FEEF-4A87-B9BD-903B0E7198CE}"/>
    <cellStyle name="Note 3 2 2 3 2 4" xfId="11687" xr:uid="{00000000-0005-0000-0000-000024620000}"/>
    <cellStyle name="Note 3 2 2 3 2 5" xfId="28557" xr:uid="{5F257D28-1429-4E88-B0F3-AE9DA8CD5A5B}"/>
    <cellStyle name="Note 3 2 2 3 3" xfId="5325" xr:uid="{00000000-0005-0000-0000-000025620000}"/>
    <cellStyle name="Note 3 2 2 3 3 2" xfId="22195" xr:uid="{00000000-0005-0000-0000-000026620000}"/>
    <cellStyle name="Note 3 2 2 3 3 2 2" xfId="39063" xr:uid="{6F5F7C3B-B451-4CF0-8759-80EFDA609333}"/>
    <cellStyle name="Note 3 2 2 3 3 3" xfId="13760" xr:uid="{00000000-0005-0000-0000-000027620000}"/>
    <cellStyle name="Note 3 2 2 3 3 4" xfId="30629" xr:uid="{EB707B05-E365-4C3D-9FE2-4BA5DE90A3E0}"/>
    <cellStyle name="Note 3 2 2 3 4" xfId="17977" xr:uid="{00000000-0005-0000-0000-000028620000}"/>
    <cellStyle name="Note 3 2 2 3 4 2" xfId="34846" xr:uid="{1A3484CC-08A3-426C-A390-1F970C41C95B}"/>
    <cellStyle name="Note 3 2 2 3 5" xfId="9542" xr:uid="{00000000-0005-0000-0000-000029620000}"/>
    <cellStyle name="Note 3 2 2 3 6" xfId="26412" xr:uid="{8C694A93-20CF-467A-9314-E7C092F76A85}"/>
    <cellStyle name="Note 3 2 2 4" xfId="1430" xr:uid="{00000000-0005-0000-0000-00002A620000}"/>
    <cellStyle name="Note 3 2 2 4 2" xfId="3660" xr:uid="{00000000-0005-0000-0000-00002B620000}"/>
    <cellStyle name="Note 3 2 2 4 2 2" xfId="7883" xr:uid="{00000000-0005-0000-0000-00002C620000}"/>
    <cellStyle name="Note 3 2 2 4 2 2 2" xfId="24753" xr:uid="{00000000-0005-0000-0000-00002D620000}"/>
    <cellStyle name="Note 3 2 2 4 2 2 2 2" xfId="41621" xr:uid="{1C551F90-B0C5-4F5A-840A-2D348A2D7123}"/>
    <cellStyle name="Note 3 2 2 4 2 2 3" xfId="16318" xr:uid="{00000000-0005-0000-0000-00002E620000}"/>
    <cellStyle name="Note 3 2 2 4 2 2 4" xfId="33187" xr:uid="{E963544A-3523-4C97-A4F5-96A6A102759E}"/>
    <cellStyle name="Note 3 2 2 4 2 3" xfId="20535" xr:uid="{00000000-0005-0000-0000-00002F620000}"/>
    <cellStyle name="Note 3 2 2 4 2 3 2" xfId="37404" xr:uid="{F965E03F-1BD7-4D68-BB8A-CBAACC5BD1DE}"/>
    <cellStyle name="Note 3 2 2 4 2 4" xfId="12100" xr:uid="{00000000-0005-0000-0000-000030620000}"/>
    <cellStyle name="Note 3 2 2 4 2 5" xfId="28970" xr:uid="{1CC16FBD-CFBA-4A2E-B6C2-2529451DB3A9}"/>
    <cellStyle name="Note 3 2 2 4 3" xfId="5738" xr:uid="{00000000-0005-0000-0000-000031620000}"/>
    <cellStyle name="Note 3 2 2 4 3 2" xfId="22608" xr:uid="{00000000-0005-0000-0000-000032620000}"/>
    <cellStyle name="Note 3 2 2 4 3 2 2" xfId="39476" xr:uid="{AB45A619-CA28-4F2A-A83D-35CA04CDACD8}"/>
    <cellStyle name="Note 3 2 2 4 3 3" xfId="14173" xr:uid="{00000000-0005-0000-0000-000033620000}"/>
    <cellStyle name="Note 3 2 2 4 3 4" xfId="31042" xr:uid="{30D8D32F-F8F5-4394-A8AC-A047AECD017B}"/>
    <cellStyle name="Note 3 2 2 4 4" xfId="18390" xr:uid="{00000000-0005-0000-0000-000034620000}"/>
    <cellStyle name="Note 3 2 2 4 4 2" xfId="35259" xr:uid="{AB34025E-877C-4A56-A135-20FB5317629D}"/>
    <cellStyle name="Note 3 2 2 4 5" xfId="9955" xr:uid="{00000000-0005-0000-0000-000035620000}"/>
    <cellStyle name="Note 3 2 2 4 6" xfId="26825" xr:uid="{1DFD265D-1A8E-4875-AC20-949C56573054}"/>
    <cellStyle name="Note 3 2 2 5" xfId="1844" xr:uid="{00000000-0005-0000-0000-000036620000}"/>
    <cellStyle name="Note 3 2 2 5 2" xfId="4073" xr:uid="{00000000-0005-0000-0000-000037620000}"/>
    <cellStyle name="Note 3 2 2 5 2 2" xfId="8296" xr:uid="{00000000-0005-0000-0000-000038620000}"/>
    <cellStyle name="Note 3 2 2 5 2 2 2" xfId="25166" xr:uid="{00000000-0005-0000-0000-000039620000}"/>
    <cellStyle name="Note 3 2 2 5 2 2 2 2" xfId="42034" xr:uid="{B3F1F648-E925-4EFC-9560-1560CEC04415}"/>
    <cellStyle name="Note 3 2 2 5 2 2 3" xfId="16731" xr:uid="{00000000-0005-0000-0000-00003A620000}"/>
    <cellStyle name="Note 3 2 2 5 2 2 4" xfId="33600" xr:uid="{007DCDA2-FEF0-4C53-A337-F76C67BF1D4C}"/>
    <cellStyle name="Note 3 2 2 5 2 3" xfId="20948" xr:uid="{00000000-0005-0000-0000-00003B620000}"/>
    <cellStyle name="Note 3 2 2 5 2 3 2" xfId="37817" xr:uid="{FF76AFB5-4840-419F-81DF-4C5701C59AC9}"/>
    <cellStyle name="Note 3 2 2 5 2 4" xfId="12513" xr:uid="{00000000-0005-0000-0000-00003C620000}"/>
    <cellStyle name="Note 3 2 2 5 2 5" xfId="29383" xr:uid="{E6763E7F-C38C-4FAF-9B63-370DE83326E7}"/>
    <cellStyle name="Note 3 2 2 5 3" xfId="6151" xr:uid="{00000000-0005-0000-0000-00003D620000}"/>
    <cellStyle name="Note 3 2 2 5 3 2" xfId="23021" xr:uid="{00000000-0005-0000-0000-00003E620000}"/>
    <cellStyle name="Note 3 2 2 5 3 2 2" xfId="39889" xr:uid="{87F4B468-60A4-4EB0-BC17-7366F5073BDE}"/>
    <cellStyle name="Note 3 2 2 5 3 3" xfId="14586" xr:uid="{00000000-0005-0000-0000-00003F620000}"/>
    <cellStyle name="Note 3 2 2 5 3 4" xfId="31455" xr:uid="{C6744456-F1F9-4FD7-BE44-B2ACFB917348}"/>
    <cellStyle name="Note 3 2 2 5 4" xfId="18803" xr:uid="{00000000-0005-0000-0000-000040620000}"/>
    <cellStyle name="Note 3 2 2 5 4 2" xfId="35672" xr:uid="{D7CB3DE0-EE1B-4B4E-A10F-0CC2C17BBB0D}"/>
    <cellStyle name="Note 3 2 2 5 5" xfId="10368" xr:uid="{00000000-0005-0000-0000-000041620000}"/>
    <cellStyle name="Note 3 2 2 5 6" xfId="27238" xr:uid="{31DC9B9B-34E5-48DA-B070-4A6F4C0ABBCC}"/>
    <cellStyle name="Note 3 2 2 6" xfId="2257" xr:uid="{00000000-0005-0000-0000-000042620000}"/>
    <cellStyle name="Note 3 2 2 6 2" xfId="4486" xr:uid="{00000000-0005-0000-0000-000043620000}"/>
    <cellStyle name="Note 3 2 2 6 2 2" xfId="8709" xr:uid="{00000000-0005-0000-0000-000044620000}"/>
    <cellStyle name="Note 3 2 2 6 2 2 2" xfId="25579" xr:uid="{00000000-0005-0000-0000-000045620000}"/>
    <cellStyle name="Note 3 2 2 6 2 2 2 2" xfId="42447" xr:uid="{4183E2BF-C0B1-416D-93B1-020574E05B3F}"/>
    <cellStyle name="Note 3 2 2 6 2 2 3" xfId="17144" xr:uid="{00000000-0005-0000-0000-000046620000}"/>
    <cellStyle name="Note 3 2 2 6 2 2 4" xfId="34013" xr:uid="{01817015-88C4-4C43-ACCF-4D209C5E1779}"/>
    <cellStyle name="Note 3 2 2 6 2 3" xfId="21361" xr:uid="{00000000-0005-0000-0000-000047620000}"/>
    <cellStyle name="Note 3 2 2 6 2 3 2" xfId="38230" xr:uid="{25D9F5EF-CDAE-4561-B9D2-C8A433AA1835}"/>
    <cellStyle name="Note 3 2 2 6 2 4" xfId="12926" xr:uid="{00000000-0005-0000-0000-000048620000}"/>
    <cellStyle name="Note 3 2 2 6 2 5" xfId="29796" xr:uid="{E3A1622B-A860-43D8-97C7-49818D774CA2}"/>
    <cellStyle name="Note 3 2 2 6 3" xfId="6564" xr:uid="{00000000-0005-0000-0000-000049620000}"/>
    <cellStyle name="Note 3 2 2 6 3 2" xfId="23434" xr:uid="{00000000-0005-0000-0000-00004A620000}"/>
    <cellStyle name="Note 3 2 2 6 3 2 2" xfId="40302" xr:uid="{CEA803BD-8540-4301-A4E9-969E69AB8F35}"/>
    <cellStyle name="Note 3 2 2 6 3 3" xfId="14999" xr:uid="{00000000-0005-0000-0000-00004B620000}"/>
    <cellStyle name="Note 3 2 2 6 3 4" xfId="31868" xr:uid="{6C7D291D-B543-49EF-ADE1-6299178F1529}"/>
    <cellStyle name="Note 3 2 2 6 4" xfId="19216" xr:uid="{00000000-0005-0000-0000-00004C620000}"/>
    <cellStyle name="Note 3 2 2 6 4 2" xfId="36085" xr:uid="{340ACD93-FE36-41C7-A2E5-1153B06A1705}"/>
    <cellStyle name="Note 3 2 2 6 5" xfId="10781" xr:uid="{00000000-0005-0000-0000-00004D620000}"/>
    <cellStyle name="Note 3 2 2 6 6" xfId="27651" xr:uid="{3E8D8E16-A2F6-47FD-9FF9-D5B9B370AA1E}"/>
    <cellStyle name="Note 3 2 2 7" xfId="2693" xr:uid="{00000000-0005-0000-0000-00004E620000}"/>
    <cellStyle name="Note 3 2 2 7 2" xfId="6977" xr:uid="{00000000-0005-0000-0000-00004F620000}"/>
    <cellStyle name="Note 3 2 2 7 2 2" xfId="23847" xr:uid="{00000000-0005-0000-0000-000050620000}"/>
    <cellStyle name="Note 3 2 2 7 2 2 2" xfId="40715" xr:uid="{91C091AA-ED5B-4F28-ADA1-B107CCEE2B41}"/>
    <cellStyle name="Note 3 2 2 7 2 3" xfId="15412" xr:uid="{00000000-0005-0000-0000-000051620000}"/>
    <cellStyle name="Note 3 2 2 7 2 4" xfId="32281" xr:uid="{989C9A99-4005-4C2B-BD5D-8FED016DFF10}"/>
    <cellStyle name="Note 3 2 2 7 3" xfId="19629" xr:uid="{00000000-0005-0000-0000-000052620000}"/>
    <cellStyle name="Note 3 2 2 7 3 2" xfId="36498" xr:uid="{A81D53AF-595E-42B5-BE39-E7729E3F0CA3}"/>
    <cellStyle name="Note 3 2 2 7 4" xfId="11194" xr:uid="{00000000-0005-0000-0000-000053620000}"/>
    <cellStyle name="Note 3 2 2 7 5" xfId="28064" xr:uid="{EC3BCD12-449D-4DC9-95DA-0322E3D8F83A}"/>
    <cellStyle name="Note 3 2 2 8" xfId="2752" xr:uid="{00000000-0005-0000-0000-000054620000}"/>
    <cellStyle name="Note 3 2 2 9" xfId="2833" xr:uid="{00000000-0005-0000-0000-000055620000}"/>
    <cellStyle name="Note 3 2 2 9 2" xfId="7057" xr:uid="{00000000-0005-0000-0000-000056620000}"/>
    <cellStyle name="Note 3 2 2 9 2 2" xfId="23927" xr:uid="{00000000-0005-0000-0000-000057620000}"/>
    <cellStyle name="Note 3 2 2 9 2 2 2" xfId="40795" xr:uid="{75D1ABB8-AF39-4B37-8701-A33594C5343D}"/>
    <cellStyle name="Note 3 2 2 9 2 3" xfId="15492" xr:uid="{00000000-0005-0000-0000-000058620000}"/>
    <cellStyle name="Note 3 2 2 9 2 4" xfId="32361" xr:uid="{E104105A-A1A2-4CE5-A574-45F755D9787C}"/>
    <cellStyle name="Note 3 2 2 9 3" xfId="19709" xr:uid="{00000000-0005-0000-0000-000059620000}"/>
    <cellStyle name="Note 3 2 2 9 3 2" xfId="36578" xr:uid="{94492082-9BAF-448E-9D65-C00DA74EEC1D}"/>
    <cellStyle name="Note 3 2 2 9 4" xfId="11274" xr:uid="{00000000-0005-0000-0000-00005A620000}"/>
    <cellStyle name="Note 3 2 2 9 5" xfId="28144" xr:uid="{365668FE-54D2-4450-9F87-6A66F7FA524F}"/>
    <cellStyle name="Note 3 2 3" xfId="557" xr:uid="{00000000-0005-0000-0000-00005B620000}"/>
    <cellStyle name="Note 3 2 3 10" xfId="17566" xr:uid="{00000000-0005-0000-0000-00005C620000}"/>
    <cellStyle name="Note 3 2 3 10 2" xfId="34435" xr:uid="{62932456-616D-40A6-813F-981D2BA5B115}"/>
    <cellStyle name="Note 3 2 3 11" xfId="9131" xr:uid="{00000000-0005-0000-0000-00005D620000}"/>
    <cellStyle name="Note 3 2 3 12" xfId="26001" xr:uid="{069782CA-362C-4EFE-BBB9-811ED34D78EA}"/>
    <cellStyle name="Note 3 2 3 2" xfId="1017" xr:uid="{00000000-0005-0000-0000-00005E620000}"/>
    <cellStyle name="Note 3 2 3 2 2" xfId="3249" xr:uid="{00000000-0005-0000-0000-00005F620000}"/>
    <cellStyle name="Note 3 2 3 2 2 2" xfId="7472" xr:uid="{00000000-0005-0000-0000-000060620000}"/>
    <cellStyle name="Note 3 2 3 2 2 2 2" xfId="24342" xr:uid="{00000000-0005-0000-0000-000061620000}"/>
    <cellStyle name="Note 3 2 3 2 2 2 2 2" xfId="41210" xr:uid="{D8CBF74C-6901-443E-88D1-F90D6D6C97B9}"/>
    <cellStyle name="Note 3 2 3 2 2 2 3" xfId="15907" xr:uid="{00000000-0005-0000-0000-000062620000}"/>
    <cellStyle name="Note 3 2 3 2 2 2 4" xfId="32776" xr:uid="{EB1F07B2-2653-4F13-A855-4BB5CC7DB2D4}"/>
    <cellStyle name="Note 3 2 3 2 2 3" xfId="20124" xr:uid="{00000000-0005-0000-0000-000063620000}"/>
    <cellStyle name="Note 3 2 3 2 2 3 2" xfId="36993" xr:uid="{ACAA10ED-6824-4CD4-8B4D-65E4A890015B}"/>
    <cellStyle name="Note 3 2 3 2 2 4" xfId="11689" xr:uid="{00000000-0005-0000-0000-000064620000}"/>
    <cellStyle name="Note 3 2 3 2 2 5" xfId="28559" xr:uid="{45DADF6A-B54C-4157-8956-B70C8F965944}"/>
    <cellStyle name="Note 3 2 3 2 3" xfId="5327" xr:uid="{00000000-0005-0000-0000-000065620000}"/>
    <cellStyle name="Note 3 2 3 2 3 2" xfId="22197" xr:uid="{00000000-0005-0000-0000-000066620000}"/>
    <cellStyle name="Note 3 2 3 2 3 2 2" xfId="39065" xr:uid="{FE45342C-9643-41A4-9979-95BD4E175EA0}"/>
    <cellStyle name="Note 3 2 3 2 3 3" xfId="13762" xr:uid="{00000000-0005-0000-0000-000067620000}"/>
    <cellStyle name="Note 3 2 3 2 3 4" xfId="30631" xr:uid="{C4A05A1A-9F31-4D59-9D4B-3359E0F26461}"/>
    <cellStyle name="Note 3 2 3 2 4" xfId="17979" xr:uid="{00000000-0005-0000-0000-000068620000}"/>
    <cellStyle name="Note 3 2 3 2 4 2" xfId="34848" xr:uid="{A092A731-962B-4DC6-A373-2EC2E3BA34B3}"/>
    <cellStyle name="Note 3 2 3 2 5" xfId="9544" xr:uid="{00000000-0005-0000-0000-000069620000}"/>
    <cellStyle name="Note 3 2 3 2 6" xfId="26414" xr:uid="{90379824-7D4D-4FC3-A547-9469C822BF92}"/>
    <cellStyle name="Note 3 2 3 3" xfId="1432" xr:uid="{00000000-0005-0000-0000-00006A620000}"/>
    <cellStyle name="Note 3 2 3 3 2" xfId="3662" xr:uid="{00000000-0005-0000-0000-00006B620000}"/>
    <cellStyle name="Note 3 2 3 3 2 2" xfId="7885" xr:uid="{00000000-0005-0000-0000-00006C620000}"/>
    <cellStyle name="Note 3 2 3 3 2 2 2" xfId="24755" xr:uid="{00000000-0005-0000-0000-00006D620000}"/>
    <cellStyle name="Note 3 2 3 3 2 2 2 2" xfId="41623" xr:uid="{35C98FED-2150-46C5-9534-BF92EEF72F70}"/>
    <cellStyle name="Note 3 2 3 3 2 2 3" xfId="16320" xr:uid="{00000000-0005-0000-0000-00006E620000}"/>
    <cellStyle name="Note 3 2 3 3 2 2 4" xfId="33189" xr:uid="{89C09B0D-89E6-490D-B613-1A1C660AD7E8}"/>
    <cellStyle name="Note 3 2 3 3 2 3" xfId="20537" xr:uid="{00000000-0005-0000-0000-00006F620000}"/>
    <cellStyle name="Note 3 2 3 3 2 3 2" xfId="37406" xr:uid="{F8A8DAF1-E321-4799-B1DE-E90A7690BFDF}"/>
    <cellStyle name="Note 3 2 3 3 2 4" xfId="12102" xr:uid="{00000000-0005-0000-0000-000070620000}"/>
    <cellStyle name="Note 3 2 3 3 2 5" xfId="28972" xr:uid="{D9F607A5-924E-42A9-94CE-A41FB2052C2B}"/>
    <cellStyle name="Note 3 2 3 3 3" xfId="5740" xr:uid="{00000000-0005-0000-0000-000071620000}"/>
    <cellStyle name="Note 3 2 3 3 3 2" xfId="22610" xr:uid="{00000000-0005-0000-0000-000072620000}"/>
    <cellStyle name="Note 3 2 3 3 3 2 2" xfId="39478" xr:uid="{F3B6AF59-FBF2-436E-82D2-AAF5F55F6ACB}"/>
    <cellStyle name="Note 3 2 3 3 3 3" xfId="14175" xr:uid="{00000000-0005-0000-0000-000073620000}"/>
    <cellStyle name="Note 3 2 3 3 3 4" xfId="31044" xr:uid="{7C60E11C-6DE4-49DC-9870-6C5B2E5474FE}"/>
    <cellStyle name="Note 3 2 3 3 4" xfId="18392" xr:uid="{00000000-0005-0000-0000-000074620000}"/>
    <cellStyle name="Note 3 2 3 3 4 2" xfId="35261" xr:uid="{C0FD8DF6-8E23-491E-B8FE-9D66A10F94D2}"/>
    <cellStyle name="Note 3 2 3 3 5" xfId="9957" xr:uid="{00000000-0005-0000-0000-000075620000}"/>
    <cellStyle name="Note 3 2 3 3 6" xfId="26827" xr:uid="{97BC77B5-12E1-4E1E-A822-C35EE245E8F8}"/>
    <cellStyle name="Note 3 2 3 4" xfId="1846" xr:uid="{00000000-0005-0000-0000-000076620000}"/>
    <cellStyle name="Note 3 2 3 4 2" xfId="4075" xr:uid="{00000000-0005-0000-0000-000077620000}"/>
    <cellStyle name="Note 3 2 3 4 2 2" xfId="8298" xr:uid="{00000000-0005-0000-0000-000078620000}"/>
    <cellStyle name="Note 3 2 3 4 2 2 2" xfId="25168" xr:uid="{00000000-0005-0000-0000-000079620000}"/>
    <cellStyle name="Note 3 2 3 4 2 2 2 2" xfId="42036" xr:uid="{E5FCEF2D-DD44-4040-B82F-DC9FA43CDAB2}"/>
    <cellStyle name="Note 3 2 3 4 2 2 3" xfId="16733" xr:uid="{00000000-0005-0000-0000-00007A620000}"/>
    <cellStyle name="Note 3 2 3 4 2 2 4" xfId="33602" xr:uid="{DA5BFDA4-7D38-4ED1-97EF-6344B3019A6E}"/>
    <cellStyle name="Note 3 2 3 4 2 3" xfId="20950" xr:uid="{00000000-0005-0000-0000-00007B620000}"/>
    <cellStyle name="Note 3 2 3 4 2 3 2" xfId="37819" xr:uid="{DD8CA7CB-BC01-44DE-ACB0-4144C81C34D1}"/>
    <cellStyle name="Note 3 2 3 4 2 4" xfId="12515" xr:uid="{00000000-0005-0000-0000-00007C620000}"/>
    <cellStyle name="Note 3 2 3 4 2 5" xfId="29385" xr:uid="{F3E40C90-A597-42E3-BF43-1487804B82D6}"/>
    <cellStyle name="Note 3 2 3 4 3" xfId="6153" xr:uid="{00000000-0005-0000-0000-00007D620000}"/>
    <cellStyle name="Note 3 2 3 4 3 2" xfId="23023" xr:uid="{00000000-0005-0000-0000-00007E620000}"/>
    <cellStyle name="Note 3 2 3 4 3 2 2" xfId="39891" xr:uid="{4DFFA475-8D21-49DB-A968-EE7695AC5A7F}"/>
    <cellStyle name="Note 3 2 3 4 3 3" xfId="14588" xr:uid="{00000000-0005-0000-0000-00007F620000}"/>
    <cellStyle name="Note 3 2 3 4 3 4" xfId="31457" xr:uid="{C0D7054F-43C3-4797-B2DD-346C584B389D}"/>
    <cellStyle name="Note 3 2 3 4 4" xfId="18805" xr:uid="{00000000-0005-0000-0000-000080620000}"/>
    <cellStyle name="Note 3 2 3 4 4 2" xfId="35674" xr:uid="{103DFF27-7C97-4CBB-8C00-2AF28332DF73}"/>
    <cellStyle name="Note 3 2 3 4 5" xfId="10370" xr:uid="{00000000-0005-0000-0000-000081620000}"/>
    <cellStyle name="Note 3 2 3 4 6" xfId="27240" xr:uid="{B772DB59-9D90-4EEB-ADF8-EB17FFB228FD}"/>
    <cellStyle name="Note 3 2 3 5" xfId="2259" xr:uid="{00000000-0005-0000-0000-000082620000}"/>
    <cellStyle name="Note 3 2 3 5 2" xfId="4488" xr:uid="{00000000-0005-0000-0000-000083620000}"/>
    <cellStyle name="Note 3 2 3 5 2 2" xfId="8711" xr:uid="{00000000-0005-0000-0000-000084620000}"/>
    <cellStyle name="Note 3 2 3 5 2 2 2" xfId="25581" xr:uid="{00000000-0005-0000-0000-000085620000}"/>
    <cellStyle name="Note 3 2 3 5 2 2 2 2" xfId="42449" xr:uid="{856C772F-B382-48AA-BA23-8A5A2B23EEEA}"/>
    <cellStyle name="Note 3 2 3 5 2 2 3" xfId="17146" xr:uid="{00000000-0005-0000-0000-000086620000}"/>
    <cellStyle name="Note 3 2 3 5 2 2 4" xfId="34015" xr:uid="{1A0CC44E-0F7F-4130-81E3-8609FBA6B0DE}"/>
    <cellStyle name="Note 3 2 3 5 2 3" xfId="21363" xr:uid="{00000000-0005-0000-0000-000087620000}"/>
    <cellStyle name="Note 3 2 3 5 2 3 2" xfId="38232" xr:uid="{9C1EBEAD-C1F8-4A16-905E-8341D69F6DB0}"/>
    <cellStyle name="Note 3 2 3 5 2 4" xfId="12928" xr:uid="{00000000-0005-0000-0000-000088620000}"/>
    <cellStyle name="Note 3 2 3 5 2 5" xfId="29798" xr:uid="{E9B22A7D-B96E-4430-BFB8-0EDF96E83C1B}"/>
    <cellStyle name="Note 3 2 3 5 3" xfId="6566" xr:uid="{00000000-0005-0000-0000-000089620000}"/>
    <cellStyle name="Note 3 2 3 5 3 2" xfId="23436" xr:uid="{00000000-0005-0000-0000-00008A620000}"/>
    <cellStyle name="Note 3 2 3 5 3 2 2" xfId="40304" xr:uid="{BB72F311-B248-425B-B522-D8375404FDC9}"/>
    <cellStyle name="Note 3 2 3 5 3 3" xfId="15001" xr:uid="{00000000-0005-0000-0000-00008B620000}"/>
    <cellStyle name="Note 3 2 3 5 3 4" xfId="31870" xr:uid="{ECE58F75-6C1E-4935-93F4-8BADE7D8EECB}"/>
    <cellStyle name="Note 3 2 3 5 4" xfId="19218" xr:uid="{00000000-0005-0000-0000-00008C620000}"/>
    <cellStyle name="Note 3 2 3 5 4 2" xfId="36087" xr:uid="{FD32A043-DD82-4796-94B0-43ACC30EDCD2}"/>
    <cellStyle name="Note 3 2 3 5 5" xfId="10783" xr:uid="{00000000-0005-0000-0000-00008D620000}"/>
    <cellStyle name="Note 3 2 3 5 6" xfId="27653" xr:uid="{113FFD95-8D2D-4D9E-817A-53E011C5B0DF}"/>
    <cellStyle name="Note 3 2 3 6" xfId="2695" xr:uid="{00000000-0005-0000-0000-00008E620000}"/>
    <cellStyle name="Note 3 2 3 6 2" xfId="6979" xr:uid="{00000000-0005-0000-0000-00008F620000}"/>
    <cellStyle name="Note 3 2 3 6 2 2" xfId="23849" xr:uid="{00000000-0005-0000-0000-000090620000}"/>
    <cellStyle name="Note 3 2 3 6 2 2 2" xfId="40717" xr:uid="{97A59823-D7BD-40DD-A644-40E2D6BD52CE}"/>
    <cellStyle name="Note 3 2 3 6 2 3" xfId="15414" xr:uid="{00000000-0005-0000-0000-000091620000}"/>
    <cellStyle name="Note 3 2 3 6 2 4" xfId="32283" xr:uid="{1A897134-02FE-47E0-B760-3E29D122C623}"/>
    <cellStyle name="Note 3 2 3 6 3" xfId="19631" xr:uid="{00000000-0005-0000-0000-000092620000}"/>
    <cellStyle name="Note 3 2 3 6 3 2" xfId="36500" xr:uid="{1CED9B1C-CD7A-4926-B1A8-40418FEEE484}"/>
    <cellStyle name="Note 3 2 3 6 4" xfId="11196" xr:uid="{00000000-0005-0000-0000-000093620000}"/>
    <cellStyle name="Note 3 2 3 6 5" xfId="28066" xr:uid="{C979C990-5FF1-4638-812D-C9912964E994}"/>
    <cellStyle name="Note 3 2 3 7" xfId="2754" xr:uid="{00000000-0005-0000-0000-000094620000}"/>
    <cellStyle name="Note 3 2 3 8" xfId="2835" xr:uid="{00000000-0005-0000-0000-000095620000}"/>
    <cellStyle name="Note 3 2 3 8 2" xfId="7059" xr:uid="{00000000-0005-0000-0000-000096620000}"/>
    <cellStyle name="Note 3 2 3 8 2 2" xfId="23929" xr:uid="{00000000-0005-0000-0000-000097620000}"/>
    <cellStyle name="Note 3 2 3 8 2 2 2" xfId="40797" xr:uid="{2F10DC17-11BA-429B-865F-2060D6B3B5AB}"/>
    <cellStyle name="Note 3 2 3 8 2 3" xfId="15494" xr:uid="{00000000-0005-0000-0000-000098620000}"/>
    <cellStyle name="Note 3 2 3 8 2 4" xfId="32363" xr:uid="{255C3178-7F28-44DA-A364-624CFA248126}"/>
    <cellStyle name="Note 3 2 3 8 3" xfId="19711" xr:uid="{00000000-0005-0000-0000-000099620000}"/>
    <cellStyle name="Note 3 2 3 8 3 2" xfId="36580" xr:uid="{68CCA978-C569-468A-98E5-B2CD1354EB54}"/>
    <cellStyle name="Note 3 2 3 8 4" xfId="11276" xr:uid="{00000000-0005-0000-0000-00009A620000}"/>
    <cellStyle name="Note 3 2 3 8 5" xfId="28146" xr:uid="{638C7EFB-1739-4FAA-B4B7-68484C654EDD}"/>
    <cellStyle name="Note 3 2 3 9" xfId="4914" xr:uid="{00000000-0005-0000-0000-00009B620000}"/>
    <cellStyle name="Note 3 2 3 9 2" xfId="21784" xr:uid="{00000000-0005-0000-0000-00009C620000}"/>
    <cellStyle name="Note 3 2 3 9 2 2" xfId="38652" xr:uid="{B5AC5118-6459-42B0-8E42-98B366D25204}"/>
    <cellStyle name="Note 3 2 3 9 3" xfId="13349" xr:uid="{00000000-0005-0000-0000-00009D620000}"/>
    <cellStyle name="Note 3 2 3 9 4" xfId="30218" xr:uid="{4C9F8032-1988-435D-A385-325F75206ABE}"/>
    <cellStyle name="Note 3 2 4" xfId="1014" xr:uid="{00000000-0005-0000-0000-00009E620000}"/>
    <cellStyle name="Note 3 2 4 2" xfId="3246" xr:uid="{00000000-0005-0000-0000-00009F620000}"/>
    <cellStyle name="Note 3 2 4 2 2" xfId="7469" xr:uid="{00000000-0005-0000-0000-0000A0620000}"/>
    <cellStyle name="Note 3 2 4 2 2 2" xfId="24339" xr:uid="{00000000-0005-0000-0000-0000A1620000}"/>
    <cellStyle name="Note 3 2 4 2 2 2 2" xfId="41207" xr:uid="{4A551D2C-C566-40A3-A9E4-BFF4D524CEF5}"/>
    <cellStyle name="Note 3 2 4 2 2 3" xfId="15904" xr:uid="{00000000-0005-0000-0000-0000A2620000}"/>
    <cellStyle name="Note 3 2 4 2 2 4" xfId="32773" xr:uid="{51792F86-65B3-4E09-9C88-38AA51F19C2C}"/>
    <cellStyle name="Note 3 2 4 2 3" xfId="20121" xr:uid="{00000000-0005-0000-0000-0000A3620000}"/>
    <cellStyle name="Note 3 2 4 2 3 2" xfId="36990" xr:uid="{66F68ED8-BFAA-4902-9F79-549FC659170B}"/>
    <cellStyle name="Note 3 2 4 2 4" xfId="11686" xr:uid="{00000000-0005-0000-0000-0000A4620000}"/>
    <cellStyle name="Note 3 2 4 2 5" xfId="28556" xr:uid="{7E788212-BEBA-436C-956C-F2DAB976A06B}"/>
    <cellStyle name="Note 3 2 4 3" xfId="5324" xr:uid="{00000000-0005-0000-0000-0000A5620000}"/>
    <cellStyle name="Note 3 2 4 3 2" xfId="22194" xr:uid="{00000000-0005-0000-0000-0000A6620000}"/>
    <cellStyle name="Note 3 2 4 3 2 2" xfId="39062" xr:uid="{2429B392-0684-4232-AECD-FC9B281CF1D9}"/>
    <cellStyle name="Note 3 2 4 3 3" xfId="13759" xr:uid="{00000000-0005-0000-0000-0000A7620000}"/>
    <cellStyle name="Note 3 2 4 3 4" xfId="30628" xr:uid="{36E0A630-C798-4282-B417-ADC8D6F15E81}"/>
    <cellStyle name="Note 3 2 4 4" xfId="17976" xr:uid="{00000000-0005-0000-0000-0000A8620000}"/>
    <cellStyle name="Note 3 2 4 4 2" xfId="34845" xr:uid="{5554AEEB-26D2-4E1B-9891-129EC50DC9AF}"/>
    <cellStyle name="Note 3 2 4 5" xfId="9541" xr:uid="{00000000-0005-0000-0000-0000A9620000}"/>
    <cellStyle name="Note 3 2 4 6" xfId="26411" xr:uid="{918666DB-060A-42A7-8278-0FA63E1277DA}"/>
    <cellStyle name="Note 3 2 5" xfId="1429" xr:uid="{00000000-0005-0000-0000-0000AA620000}"/>
    <cellStyle name="Note 3 2 5 2" xfId="3659" xr:uid="{00000000-0005-0000-0000-0000AB620000}"/>
    <cellStyle name="Note 3 2 5 2 2" xfId="7882" xr:uid="{00000000-0005-0000-0000-0000AC620000}"/>
    <cellStyle name="Note 3 2 5 2 2 2" xfId="24752" xr:uid="{00000000-0005-0000-0000-0000AD620000}"/>
    <cellStyle name="Note 3 2 5 2 2 2 2" xfId="41620" xr:uid="{358A2697-4463-42B6-A71E-8735C428B665}"/>
    <cellStyle name="Note 3 2 5 2 2 3" xfId="16317" xr:uid="{00000000-0005-0000-0000-0000AE620000}"/>
    <cellStyle name="Note 3 2 5 2 2 4" xfId="33186" xr:uid="{227CD968-F2E2-44EA-ABAF-C2BE2B785DB0}"/>
    <cellStyle name="Note 3 2 5 2 3" xfId="20534" xr:uid="{00000000-0005-0000-0000-0000AF620000}"/>
    <cellStyle name="Note 3 2 5 2 3 2" xfId="37403" xr:uid="{28AE5978-6203-4341-A048-06E757E657CD}"/>
    <cellStyle name="Note 3 2 5 2 4" xfId="12099" xr:uid="{00000000-0005-0000-0000-0000B0620000}"/>
    <cellStyle name="Note 3 2 5 2 5" xfId="28969" xr:uid="{70A8BF81-6786-4030-B013-1163BC6C28E7}"/>
    <cellStyle name="Note 3 2 5 3" xfId="5737" xr:uid="{00000000-0005-0000-0000-0000B1620000}"/>
    <cellStyle name="Note 3 2 5 3 2" xfId="22607" xr:uid="{00000000-0005-0000-0000-0000B2620000}"/>
    <cellStyle name="Note 3 2 5 3 2 2" xfId="39475" xr:uid="{5A7C183D-759E-468B-A9E5-A9CB041C248C}"/>
    <cellStyle name="Note 3 2 5 3 3" xfId="14172" xr:uid="{00000000-0005-0000-0000-0000B3620000}"/>
    <cellStyle name="Note 3 2 5 3 4" xfId="31041" xr:uid="{E398C75B-4127-4D12-8FB0-2B94407AA30D}"/>
    <cellStyle name="Note 3 2 5 4" xfId="18389" xr:uid="{00000000-0005-0000-0000-0000B4620000}"/>
    <cellStyle name="Note 3 2 5 4 2" xfId="35258" xr:uid="{2CD2C8DA-8648-449F-8DF3-64294DFE987F}"/>
    <cellStyle name="Note 3 2 5 5" xfId="9954" xr:uid="{00000000-0005-0000-0000-0000B5620000}"/>
    <cellStyle name="Note 3 2 5 6" xfId="26824" xr:uid="{02AA9BA1-7545-46C9-904D-CA8E3BFDDD18}"/>
    <cellStyle name="Note 3 2 6" xfId="1843" xr:uid="{00000000-0005-0000-0000-0000B6620000}"/>
    <cellStyle name="Note 3 2 6 2" xfId="4072" xr:uid="{00000000-0005-0000-0000-0000B7620000}"/>
    <cellStyle name="Note 3 2 6 2 2" xfId="8295" xr:uid="{00000000-0005-0000-0000-0000B8620000}"/>
    <cellStyle name="Note 3 2 6 2 2 2" xfId="25165" xr:uid="{00000000-0005-0000-0000-0000B9620000}"/>
    <cellStyle name="Note 3 2 6 2 2 2 2" xfId="42033" xr:uid="{C549F90D-91DC-47CC-AC13-29FAD97C3386}"/>
    <cellStyle name="Note 3 2 6 2 2 3" xfId="16730" xr:uid="{00000000-0005-0000-0000-0000BA620000}"/>
    <cellStyle name="Note 3 2 6 2 2 4" xfId="33599" xr:uid="{CB1715EC-C1D7-4B55-AA1E-15980B22B5DB}"/>
    <cellStyle name="Note 3 2 6 2 3" xfId="20947" xr:uid="{00000000-0005-0000-0000-0000BB620000}"/>
    <cellStyle name="Note 3 2 6 2 3 2" xfId="37816" xr:uid="{79923546-4C81-4121-881C-C16DA7EED32C}"/>
    <cellStyle name="Note 3 2 6 2 4" xfId="12512" xr:uid="{00000000-0005-0000-0000-0000BC620000}"/>
    <cellStyle name="Note 3 2 6 2 5" xfId="29382" xr:uid="{C18BCF2B-FE1D-4CFD-A5F5-943F4ECD2EC5}"/>
    <cellStyle name="Note 3 2 6 3" xfId="6150" xr:uid="{00000000-0005-0000-0000-0000BD620000}"/>
    <cellStyle name="Note 3 2 6 3 2" xfId="23020" xr:uid="{00000000-0005-0000-0000-0000BE620000}"/>
    <cellStyle name="Note 3 2 6 3 2 2" xfId="39888" xr:uid="{EE034CC6-9A0B-4186-A414-C30A54C770E0}"/>
    <cellStyle name="Note 3 2 6 3 3" xfId="14585" xr:uid="{00000000-0005-0000-0000-0000BF620000}"/>
    <cellStyle name="Note 3 2 6 3 4" xfId="31454" xr:uid="{1CEAA4B9-39EB-403D-B573-612087D0D7B0}"/>
    <cellStyle name="Note 3 2 6 4" xfId="18802" xr:uid="{00000000-0005-0000-0000-0000C0620000}"/>
    <cellStyle name="Note 3 2 6 4 2" xfId="35671" xr:uid="{41F23DAE-E9AD-469F-A877-529D4BAC3D76}"/>
    <cellStyle name="Note 3 2 6 5" xfId="10367" xr:uid="{00000000-0005-0000-0000-0000C1620000}"/>
    <cellStyle name="Note 3 2 6 6" xfId="27237" xr:uid="{1B357C6D-8B01-403A-BECF-F983DD5BCA14}"/>
    <cellStyle name="Note 3 2 7" xfId="2256" xr:uid="{00000000-0005-0000-0000-0000C2620000}"/>
    <cellStyle name="Note 3 2 7 2" xfId="4485" xr:uid="{00000000-0005-0000-0000-0000C3620000}"/>
    <cellStyle name="Note 3 2 7 2 2" xfId="8708" xr:uid="{00000000-0005-0000-0000-0000C4620000}"/>
    <cellStyle name="Note 3 2 7 2 2 2" xfId="25578" xr:uid="{00000000-0005-0000-0000-0000C5620000}"/>
    <cellStyle name="Note 3 2 7 2 2 2 2" xfId="42446" xr:uid="{A08D640D-810D-42B2-8FA2-D68BA6268731}"/>
    <cellStyle name="Note 3 2 7 2 2 3" xfId="17143" xr:uid="{00000000-0005-0000-0000-0000C6620000}"/>
    <cellStyle name="Note 3 2 7 2 2 4" xfId="34012" xr:uid="{7A21C3CD-2CF3-4DFA-B6E5-9C1B75F3398E}"/>
    <cellStyle name="Note 3 2 7 2 3" xfId="21360" xr:uid="{00000000-0005-0000-0000-0000C7620000}"/>
    <cellStyle name="Note 3 2 7 2 3 2" xfId="38229" xr:uid="{39202D55-44D8-465C-8379-B9B0DC6601F2}"/>
    <cellStyle name="Note 3 2 7 2 4" xfId="12925" xr:uid="{00000000-0005-0000-0000-0000C8620000}"/>
    <cellStyle name="Note 3 2 7 2 5" xfId="29795" xr:uid="{F5B0D4D5-23C2-4F73-9AB3-3B1438E2F924}"/>
    <cellStyle name="Note 3 2 7 3" xfId="6563" xr:uid="{00000000-0005-0000-0000-0000C9620000}"/>
    <cellStyle name="Note 3 2 7 3 2" xfId="23433" xr:uid="{00000000-0005-0000-0000-0000CA620000}"/>
    <cellStyle name="Note 3 2 7 3 2 2" xfId="40301" xr:uid="{F69B19E2-3381-4AEA-BCA1-90BC4CBCF8C6}"/>
    <cellStyle name="Note 3 2 7 3 3" xfId="14998" xr:uid="{00000000-0005-0000-0000-0000CB620000}"/>
    <cellStyle name="Note 3 2 7 3 4" xfId="31867" xr:uid="{5F858158-B2EC-4877-B475-AA0252DC1064}"/>
    <cellStyle name="Note 3 2 7 4" xfId="19215" xr:uid="{00000000-0005-0000-0000-0000CC620000}"/>
    <cellStyle name="Note 3 2 7 4 2" xfId="36084" xr:uid="{2E449F52-3BB3-4F06-9E3C-2239EA04F443}"/>
    <cellStyle name="Note 3 2 7 5" xfId="10780" xr:uid="{00000000-0005-0000-0000-0000CD620000}"/>
    <cellStyle name="Note 3 2 7 6" xfId="27650" xr:uid="{3FD081B9-809A-4009-A66C-7CF867E75958}"/>
    <cellStyle name="Note 3 2 8" xfId="2692" xr:uid="{00000000-0005-0000-0000-0000CE620000}"/>
    <cellStyle name="Note 3 2 8 2" xfId="6976" xr:uid="{00000000-0005-0000-0000-0000CF620000}"/>
    <cellStyle name="Note 3 2 8 2 2" xfId="23846" xr:uid="{00000000-0005-0000-0000-0000D0620000}"/>
    <cellStyle name="Note 3 2 8 2 2 2" xfId="40714" xr:uid="{DC59CA13-4D7D-4CF8-9CCB-9C2CD50E4318}"/>
    <cellStyle name="Note 3 2 8 2 3" xfId="15411" xr:uid="{00000000-0005-0000-0000-0000D1620000}"/>
    <cellStyle name="Note 3 2 8 2 4" xfId="32280" xr:uid="{F486F819-9EBD-4D6E-88C3-D3D261C5164B}"/>
    <cellStyle name="Note 3 2 8 3" xfId="19628" xr:uid="{00000000-0005-0000-0000-0000D2620000}"/>
    <cellStyle name="Note 3 2 8 3 2" xfId="36497" xr:uid="{3B8029D6-174A-44F6-BD59-9D068447C944}"/>
    <cellStyle name="Note 3 2 8 4" xfId="11193" xr:uid="{00000000-0005-0000-0000-0000D3620000}"/>
    <cellStyle name="Note 3 2 8 5" xfId="28063" xr:uid="{9300DC53-3365-4E99-959B-312FA0C366EC}"/>
    <cellStyle name="Note 3 2 9" xfId="2751" xr:uid="{00000000-0005-0000-0000-0000D4620000}"/>
    <cellStyle name="Note 3 3" xfId="558" xr:uid="{00000000-0005-0000-0000-0000D5620000}"/>
    <cellStyle name="Note 3 3 10" xfId="4915" xr:uid="{00000000-0005-0000-0000-0000D6620000}"/>
    <cellStyle name="Note 3 3 10 2" xfId="21785" xr:uid="{00000000-0005-0000-0000-0000D7620000}"/>
    <cellStyle name="Note 3 3 10 2 2" xfId="38653" xr:uid="{9A82E61D-09D5-443B-8E40-9EF7CEAABF6E}"/>
    <cellStyle name="Note 3 3 10 3" xfId="13350" xr:uid="{00000000-0005-0000-0000-0000D8620000}"/>
    <cellStyle name="Note 3 3 10 4" xfId="30219" xr:uid="{B46ECA4F-8BB4-482B-9836-976F89EABC8D}"/>
    <cellStyle name="Note 3 3 11" xfId="17567" xr:uid="{00000000-0005-0000-0000-0000D9620000}"/>
    <cellStyle name="Note 3 3 11 2" xfId="34436" xr:uid="{0588F084-0DA7-4AC0-B9F2-802D220872CA}"/>
    <cellStyle name="Note 3 3 12" xfId="9132" xr:uid="{00000000-0005-0000-0000-0000DA620000}"/>
    <cellStyle name="Note 3 3 13" xfId="26002" xr:uid="{8D56765F-DC85-4A2E-91AC-5284CA214E07}"/>
    <cellStyle name="Note 3 3 2" xfId="559" xr:uid="{00000000-0005-0000-0000-0000DB620000}"/>
    <cellStyle name="Note 3 3 2 10" xfId="17568" xr:uid="{00000000-0005-0000-0000-0000DC620000}"/>
    <cellStyle name="Note 3 3 2 10 2" xfId="34437" xr:uid="{F2135CA9-F3BD-4307-8F7C-51552219E5C6}"/>
    <cellStyle name="Note 3 3 2 11" xfId="9133" xr:uid="{00000000-0005-0000-0000-0000DD620000}"/>
    <cellStyle name="Note 3 3 2 12" xfId="26003" xr:uid="{645EED00-2EAD-4475-AFA8-0D0F03521705}"/>
    <cellStyle name="Note 3 3 2 2" xfId="1019" xr:uid="{00000000-0005-0000-0000-0000DE620000}"/>
    <cellStyle name="Note 3 3 2 2 2" xfId="3251" xr:uid="{00000000-0005-0000-0000-0000DF620000}"/>
    <cellStyle name="Note 3 3 2 2 2 2" xfId="7474" xr:uid="{00000000-0005-0000-0000-0000E0620000}"/>
    <cellStyle name="Note 3 3 2 2 2 2 2" xfId="24344" xr:uid="{00000000-0005-0000-0000-0000E1620000}"/>
    <cellStyle name="Note 3 3 2 2 2 2 2 2" xfId="41212" xr:uid="{5EF1B369-8418-4708-ABFA-2E4B20005021}"/>
    <cellStyle name="Note 3 3 2 2 2 2 3" xfId="15909" xr:uid="{00000000-0005-0000-0000-0000E2620000}"/>
    <cellStyle name="Note 3 3 2 2 2 2 4" xfId="32778" xr:uid="{69E11C3E-B136-4B6A-AD3A-A48F7978281E}"/>
    <cellStyle name="Note 3 3 2 2 2 3" xfId="20126" xr:uid="{00000000-0005-0000-0000-0000E3620000}"/>
    <cellStyle name="Note 3 3 2 2 2 3 2" xfId="36995" xr:uid="{40E94E6B-1A93-4F9B-BEA5-36D46C6386FC}"/>
    <cellStyle name="Note 3 3 2 2 2 4" xfId="11691" xr:uid="{00000000-0005-0000-0000-0000E4620000}"/>
    <cellStyle name="Note 3 3 2 2 2 5" xfId="28561" xr:uid="{514A998B-8F1D-4545-A6FB-C104845861E5}"/>
    <cellStyle name="Note 3 3 2 2 3" xfId="5329" xr:uid="{00000000-0005-0000-0000-0000E5620000}"/>
    <cellStyle name="Note 3 3 2 2 3 2" xfId="22199" xr:uid="{00000000-0005-0000-0000-0000E6620000}"/>
    <cellStyle name="Note 3 3 2 2 3 2 2" xfId="39067" xr:uid="{68B64890-99DC-4BBA-BAB0-2AB06DB8FBA1}"/>
    <cellStyle name="Note 3 3 2 2 3 3" xfId="13764" xr:uid="{00000000-0005-0000-0000-0000E7620000}"/>
    <cellStyle name="Note 3 3 2 2 3 4" xfId="30633" xr:uid="{843AED6F-D056-44AD-BF0B-02ACF0FB8863}"/>
    <cellStyle name="Note 3 3 2 2 4" xfId="17981" xr:uid="{00000000-0005-0000-0000-0000E8620000}"/>
    <cellStyle name="Note 3 3 2 2 4 2" xfId="34850" xr:uid="{5FFB73DC-7741-42F1-9CEC-2F5E5A139397}"/>
    <cellStyle name="Note 3 3 2 2 5" xfId="9546" xr:uid="{00000000-0005-0000-0000-0000E9620000}"/>
    <cellStyle name="Note 3 3 2 2 6" xfId="26416" xr:uid="{752F238D-57FF-40C0-96BD-4E333D667330}"/>
    <cellStyle name="Note 3 3 2 3" xfId="1434" xr:uid="{00000000-0005-0000-0000-0000EA620000}"/>
    <cellStyle name="Note 3 3 2 3 2" xfId="3664" xr:uid="{00000000-0005-0000-0000-0000EB620000}"/>
    <cellStyle name="Note 3 3 2 3 2 2" xfId="7887" xr:uid="{00000000-0005-0000-0000-0000EC620000}"/>
    <cellStyle name="Note 3 3 2 3 2 2 2" xfId="24757" xr:uid="{00000000-0005-0000-0000-0000ED620000}"/>
    <cellStyle name="Note 3 3 2 3 2 2 2 2" xfId="41625" xr:uid="{CC69E8DD-269A-4589-B666-F483D56CB9F4}"/>
    <cellStyle name="Note 3 3 2 3 2 2 3" xfId="16322" xr:uid="{00000000-0005-0000-0000-0000EE620000}"/>
    <cellStyle name="Note 3 3 2 3 2 2 4" xfId="33191" xr:uid="{E0EBF0FC-D0BF-4989-9538-3B3A6C634C52}"/>
    <cellStyle name="Note 3 3 2 3 2 3" xfId="20539" xr:uid="{00000000-0005-0000-0000-0000EF620000}"/>
    <cellStyle name="Note 3 3 2 3 2 3 2" xfId="37408" xr:uid="{999EF622-941C-48E9-968B-4D91BA4314FA}"/>
    <cellStyle name="Note 3 3 2 3 2 4" xfId="12104" xr:uid="{00000000-0005-0000-0000-0000F0620000}"/>
    <cellStyle name="Note 3 3 2 3 2 5" xfId="28974" xr:uid="{C07BD185-52BB-4423-974C-F5574EDD2D79}"/>
    <cellStyle name="Note 3 3 2 3 3" xfId="5742" xr:uid="{00000000-0005-0000-0000-0000F1620000}"/>
    <cellStyle name="Note 3 3 2 3 3 2" xfId="22612" xr:uid="{00000000-0005-0000-0000-0000F2620000}"/>
    <cellStyle name="Note 3 3 2 3 3 2 2" xfId="39480" xr:uid="{4BCB24C5-FF5F-4EAC-BF9B-EAE73EE055D2}"/>
    <cellStyle name="Note 3 3 2 3 3 3" xfId="14177" xr:uid="{00000000-0005-0000-0000-0000F3620000}"/>
    <cellStyle name="Note 3 3 2 3 3 4" xfId="31046" xr:uid="{6A82E47C-A09E-4A84-A860-239B18934956}"/>
    <cellStyle name="Note 3 3 2 3 4" xfId="18394" xr:uid="{00000000-0005-0000-0000-0000F4620000}"/>
    <cellStyle name="Note 3 3 2 3 4 2" xfId="35263" xr:uid="{853A664D-2284-43C9-B728-77EA36492F7F}"/>
    <cellStyle name="Note 3 3 2 3 5" xfId="9959" xr:uid="{00000000-0005-0000-0000-0000F5620000}"/>
    <cellStyle name="Note 3 3 2 3 6" xfId="26829" xr:uid="{98806FB5-74D7-4011-97AE-FFFFAB3F90A5}"/>
    <cellStyle name="Note 3 3 2 4" xfId="1848" xr:uid="{00000000-0005-0000-0000-0000F6620000}"/>
    <cellStyle name="Note 3 3 2 4 2" xfId="4077" xr:uid="{00000000-0005-0000-0000-0000F7620000}"/>
    <cellStyle name="Note 3 3 2 4 2 2" xfId="8300" xr:uid="{00000000-0005-0000-0000-0000F8620000}"/>
    <cellStyle name="Note 3 3 2 4 2 2 2" xfId="25170" xr:uid="{00000000-0005-0000-0000-0000F9620000}"/>
    <cellStyle name="Note 3 3 2 4 2 2 2 2" xfId="42038" xr:uid="{FDA87D5B-62BF-43DD-8BE7-4F1D49DE29EC}"/>
    <cellStyle name="Note 3 3 2 4 2 2 3" xfId="16735" xr:uid="{00000000-0005-0000-0000-0000FA620000}"/>
    <cellStyle name="Note 3 3 2 4 2 2 4" xfId="33604" xr:uid="{ABC563BF-C7A4-466B-8F62-00FEE9A83451}"/>
    <cellStyle name="Note 3 3 2 4 2 3" xfId="20952" xr:uid="{00000000-0005-0000-0000-0000FB620000}"/>
    <cellStyle name="Note 3 3 2 4 2 3 2" xfId="37821" xr:uid="{CC637B08-6986-4996-AF42-C22F59CC8F23}"/>
    <cellStyle name="Note 3 3 2 4 2 4" xfId="12517" xr:uid="{00000000-0005-0000-0000-0000FC620000}"/>
    <cellStyle name="Note 3 3 2 4 2 5" xfId="29387" xr:uid="{A2D9343F-DD48-47DF-A358-3357C2AFD7EB}"/>
    <cellStyle name="Note 3 3 2 4 3" xfId="6155" xr:uid="{00000000-0005-0000-0000-0000FD620000}"/>
    <cellStyle name="Note 3 3 2 4 3 2" xfId="23025" xr:uid="{00000000-0005-0000-0000-0000FE620000}"/>
    <cellStyle name="Note 3 3 2 4 3 2 2" xfId="39893" xr:uid="{718518F7-8215-4346-A8FD-42714A97EACE}"/>
    <cellStyle name="Note 3 3 2 4 3 3" xfId="14590" xr:uid="{00000000-0005-0000-0000-0000FF620000}"/>
    <cellStyle name="Note 3 3 2 4 3 4" xfId="31459" xr:uid="{A572945A-51AF-4565-A783-CEF1866FE9CC}"/>
    <cellStyle name="Note 3 3 2 4 4" xfId="18807" xr:uid="{00000000-0005-0000-0000-000000630000}"/>
    <cellStyle name="Note 3 3 2 4 4 2" xfId="35676" xr:uid="{74C38B7D-E750-4160-9C14-7890F2B4E0CB}"/>
    <cellStyle name="Note 3 3 2 4 5" xfId="10372" xr:uid="{00000000-0005-0000-0000-000001630000}"/>
    <cellStyle name="Note 3 3 2 4 6" xfId="27242" xr:uid="{1335C130-EC82-4522-B869-C9B56F28D4AF}"/>
    <cellStyle name="Note 3 3 2 5" xfId="2261" xr:uid="{00000000-0005-0000-0000-000002630000}"/>
    <cellStyle name="Note 3 3 2 5 2" xfId="4490" xr:uid="{00000000-0005-0000-0000-000003630000}"/>
    <cellStyle name="Note 3 3 2 5 2 2" xfId="8713" xr:uid="{00000000-0005-0000-0000-000004630000}"/>
    <cellStyle name="Note 3 3 2 5 2 2 2" xfId="25583" xr:uid="{00000000-0005-0000-0000-000005630000}"/>
    <cellStyle name="Note 3 3 2 5 2 2 2 2" xfId="42451" xr:uid="{ECBC17DA-BA1B-46FE-8F43-F4A7B0129138}"/>
    <cellStyle name="Note 3 3 2 5 2 2 3" xfId="17148" xr:uid="{00000000-0005-0000-0000-000006630000}"/>
    <cellStyle name="Note 3 3 2 5 2 2 4" xfId="34017" xr:uid="{EE49532C-BEBE-422D-83EF-493D3DA24D7B}"/>
    <cellStyle name="Note 3 3 2 5 2 3" xfId="21365" xr:uid="{00000000-0005-0000-0000-000007630000}"/>
    <cellStyle name="Note 3 3 2 5 2 3 2" xfId="38234" xr:uid="{DC9157E8-A127-4FBB-8A60-4CDF5F0DD534}"/>
    <cellStyle name="Note 3 3 2 5 2 4" xfId="12930" xr:uid="{00000000-0005-0000-0000-000008630000}"/>
    <cellStyle name="Note 3 3 2 5 2 5" xfId="29800" xr:uid="{B6176319-B72F-47C5-A3EE-88BCF68CA448}"/>
    <cellStyle name="Note 3 3 2 5 3" xfId="6568" xr:uid="{00000000-0005-0000-0000-000009630000}"/>
    <cellStyle name="Note 3 3 2 5 3 2" xfId="23438" xr:uid="{00000000-0005-0000-0000-00000A630000}"/>
    <cellStyle name="Note 3 3 2 5 3 2 2" xfId="40306" xr:uid="{A61A2832-946A-4A4C-8814-011532F27E76}"/>
    <cellStyle name="Note 3 3 2 5 3 3" xfId="15003" xr:uid="{00000000-0005-0000-0000-00000B630000}"/>
    <cellStyle name="Note 3 3 2 5 3 4" xfId="31872" xr:uid="{DE91B4EA-2260-4C1E-A95F-569456EAF8B7}"/>
    <cellStyle name="Note 3 3 2 5 4" xfId="19220" xr:uid="{00000000-0005-0000-0000-00000C630000}"/>
    <cellStyle name="Note 3 3 2 5 4 2" xfId="36089" xr:uid="{A2700559-F829-4A5B-83EE-412DC5F6E482}"/>
    <cellStyle name="Note 3 3 2 5 5" xfId="10785" xr:uid="{00000000-0005-0000-0000-00000D630000}"/>
    <cellStyle name="Note 3 3 2 5 6" xfId="27655" xr:uid="{3DA901B3-F07E-41A3-AEE3-0C174459EFD5}"/>
    <cellStyle name="Note 3 3 2 6" xfId="2697" xr:uid="{00000000-0005-0000-0000-00000E630000}"/>
    <cellStyle name="Note 3 3 2 6 2" xfId="6981" xr:uid="{00000000-0005-0000-0000-00000F630000}"/>
    <cellStyle name="Note 3 3 2 6 2 2" xfId="23851" xr:uid="{00000000-0005-0000-0000-000010630000}"/>
    <cellStyle name="Note 3 3 2 6 2 2 2" xfId="40719" xr:uid="{93005431-32A9-4114-8E70-AE5B68AFD8E3}"/>
    <cellStyle name="Note 3 3 2 6 2 3" xfId="15416" xr:uid="{00000000-0005-0000-0000-000011630000}"/>
    <cellStyle name="Note 3 3 2 6 2 4" xfId="32285" xr:uid="{923D02C8-1E78-47ED-95B9-0919C72854C6}"/>
    <cellStyle name="Note 3 3 2 6 3" xfId="19633" xr:uid="{00000000-0005-0000-0000-000012630000}"/>
    <cellStyle name="Note 3 3 2 6 3 2" xfId="36502" xr:uid="{32B7B97C-5D5B-4390-9082-56052B1B7FE1}"/>
    <cellStyle name="Note 3 3 2 6 4" xfId="11198" xr:uid="{00000000-0005-0000-0000-000013630000}"/>
    <cellStyle name="Note 3 3 2 6 5" xfId="28068" xr:uid="{66323DEF-2C75-4865-970A-1FAFF3C5B510}"/>
    <cellStyle name="Note 3 3 2 7" xfId="2756" xr:uid="{00000000-0005-0000-0000-000014630000}"/>
    <cellStyle name="Note 3 3 2 8" xfId="2837" xr:uid="{00000000-0005-0000-0000-000015630000}"/>
    <cellStyle name="Note 3 3 2 8 2" xfId="7061" xr:uid="{00000000-0005-0000-0000-000016630000}"/>
    <cellStyle name="Note 3 3 2 8 2 2" xfId="23931" xr:uid="{00000000-0005-0000-0000-000017630000}"/>
    <cellStyle name="Note 3 3 2 8 2 2 2" xfId="40799" xr:uid="{D778038A-E603-4109-9876-229C290F8439}"/>
    <cellStyle name="Note 3 3 2 8 2 3" xfId="15496" xr:uid="{00000000-0005-0000-0000-000018630000}"/>
    <cellStyle name="Note 3 3 2 8 2 4" xfId="32365" xr:uid="{12B1C606-5437-421A-90C7-F79847639166}"/>
    <cellStyle name="Note 3 3 2 8 3" xfId="19713" xr:uid="{00000000-0005-0000-0000-000019630000}"/>
    <cellStyle name="Note 3 3 2 8 3 2" xfId="36582" xr:uid="{4A6C7CF4-94B0-4C2B-A6BB-98C14ED95EED}"/>
    <cellStyle name="Note 3 3 2 8 4" xfId="11278" xr:uid="{00000000-0005-0000-0000-00001A630000}"/>
    <cellStyle name="Note 3 3 2 8 5" xfId="28148" xr:uid="{52E3EAA4-F9F6-4736-8A79-885B25DE4148}"/>
    <cellStyle name="Note 3 3 2 9" xfId="4916" xr:uid="{00000000-0005-0000-0000-00001B630000}"/>
    <cellStyle name="Note 3 3 2 9 2" xfId="21786" xr:uid="{00000000-0005-0000-0000-00001C630000}"/>
    <cellStyle name="Note 3 3 2 9 2 2" xfId="38654" xr:uid="{3812516C-CD63-424C-96F0-2B290479E64E}"/>
    <cellStyle name="Note 3 3 2 9 3" xfId="13351" xr:uid="{00000000-0005-0000-0000-00001D630000}"/>
    <cellStyle name="Note 3 3 2 9 4" xfId="30220" xr:uid="{491BDF4D-D945-44A4-A347-AA25D6CAA049}"/>
    <cellStyle name="Note 3 3 3" xfId="1018" xr:uid="{00000000-0005-0000-0000-00001E630000}"/>
    <cellStyle name="Note 3 3 3 2" xfId="3250" xr:uid="{00000000-0005-0000-0000-00001F630000}"/>
    <cellStyle name="Note 3 3 3 2 2" xfId="7473" xr:uid="{00000000-0005-0000-0000-000020630000}"/>
    <cellStyle name="Note 3 3 3 2 2 2" xfId="24343" xr:uid="{00000000-0005-0000-0000-000021630000}"/>
    <cellStyle name="Note 3 3 3 2 2 2 2" xfId="41211" xr:uid="{2EA2C498-893A-4DAF-A628-91B6F7859CE6}"/>
    <cellStyle name="Note 3 3 3 2 2 3" xfId="15908" xr:uid="{00000000-0005-0000-0000-000022630000}"/>
    <cellStyle name="Note 3 3 3 2 2 4" xfId="32777" xr:uid="{5FAC1A50-AB3B-45CE-A619-2048809C473F}"/>
    <cellStyle name="Note 3 3 3 2 3" xfId="20125" xr:uid="{00000000-0005-0000-0000-000023630000}"/>
    <cellStyle name="Note 3 3 3 2 3 2" xfId="36994" xr:uid="{8B77E269-31DF-4A2E-92A1-D5C1A69D0946}"/>
    <cellStyle name="Note 3 3 3 2 4" xfId="11690" xr:uid="{00000000-0005-0000-0000-000024630000}"/>
    <cellStyle name="Note 3 3 3 2 5" xfId="28560" xr:uid="{F237EF6B-E1B2-481E-8218-DA2C0F844580}"/>
    <cellStyle name="Note 3 3 3 3" xfId="5328" xr:uid="{00000000-0005-0000-0000-000025630000}"/>
    <cellStyle name="Note 3 3 3 3 2" xfId="22198" xr:uid="{00000000-0005-0000-0000-000026630000}"/>
    <cellStyle name="Note 3 3 3 3 2 2" xfId="39066" xr:uid="{450BD026-0193-45AC-901D-22D3A67E181C}"/>
    <cellStyle name="Note 3 3 3 3 3" xfId="13763" xr:uid="{00000000-0005-0000-0000-000027630000}"/>
    <cellStyle name="Note 3 3 3 3 4" xfId="30632" xr:uid="{473F3E5B-5D4C-4251-938A-85A52C6B244B}"/>
    <cellStyle name="Note 3 3 3 4" xfId="17980" xr:uid="{00000000-0005-0000-0000-000028630000}"/>
    <cellStyle name="Note 3 3 3 4 2" xfId="34849" xr:uid="{CE4370AA-0593-48E3-AA86-F239917387BA}"/>
    <cellStyle name="Note 3 3 3 5" xfId="9545" xr:uid="{00000000-0005-0000-0000-000029630000}"/>
    <cellStyle name="Note 3 3 3 6" xfId="26415" xr:uid="{2A38A707-2BF2-47A2-8924-7CBE24CFF3E5}"/>
    <cellStyle name="Note 3 3 4" xfId="1433" xr:uid="{00000000-0005-0000-0000-00002A630000}"/>
    <cellStyle name="Note 3 3 4 2" xfId="3663" xr:uid="{00000000-0005-0000-0000-00002B630000}"/>
    <cellStyle name="Note 3 3 4 2 2" xfId="7886" xr:uid="{00000000-0005-0000-0000-00002C630000}"/>
    <cellStyle name="Note 3 3 4 2 2 2" xfId="24756" xr:uid="{00000000-0005-0000-0000-00002D630000}"/>
    <cellStyle name="Note 3 3 4 2 2 2 2" xfId="41624" xr:uid="{ACCC1D0B-EE29-4D6E-9224-607D0C786FAB}"/>
    <cellStyle name="Note 3 3 4 2 2 3" xfId="16321" xr:uid="{00000000-0005-0000-0000-00002E630000}"/>
    <cellStyle name="Note 3 3 4 2 2 4" xfId="33190" xr:uid="{B74CE1BE-AE11-4AF9-AAD4-B530CB34FE1E}"/>
    <cellStyle name="Note 3 3 4 2 3" xfId="20538" xr:uid="{00000000-0005-0000-0000-00002F630000}"/>
    <cellStyle name="Note 3 3 4 2 3 2" xfId="37407" xr:uid="{E9E9BCE2-921D-4CAD-B634-5A62C2642301}"/>
    <cellStyle name="Note 3 3 4 2 4" xfId="12103" xr:uid="{00000000-0005-0000-0000-000030630000}"/>
    <cellStyle name="Note 3 3 4 2 5" xfId="28973" xr:uid="{93E32CF9-23FA-44D9-9079-6B2E05BD47BE}"/>
    <cellStyle name="Note 3 3 4 3" xfId="5741" xr:uid="{00000000-0005-0000-0000-000031630000}"/>
    <cellStyle name="Note 3 3 4 3 2" xfId="22611" xr:uid="{00000000-0005-0000-0000-000032630000}"/>
    <cellStyle name="Note 3 3 4 3 2 2" xfId="39479" xr:uid="{839A0531-996D-4F04-85DC-08399FDE29BE}"/>
    <cellStyle name="Note 3 3 4 3 3" xfId="14176" xr:uid="{00000000-0005-0000-0000-000033630000}"/>
    <cellStyle name="Note 3 3 4 3 4" xfId="31045" xr:uid="{281DF22E-068F-49F1-A598-8A06FC3F1B3E}"/>
    <cellStyle name="Note 3 3 4 4" xfId="18393" xr:uid="{00000000-0005-0000-0000-000034630000}"/>
    <cellStyle name="Note 3 3 4 4 2" xfId="35262" xr:uid="{55E3140B-E243-430A-890A-D548D0F8789D}"/>
    <cellStyle name="Note 3 3 4 5" xfId="9958" xr:uid="{00000000-0005-0000-0000-000035630000}"/>
    <cellStyle name="Note 3 3 4 6" xfId="26828" xr:uid="{1F451086-455B-400E-8E62-B7B22659B80A}"/>
    <cellStyle name="Note 3 3 5" xfId="1847" xr:uid="{00000000-0005-0000-0000-000036630000}"/>
    <cellStyle name="Note 3 3 5 2" xfId="4076" xr:uid="{00000000-0005-0000-0000-000037630000}"/>
    <cellStyle name="Note 3 3 5 2 2" xfId="8299" xr:uid="{00000000-0005-0000-0000-000038630000}"/>
    <cellStyle name="Note 3 3 5 2 2 2" xfId="25169" xr:uid="{00000000-0005-0000-0000-000039630000}"/>
    <cellStyle name="Note 3 3 5 2 2 2 2" xfId="42037" xr:uid="{9472B2DC-65AE-4485-B7EF-B8F7F873233F}"/>
    <cellStyle name="Note 3 3 5 2 2 3" xfId="16734" xr:uid="{00000000-0005-0000-0000-00003A630000}"/>
    <cellStyle name="Note 3 3 5 2 2 4" xfId="33603" xr:uid="{028EF904-AF56-4D94-9D11-5A7F7C055C05}"/>
    <cellStyle name="Note 3 3 5 2 3" xfId="20951" xr:uid="{00000000-0005-0000-0000-00003B630000}"/>
    <cellStyle name="Note 3 3 5 2 3 2" xfId="37820" xr:uid="{270AD193-E336-4905-A240-E0320DB8E739}"/>
    <cellStyle name="Note 3 3 5 2 4" xfId="12516" xr:uid="{00000000-0005-0000-0000-00003C630000}"/>
    <cellStyle name="Note 3 3 5 2 5" xfId="29386" xr:uid="{C495286C-20CD-482A-B727-96CE837BF1F3}"/>
    <cellStyle name="Note 3 3 5 3" xfId="6154" xr:uid="{00000000-0005-0000-0000-00003D630000}"/>
    <cellStyle name="Note 3 3 5 3 2" xfId="23024" xr:uid="{00000000-0005-0000-0000-00003E630000}"/>
    <cellStyle name="Note 3 3 5 3 2 2" xfId="39892" xr:uid="{AC14ADD8-F06E-45D3-89FA-8DEF6A2CDB59}"/>
    <cellStyle name="Note 3 3 5 3 3" xfId="14589" xr:uid="{00000000-0005-0000-0000-00003F630000}"/>
    <cellStyle name="Note 3 3 5 3 4" xfId="31458" xr:uid="{4770F8F8-18BE-4965-82E2-BCA2D287F5DA}"/>
    <cellStyle name="Note 3 3 5 4" xfId="18806" xr:uid="{00000000-0005-0000-0000-000040630000}"/>
    <cellStyle name="Note 3 3 5 4 2" xfId="35675" xr:uid="{B4A63A96-83D4-499F-9E99-A3A5407A75FD}"/>
    <cellStyle name="Note 3 3 5 5" xfId="10371" xr:uid="{00000000-0005-0000-0000-000041630000}"/>
    <cellStyle name="Note 3 3 5 6" xfId="27241" xr:uid="{22C2045D-0798-48EF-A0C3-9A3409A839D4}"/>
    <cellStyle name="Note 3 3 6" xfId="2260" xr:uid="{00000000-0005-0000-0000-000042630000}"/>
    <cellStyle name="Note 3 3 6 2" xfId="4489" xr:uid="{00000000-0005-0000-0000-000043630000}"/>
    <cellStyle name="Note 3 3 6 2 2" xfId="8712" xr:uid="{00000000-0005-0000-0000-000044630000}"/>
    <cellStyle name="Note 3 3 6 2 2 2" xfId="25582" xr:uid="{00000000-0005-0000-0000-000045630000}"/>
    <cellStyle name="Note 3 3 6 2 2 2 2" xfId="42450" xr:uid="{8B32120B-3F6E-4ADA-9F72-A4FD436D12AF}"/>
    <cellStyle name="Note 3 3 6 2 2 3" xfId="17147" xr:uid="{00000000-0005-0000-0000-000046630000}"/>
    <cellStyle name="Note 3 3 6 2 2 4" xfId="34016" xr:uid="{8B7DBB14-4D30-4DFC-9119-40FAAA994280}"/>
    <cellStyle name="Note 3 3 6 2 3" xfId="21364" xr:uid="{00000000-0005-0000-0000-000047630000}"/>
    <cellStyle name="Note 3 3 6 2 3 2" xfId="38233" xr:uid="{5E9DF059-DBBB-43F1-B9C1-E5C53D45AE7E}"/>
    <cellStyle name="Note 3 3 6 2 4" xfId="12929" xr:uid="{00000000-0005-0000-0000-000048630000}"/>
    <cellStyle name="Note 3 3 6 2 5" xfId="29799" xr:uid="{07693139-0ABA-4626-9EF6-F57D47E4875E}"/>
    <cellStyle name="Note 3 3 6 3" xfId="6567" xr:uid="{00000000-0005-0000-0000-000049630000}"/>
    <cellStyle name="Note 3 3 6 3 2" xfId="23437" xr:uid="{00000000-0005-0000-0000-00004A630000}"/>
    <cellStyle name="Note 3 3 6 3 2 2" xfId="40305" xr:uid="{75EC66FB-B342-4F2A-BB0B-D0BA76D8D847}"/>
    <cellStyle name="Note 3 3 6 3 3" xfId="15002" xr:uid="{00000000-0005-0000-0000-00004B630000}"/>
    <cellStyle name="Note 3 3 6 3 4" xfId="31871" xr:uid="{490A942A-4997-46BA-A1B1-F9AB0AAA34EC}"/>
    <cellStyle name="Note 3 3 6 4" xfId="19219" xr:uid="{00000000-0005-0000-0000-00004C630000}"/>
    <cellStyle name="Note 3 3 6 4 2" xfId="36088" xr:uid="{DA03AC9C-FD00-4B52-B380-CFDF97D37752}"/>
    <cellStyle name="Note 3 3 6 5" xfId="10784" xr:uid="{00000000-0005-0000-0000-00004D630000}"/>
    <cellStyle name="Note 3 3 6 6" xfId="27654" xr:uid="{A68B2203-FCC6-4D4E-8C42-86CF9CAA5CE0}"/>
    <cellStyle name="Note 3 3 7" xfId="2696" xr:uid="{00000000-0005-0000-0000-00004E630000}"/>
    <cellStyle name="Note 3 3 7 2" xfId="6980" xr:uid="{00000000-0005-0000-0000-00004F630000}"/>
    <cellStyle name="Note 3 3 7 2 2" xfId="23850" xr:uid="{00000000-0005-0000-0000-000050630000}"/>
    <cellStyle name="Note 3 3 7 2 2 2" xfId="40718" xr:uid="{78DA6AB4-7819-433D-B6EB-E062412C0821}"/>
    <cellStyle name="Note 3 3 7 2 3" xfId="15415" xr:uid="{00000000-0005-0000-0000-000051630000}"/>
    <cellStyle name="Note 3 3 7 2 4" xfId="32284" xr:uid="{BCE76F29-BE4E-4066-B574-B15EAA9858CB}"/>
    <cellStyle name="Note 3 3 7 3" xfId="19632" xr:uid="{00000000-0005-0000-0000-000052630000}"/>
    <cellStyle name="Note 3 3 7 3 2" xfId="36501" xr:uid="{9B74566D-08BC-4145-A460-2E925A27E980}"/>
    <cellStyle name="Note 3 3 7 4" xfId="11197" xr:uid="{00000000-0005-0000-0000-000053630000}"/>
    <cellStyle name="Note 3 3 7 5" xfId="28067" xr:uid="{59EE9904-7623-4EC1-84CE-3D8DF7B25237}"/>
    <cellStyle name="Note 3 3 8" xfId="2755" xr:uid="{00000000-0005-0000-0000-000054630000}"/>
    <cellStyle name="Note 3 3 9" xfId="2836" xr:uid="{00000000-0005-0000-0000-000055630000}"/>
    <cellStyle name="Note 3 3 9 2" xfId="7060" xr:uid="{00000000-0005-0000-0000-000056630000}"/>
    <cellStyle name="Note 3 3 9 2 2" xfId="23930" xr:uid="{00000000-0005-0000-0000-000057630000}"/>
    <cellStyle name="Note 3 3 9 2 2 2" xfId="40798" xr:uid="{80D1053A-EDFA-45A4-9C52-D8FD429C5B27}"/>
    <cellStyle name="Note 3 3 9 2 3" xfId="15495" xr:uid="{00000000-0005-0000-0000-000058630000}"/>
    <cellStyle name="Note 3 3 9 2 4" xfId="32364" xr:uid="{E3459F4C-E9E3-42BF-9B44-00C1AD97F9F9}"/>
    <cellStyle name="Note 3 3 9 3" xfId="19712" xr:uid="{00000000-0005-0000-0000-000059630000}"/>
    <cellStyle name="Note 3 3 9 3 2" xfId="36581" xr:uid="{00C67F17-EBDE-488E-8372-1A4FF20CD16A}"/>
    <cellStyle name="Note 3 3 9 4" xfId="11277" xr:uid="{00000000-0005-0000-0000-00005A630000}"/>
    <cellStyle name="Note 3 3 9 5" xfId="28147" xr:uid="{DA43255E-DDC0-4431-A8A7-3BA4B03E30F8}"/>
    <cellStyle name="Note 3 4" xfId="560" xr:uid="{00000000-0005-0000-0000-00005B630000}"/>
    <cellStyle name="Note 3 4 10" xfId="17569" xr:uid="{00000000-0005-0000-0000-00005C630000}"/>
    <cellStyle name="Note 3 4 10 2" xfId="34438" xr:uid="{E94845A7-54CC-4E92-AD12-6686B3CBD4F9}"/>
    <cellStyle name="Note 3 4 11" xfId="9134" xr:uid="{00000000-0005-0000-0000-00005D630000}"/>
    <cellStyle name="Note 3 4 12" xfId="26004" xr:uid="{EC53B0BE-8077-4A8C-BDDB-3786664E8316}"/>
    <cellStyle name="Note 3 4 2" xfId="1020" xr:uid="{00000000-0005-0000-0000-00005E630000}"/>
    <cellStyle name="Note 3 4 2 2" xfId="3252" xr:uid="{00000000-0005-0000-0000-00005F630000}"/>
    <cellStyle name="Note 3 4 2 2 2" xfId="7475" xr:uid="{00000000-0005-0000-0000-000060630000}"/>
    <cellStyle name="Note 3 4 2 2 2 2" xfId="24345" xr:uid="{00000000-0005-0000-0000-000061630000}"/>
    <cellStyle name="Note 3 4 2 2 2 2 2" xfId="41213" xr:uid="{CBFC8B95-1D80-4CC2-B36A-8B47FD8D32F3}"/>
    <cellStyle name="Note 3 4 2 2 2 3" xfId="15910" xr:uid="{00000000-0005-0000-0000-000062630000}"/>
    <cellStyle name="Note 3 4 2 2 2 4" xfId="32779" xr:uid="{B5380F68-BF84-4B3A-A26D-F46471AA8911}"/>
    <cellStyle name="Note 3 4 2 2 3" xfId="20127" xr:uid="{00000000-0005-0000-0000-000063630000}"/>
    <cellStyle name="Note 3 4 2 2 3 2" xfId="36996" xr:uid="{23CC5B64-5180-43AE-9568-5B3395EFCB0C}"/>
    <cellStyle name="Note 3 4 2 2 4" xfId="11692" xr:uid="{00000000-0005-0000-0000-000064630000}"/>
    <cellStyle name="Note 3 4 2 2 5" xfId="28562" xr:uid="{9BEBCB27-80BC-4946-BF1E-1DE55B80A3E8}"/>
    <cellStyle name="Note 3 4 2 3" xfId="5330" xr:uid="{00000000-0005-0000-0000-000065630000}"/>
    <cellStyle name="Note 3 4 2 3 2" xfId="22200" xr:uid="{00000000-0005-0000-0000-000066630000}"/>
    <cellStyle name="Note 3 4 2 3 2 2" xfId="39068" xr:uid="{C38D826C-A9D5-435C-B485-A1EC5C0FA579}"/>
    <cellStyle name="Note 3 4 2 3 3" xfId="13765" xr:uid="{00000000-0005-0000-0000-000067630000}"/>
    <cellStyle name="Note 3 4 2 3 4" xfId="30634" xr:uid="{55B3839C-E8DB-4926-AAF8-74B0A6BA114B}"/>
    <cellStyle name="Note 3 4 2 4" xfId="17982" xr:uid="{00000000-0005-0000-0000-000068630000}"/>
    <cellStyle name="Note 3 4 2 4 2" xfId="34851" xr:uid="{80E5E0A3-63CF-4EF4-A7E5-4B150A7CA84A}"/>
    <cellStyle name="Note 3 4 2 5" xfId="9547" xr:uid="{00000000-0005-0000-0000-000069630000}"/>
    <cellStyle name="Note 3 4 2 6" xfId="26417" xr:uid="{FB8545C2-DE5C-4078-A906-90794EF76E64}"/>
    <cellStyle name="Note 3 4 3" xfId="1435" xr:uid="{00000000-0005-0000-0000-00006A630000}"/>
    <cellStyle name="Note 3 4 3 2" xfId="3665" xr:uid="{00000000-0005-0000-0000-00006B630000}"/>
    <cellStyle name="Note 3 4 3 2 2" xfId="7888" xr:uid="{00000000-0005-0000-0000-00006C630000}"/>
    <cellStyle name="Note 3 4 3 2 2 2" xfId="24758" xr:uid="{00000000-0005-0000-0000-00006D630000}"/>
    <cellStyle name="Note 3 4 3 2 2 2 2" xfId="41626" xr:uid="{DCD0B985-6638-4E7B-B890-2F271ED33FE4}"/>
    <cellStyle name="Note 3 4 3 2 2 3" xfId="16323" xr:uid="{00000000-0005-0000-0000-00006E630000}"/>
    <cellStyle name="Note 3 4 3 2 2 4" xfId="33192" xr:uid="{283D1E02-E8CB-4715-91B3-A7849DF8969D}"/>
    <cellStyle name="Note 3 4 3 2 3" xfId="20540" xr:uid="{00000000-0005-0000-0000-00006F630000}"/>
    <cellStyle name="Note 3 4 3 2 3 2" xfId="37409" xr:uid="{E808F46F-9E44-4D3A-B744-1422F603F7AD}"/>
    <cellStyle name="Note 3 4 3 2 4" xfId="12105" xr:uid="{00000000-0005-0000-0000-000070630000}"/>
    <cellStyle name="Note 3 4 3 2 5" xfId="28975" xr:uid="{0B07ACCB-070D-4A51-99F3-703B268EE553}"/>
    <cellStyle name="Note 3 4 3 3" xfId="5743" xr:uid="{00000000-0005-0000-0000-000071630000}"/>
    <cellStyle name="Note 3 4 3 3 2" xfId="22613" xr:uid="{00000000-0005-0000-0000-000072630000}"/>
    <cellStyle name="Note 3 4 3 3 2 2" xfId="39481" xr:uid="{D0C06C81-F398-4F1F-8C68-9132F4359FDD}"/>
    <cellStyle name="Note 3 4 3 3 3" xfId="14178" xr:uid="{00000000-0005-0000-0000-000073630000}"/>
    <cellStyle name="Note 3 4 3 3 4" xfId="31047" xr:uid="{60EF8131-BD95-49A1-B812-C86C389739A1}"/>
    <cellStyle name="Note 3 4 3 4" xfId="18395" xr:uid="{00000000-0005-0000-0000-000074630000}"/>
    <cellStyle name="Note 3 4 3 4 2" xfId="35264" xr:uid="{F8E765F8-774A-4233-B2BD-E427BCD27CDD}"/>
    <cellStyle name="Note 3 4 3 5" xfId="9960" xr:uid="{00000000-0005-0000-0000-000075630000}"/>
    <cellStyle name="Note 3 4 3 6" xfId="26830" xr:uid="{40FBE220-DB22-45F3-A4BB-E4B3580EF33D}"/>
    <cellStyle name="Note 3 4 4" xfId="1849" xr:uid="{00000000-0005-0000-0000-000076630000}"/>
    <cellStyle name="Note 3 4 4 2" xfId="4078" xr:uid="{00000000-0005-0000-0000-000077630000}"/>
    <cellStyle name="Note 3 4 4 2 2" xfId="8301" xr:uid="{00000000-0005-0000-0000-000078630000}"/>
    <cellStyle name="Note 3 4 4 2 2 2" xfId="25171" xr:uid="{00000000-0005-0000-0000-000079630000}"/>
    <cellStyle name="Note 3 4 4 2 2 2 2" xfId="42039" xr:uid="{B2AC29E6-E1B9-461D-8B72-B68ACD17C3A3}"/>
    <cellStyle name="Note 3 4 4 2 2 3" xfId="16736" xr:uid="{00000000-0005-0000-0000-00007A630000}"/>
    <cellStyle name="Note 3 4 4 2 2 4" xfId="33605" xr:uid="{1A0BDBB5-BEBF-41BC-9062-5F6385742F55}"/>
    <cellStyle name="Note 3 4 4 2 3" xfId="20953" xr:uid="{00000000-0005-0000-0000-00007B630000}"/>
    <cellStyle name="Note 3 4 4 2 3 2" xfId="37822" xr:uid="{F6FCF1F9-4A5C-4C6C-A3A2-F1B2EF38683F}"/>
    <cellStyle name="Note 3 4 4 2 4" xfId="12518" xr:uid="{00000000-0005-0000-0000-00007C630000}"/>
    <cellStyle name="Note 3 4 4 2 5" xfId="29388" xr:uid="{4A34226B-E4E3-4A9A-93A8-D496A28A7F37}"/>
    <cellStyle name="Note 3 4 4 3" xfId="6156" xr:uid="{00000000-0005-0000-0000-00007D630000}"/>
    <cellStyle name="Note 3 4 4 3 2" xfId="23026" xr:uid="{00000000-0005-0000-0000-00007E630000}"/>
    <cellStyle name="Note 3 4 4 3 2 2" xfId="39894" xr:uid="{AED5B0C9-A787-4366-85E4-4B0DE696C7F9}"/>
    <cellStyle name="Note 3 4 4 3 3" xfId="14591" xr:uid="{00000000-0005-0000-0000-00007F630000}"/>
    <cellStyle name="Note 3 4 4 3 4" xfId="31460" xr:uid="{0B0DEF9E-73DD-4C17-A033-A839A1C912D2}"/>
    <cellStyle name="Note 3 4 4 4" xfId="18808" xr:uid="{00000000-0005-0000-0000-000080630000}"/>
    <cellStyle name="Note 3 4 4 4 2" xfId="35677" xr:uid="{5B3B5BDB-D840-42A7-9965-3F453CC2AFB9}"/>
    <cellStyle name="Note 3 4 4 5" xfId="10373" xr:uid="{00000000-0005-0000-0000-000081630000}"/>
    <cellStyle name="Note 3 4 4 6" xfId="27243" xr:uid="{AE033185-9121-4BBC-81DB-3478D4A090DC}"/>
    <cellStyle name="Note 3 4 5" xfId="2262" xr:uid="{00000000-0005-0000-0000-000082630000}"/>
    <cellStyle name="Note 3 4 5 2" xfId="4491" xr:uid="{00000000-0005-0000-0000-000083630000}"/>
    <cellStyle name="Note 3 4 5 2 2" xfId="8714" xr:uid="{00000000-0005-0000-0000-000084630000}"/>
    <cellStyle name="Note 3 4 5 2 2 2" xfId="25584" xr:uid="{00000000-0005-0000-0000-000085630000}"/>
    <cellStyle name="Note 3 4 5 2 2 2 2" xfId="42452" xr:uid="{6EBEC51A-EDB4-4FB8-947A-904A989D620B}"/>
    <cellStyle name="Note 3 4 5 2 2 3" xfId="17149" xr:uid="{00000000-0005-0000-0000-000086630000}"/>
    <cellStyle name="Note 3 4 5 2 2 4" xfId="34018" xr:uid="{0C0735EC-DE3C-412D-B948-0994AA91D2B8}"/>
    <cellStyle name="Note 3 4 5 2 3" xfId="21366" xr:uid="{00000000-0005-0000-0000-000087630000}"/>
    <cellStyle name="Note 3 4 5 2 3 2" xfId="38235" xr:uid="{6877457A-119E-489D-B6A8-C79155D40DB3}"/>
    <cellStyle name="Note 3 4 5 2 4" xfId="12931" xr:uid="{00000000-0005-0000-0000-000088630000}"/>
    <cellStyle name="Note 3 4 5 2 5" xfId="29801" xr:uid="{B0F4B15A-E10D-4223-A606-3E9167E046AB}"/>
    <cellStyle name="Note 3 4 5 3" xfId="6569" xr:uid="{00000000-0005-0000-0000-000089630000}"/>
    <cellStyle name="Note 3 4 5 3 2" xfId="23439" xr:uid="{00000000-0005-0000-0000-00008A630000}"/>
    <cellStyle name="Note 3 4 5 3 2 2" xfId="40307" xr:uid="{73026A23-A394-46D4-8E80-E732B05F5282}"/>
    <cellStyle name="Note 3 4 5 3 3" xfId="15004" xr:uid="{00000000-0005-0000-0000-00008B630000}"/>
    <cellStyle name="Note 3 4 5 3 4" xfId="31873" xr:uid="{C1A414DE-0CF2-4C73-A75C-02D70B177B9A}"/>
    <cellStyle name="Note 3 4 5 4" xfId="19221" xr:uid="{00000000-0005-0000-0000-00008C630000}"/>
    <cellStyle name="Note 3 4 5 4 2" xfId="36090" xr:uid="{516A86E2-9BC4-4311-BA50-6E07123297BE}"/>
    <cellStyle name="Note 3 4 5 5" xfId="10786" xr:uid="{00000000-0005-0000-0000-00008D630000}"/>
    <cellStyle name="Note 3 4 5 6" xfId="27656" xr:uid="{3B9040E2-B3B7-4349-BA8A-1711C5DB71BD}"/>
    <cellStyle name="Note 3 4 6" xfId="2698" xr:uid="{00000000-0005-0000-0000-00008E630000}"/>
    <cellStyle name="Note 3 4 6 2" xfId="6982" xr:uid="{00000000-0005-0000-0000-00008F630000}"/>
    <cellStyle name="Note 3 4 6 2 2" xfId="23852" xr:uid="{00000000-0005-0000-0000-000090630000}"/>
    <cellStyle name="Note 3 4 6 2 2 2" xfId="40720" xr:uid="{6ED86B45-3803-47BD-82AC-A0B991CE1FCE}"/>
    <cellStyle name="Note 3 4 6 2 3" xfId="15417" xr:uid="{00000000-0005-0000-0000-000091630000}"/>
    <cellStyle name="Note 3 4 6 2 4" xfId="32286" xr:uid="{42051B95-8BBB-4E15-9079-9B6996DF7D3B}"/>
    <cellStyle name="Note 3 4 6 3" xfId="19634" xr:uid="{00000000-0005-0000-0000-000092630000}"/>
    <cellStyle name="Note 3 4 6 3 2" xfId="36503" xr:uid="{09A1BE2C-9142-4D75-9688-F233A4612115}"/>
    <cellStyle name="Note 3 4 6 4" xfId="11199" xr:uid="{00000000-0005-0000-0000-000093630000}"/>
    <cellStyle name="Note 3 4 6 5" xfId="28069" xr:uid="{D65DF62A-8001-4F6A-86BD-66F03A7942FF}"/>
    <cellStyle name="Note 3 4 7" xfId="2757" xr:uid="{00000000-0005-0000-0000-000094630000}"/>
    <cellStyle name="Note 3 4 8" xfId="2838" xr:uid="{00000000-0005-0000-0000-000095630000}"/>
    <cellStyle name="Note 3 4 8 2" xfId="7062" xr:uid="{00000000-0005-0000-0000-000096630000}"/>
    <cellStyle name="Note 3 4 8 2 2" xfId="23932" xr:uid="{00000000-0005-0000-0000-000097630000}"/>
    <cellStyle name="Note 3 4 8 2 2 2" xfId="40800" xr:uid="{21AAB9DB-8DEB-4B18-92EE-B71696FC93F3}"/>
    <cellStyle name="Note 3 4 8 2 3" xfId="15497" xr:uid="{00000000-0005-0000-0000-000098630000}"/>
    <cellStyle name="Note 3 4 8 2 4" xfId="32366" xr:uid="{F4A1C902-6889-4C40-BC8F-AA6E120E5454}"/>
    <cellStyle name="Note 3 4 8 3" xfId="19714" xr:uid="{00000000-0005-0000-0000-000099630000}"/>
    <cellStyle name="Note 3 4 8 3 2" xfId="36583" xr:uid="{D9D8A1B9-5EA2-45BE-B3BD-39AF0BE281EA}"/>
    <cellStyle name="Note 3 4 8 4" xfId="11279" xr:uid="{00000000-0005-0000-0000-00009A630000}"/>
    <cellStyle name="Note 3 4 8 5" xfId="28149" xr:uid="{5F019788-52B4-4188-9F97-ACA29F55BACA}"/>
    <cellStyle name="Note 3 4 9" xfId="4917" xr:uid="{00000000-0005-0000-0000-00009B630000}"/>
    <cellStyle name="Note 3 4 9 2" xfId="21787" xr:uid="{00000000-0005-0000-0000-00009C630000}"/>
    <cellStyle name="Note 3 4 9 2 2" xfId="38655" xr:uid="{FAAC1D08-BE77-4CB2-8F26-8EF6FBC54B9B}"/>
    <cellStyle name="Note 3 4 9 3" xfId="13352" xr:uid="{00000000-0005-0000-0000-00009D630000}"/>
    <cellStyle name="Note 3 4 9 4" xfId="30221" xr:uid="{8241362E-F869-431F-9F54-A1F628226489}"/>
    <cellStyle name="Note 3 5" xfId="561" xr:uid="{00000000-0005-0000-0000-00009E630000}"/>
    <cellStyle name="Note 3 5 10" xfId="17570" xr:uid="{00000000-0005-0000-0000-00009F630000}"/>
    <cellStyle name="Note 3 5 10 2" xfId="34439" xr:uid="{74D6CEC0-2662-4702-A103-0413611D4FC3}"/>
    <cellStyle name="Note 3 5 11" xfId="9135" xr:uid="{00000000-0005-0000-0000-0000A0630000}"/>
    <cellStyle name="Note 3 5 12" xfId="26005" xr:uid="{69A9E1EE-B8FC-4408-A8DE-60B6FFFA3DF3}"/>
    <cellStyle name="Note 3 5 2" xfId="1021" xr:uid="{00000000-0005-0000-0000-0000A1630000}"/>
    <cellStyle name="Note 3 5 2 2" xfId="3253" xr:uid="{00000000-0005-0000-0000-0000A2630000}"/>
    <cellStyle name="Note 3 5 2 2 2" xfId="7476" xr:uid="{00000000-0005-0000-0000-0000A3630000}"/>
    <cellStyle name="Note 3 5 2 2 2 2" xfId="24346" xr:uid="{00000000-0005-0000-0000-0000A4630000}"/>
    <cellStyle name="Note 3 5 2 2 2 2 2" xfId="41214" xr:uid="{228ACE65-E7EB-42DD-9378-42B91165A50F}"/>
    <cellStyle name="Note 3 5 2 2 2 3" xfId="15911" xr:uid="{00000000-0005-0000-0000-0000A5630000}"/>
    <cellStyle name="Note 3 5 2 2 2 4" xfId="32780" xr:uid="{FEF0DE4E-DCB4-4122-926A-772FDBE89B75}"/>
    <cellStyle name="Note 3 5 2 2 3" xfId="20128" xr:uid="{00000000-0005-0000-0000-0000A6630000}"/>
    <cellStyle name="Note 3 5 2 2 3 2" xfId="36997" xr:uid="{BFA961A7-A208-4D6F-95A7-EC161A07E544}"/>
    <cellStyle name="Note 3 5 2 2 4" xfId="11693" xr:uid="{00000000-0005-0000-0000-0000A7630000}"/>
    <cellStyle name="Note 3 5 2 2 5" xfId="28563" xr:uid="{4E3C384C-03A7-4644-BBD8-8CA8D83D1E82}"/>
    <cellStyle name="Note 3 5 2 3" xfId="5331" xr:uid="{00000000-0005-0000-0000-0000A8630000}"/>
    <cellStyle name="Note 3 5 2 3 2" xfId="22201" xr:uid="{00000000-0005-0000-0000-0000A9630000}"/>
    <cellStyle name="Note 3 5 2 3 2 2" xfId="39069" xr:uid="{CA684D5A-B4BC-43CA-B23D-55B8EF134E42}"/>
    <cellStyle name="Note 3 5 2 3 3" xfId="13766" xr:uid="{00000000-0005-0000-0000-0000AA630000}"/>
    <cellStyle name="Note 3 5 2 3 4" xfId="30635" xr:uid="{BA7CD73E-D8DC-41AB-B001-5C62ABEDD500}"/>
    <cellStyle name="Note 3 5 2 4" xfId="17983" xr:uid="{00000000-0005-0000-0000-0000AB630000}"/>
    <cellStyle name="Note 3 5 2 4 2" xfId="34852" xr:uid="{95D97F11-B518-4A58-AF2C-BBC12D4510E3}"/>
    <cellStyle name="Note 3 5 2 5" xfId="9548" xr:uid="{00000000-0005-0000-0000-0000AC630000}"/>
    <cellStyle name="Note 3 5 2 6" xfId="26418" xr:uid="{AACACF0B-0D10-4999-AAC2-F80B903D5FD2}"/>
    <cellStyle name="Note 3 5 3" xfId="1436" xr:uid="{00000000-0005-0000-0000-0000AD630000}"/>
    <cellStyle name="Note 3 5 3 2" xfId="3666" xr:uid="{00000000-0005-0000-0000-0000AE630000}"/>
    <cellStyle name="Note 3 5 3 2 2" xfId="7889" xr:uid="{00000000-0005-0000-0000-0000AF630000}"/>
    <cellStyle name="Note 3 5 3 2 2 2" xfId="24759" xr:uid="{00000000-0005-0000-0000-0000B0630000}"/>
    <cellStyle name="Note 3 5 3 2 2 2 2" xfId="41627" xr:uid="{4CCC090F-F7DA-4E32-8594-9D4015EB1AC1}"/>
    <cellStyle name="Note 3 5 3 2 2 3" xfId="16324" xr:uid="{00000000-0005-0000-0000-0000B1630000}"/>
    <cellStyle name="Note 3 5 3 2 2 4" xfId="33193" xr:uid="{45E91E48-70A9-409B-8244-E325FCB5A6C4}"/>
    <cellStyle name="Note 3 5 3 2 3" xfId="20541" xr:uid="{00000000-0005-0000-0000-0000B2630000}"/>
    <cellStyle name="Note 3 5 3 2 3 2" xfId="37410" xr:uid="{72BE3795-9D00-413E-BFBB-6576CB752F02}"/>
    <cellStyle name="Note 3 5 3 2 4" xfId="12106" xr:uid="{00000000-0005-0000-0000-0000B3630000}"/>
    <cellStyle name="Note 3 5 3 2 5" xfId="28976" xr:uid="{3C8AA5D2-D77F-491D-B91F-A02A8F20D597}"/>
    <cellStyle name="Note 3 5 3 3" xfId="5744" xr:uid="{00000000-0005-0000-0000-0000B4630000}"/>
    <cellStyle name="Note 3 5 3 3 2" xfId="22614" xr:uid="{00000000-0005-0000-0000-0000B5630000}"/>
    <cellStyle name="Note 3 5 3 3 2 2" xfId="39482" xr:uid="{FCF96269-3BF8-4375-8678-3CF1286EC397}"/>
    <cellStyle name="Note 3 5 3 3 3" xfId="14179" xr:uid="{00000000-0005-0000-0000-0000B6630000}"/>
    <cellStyle name="Note 3 5 3 3 4" xfId="31048" xr:uid="{86B872EF-B54A-4EC7-8172-CC7C68FD46C0}"/>
    <cellStyle name="Note 3 5 3 4" xfId="18396" xr:uid="{00000000-0005-0000-0000-0000B7630000}"/>
    <cellStyle name="Note 3 5 3 4 2" xfId="35265" xr:uid="{A573CC09-792E-41A8-BB90-4A540153D937}"/>
    <cellStyle name="Note 3 5 3 5" xfId="9961" xr:uid="{00000000-0005-0000-0000-0000B8630000}"/>
    <cellStyle name="Note 3 5 3 6" xfId="26831" xr:uid="{D88547F9-AE4A-445E-B609-1A0C9AD29FF1}"/>
    <cellStyle name="Note 3 5 4" xfId="1850" xr:uid="{00000000-0005-0000-0000-0000B9630000}"/>
    <cellStyle name="Note 3 5 4 2" xfId="4079" xr:uid="{00000000-0005-0000-0000-0000BA630000}"/>
    <cellStyle name="Note 3 5 4 2 2" xfId="8302" xr:uid="{00000000-0005-0000-0000-0000BB630000}"/>
    <cellStyle name="Note 3 5 4 2 2 2" xfId="25172" xr:uid="{00000000-0005-0000-0000-0000BC630000}"/>
    <cellStyle name="Note 3 5 4 2 2 2 2" xfId="42040" xr:uid="{D2888FEF-D9AD-4FD0-B342-9BE395FB81C9}"/>
    <cellStyle name="Note 3 5 4 2 2 3" xfId="16737" xr:uid="{00000000-0005-0000-0000-0000BD630000}"/>
    <cellStyle name="Note 3 5 4 2 2 4" xfId="33606" xr:uid="{ABB3C589-7C65-42AD-8315-B0AC7CB100FA}"/>
    <cellStyle name="Note 3 5 4 2 3" xfId="20954" xr:uid="{00000000-0005-0000-0000-0000BE630000}"/>
    <cellStyle name="Note 3 5 4 2 3 2" xfId="37823" xr:uid="{A612907D-65D1-4CDF-BF21-61C51A2E79F3}"/>
    <cellStyle name="Note 3 5 4 2 4" xfId="12519" xr:uid="{00000000-0005-0000-0000-0000BF630000}"/>
    <cellStyle name="Note 3 5 4 2 5" xfId="29389" xr:uid="{E5B1763F-0F3A-4D66-BB54-96E2FFB127A4}"/>
    <cellStyle name="Note 3 5 4 3" xfId="6157" xr:uid="{00000000-0005-0000-0000-0000C0630000}"/>
    <cellStyle name="Note 3 5 4 3 2" xfId="23027" xr:uid="{00000000-0005-0000-0000-0000C1630000}"/>
    <cellStyle name="Note 3 5 4 3 2 2" xfId="39895" xr:uid="{199A7F2C-6375-49B7-B48B-AA5BE720E006}"/>
    <cellStyle name="Note 3 5 4 3 3" xfId="14592" xr:uid="{00000000-0005-0000-0000-0000C2630000}"/>
    <cellStyle name="Note 3 5 4 3 4" xfId="31461" xr:uid="{9F3A2CF3-79EF-4616-A69B-2B39BB4FDF3C}"/>
    <cellStyle name="Note 3 5 4 4" xfId="18809" xr:uid="{00000000-0005-0000-0000-0000C3630000}"/>
    <cellStyle name="Note 3 5 4 4 2" xfId="35678" xr:uid="{982745AB-453C-420C-8265-E2448670DD46}"/>
    <cellStyle name="Note 3 5 4 5" xfId="10374" xr:uid="{00000000-0005-0000-0000-0000C4630000}"/>
    <cellStyle name="Note 3 5 4 6" xfId="27244" xr:uid="{44ADE97B-86F1-4845-9DCC-F0B77C86688E}"/>
    <cellStyle name="Note 3 5 5" xfId="2263" xr:uid="{00000000-0005-0000-0000-0000C5630000}"/>
    <cellStyle name="Note 3 5 5 2" xfId="4492" xr:uid="{00000000-0005-0000-0000-0000C6630000}"/>
    <cellStyle name="Note 3 5 5 2 2" xfId="8715" xr:uid="{00000000-0005-0000-0000-0000C7630000}"/>
    <cellStyle name="Note 3 5 5 2 2 2" xfId="25585" xr:uid="{00000000-0005-0000-0000-0000C8630000}"/>
    <cellStyle name="Note 3 5 5 2 2 2 2" xfId="42453" xr:uid="{34DED66D-EBC9-4711-B198-B51656DA19FC}"/>
    <cellStyle name="Note 3 5 5 2 2 3" xfId="17150" xr:uid="{00000000-0005-0000-0000-0000C9630000}"/>
    <cellStyle name="Note 3 5 5 2 2 4" xfId="34019" xr:uid="{8AD8169E-B591-4CBF-A2AC-799FBA811885}"/>
    <cellStyle name="Note 3 5 5 2 3" xfId="21367" xr:uid="{00000000-0005-0000-0000-0000CA630000}"/>
    <cellStyle name="Note 3 5 5 2 3 2" xfId="38236" xr:uid="{2E982DE2-1D36-40FF-A751-5D1F6D447714}"/>
    <cellStyle name="Note 3 5 5 2 4" xfId="12932" xr:uid="{00000000-0005-0000-0000-0000CB630000}"/>
    <cellStyle name="Note 3 5 5 2 5" xfId="29802" xr:uid="{8173C835-F53B-4A74-B1E0-A09B8F967D1C}"/>
    <cellStyle name="Note 3 5 5 3" xfId="6570" xr:uid="{00000000-0005-0000-0000-0000CC630000}"/>
    <cellStyle name="Note 3 5 5 3 2" xfId="23440" xr:uid="{00000000-0005-0000-0000-0000CD630000}"/>
    <cellStyle name="Note 3 5 5 3 2 2" xfId="40308" xr:uid="{E545021C-21AC-441F-8763-9CAF89A4B262}"/>
    <cellStyle name="Note 3 5 5 3 3" xfId="15005" xr:uid="{00000000-0005-0000-0000-0000CE630000}"/>
    <cellStyle name="Note 3 5 5 3 4" xfId="31874" xr:uid="{EB49A99E-FEA9-4A21-97E8-3AE13804383F}"/>
    <cellStyle name="Note 3 5 5 4" xfId="19222" xr:uid="{00000000-0005-0000-0000-0000CF630000}"/>
    <cellStyle name="Note 3 5 5 4 2" xfId="36091" xr:uid="{F862466C-5668-458E-B5C5-587E796BAF75}"/>
    <cellStyle name="Note 3 5 5 5" xfId="10787" xr:uid="{00000000-0005-0000-0000-0000D0630000}"/>
    <cellStyle name="Note 3 5 5 6" xfId="27657" xr:uid="{004477B3-33EF-475C-8635-AB3C9CA7D9FF}"/>
    <cellStyle name="Note 3 5 6" xfId="2699" xr:uid="{00000000-0005-0000-0000-0000D1630000}"/>
    <cellStyle name="Note 3 5 6 2" xfId="6983" xr:uid="{00000000-0005-0000-0000-0000D2630000}"/>
    <cellStyle name="Note 3 5 6 2 2" xfId="23853" xr:uid="{00000000-0005-0000-0000-0000D3630000}"/>
    <cellStyle name="Note 3 5 6 2 2 2" xfId="40721" xr:uid="{8234D784-96C9-44B5-8390-634C1101AA5C}"/>
    <cellStyle name="Note 3 5 6 2 3" xfId="15418" xr:uid="{00000000-0005-0000-0000-0000D4630000}"/>
    <cellStyle name="Note 3 5 6 2 4" xfId="32287" xr:uid="{0622E29C-952A-4488-A06D-EE080DEFCEB6}"/>
    <cellStyle name="Note 3 5 6 3" xfId="19635" xr:uid="{00000000-0005-0000-0000-0000D5630000}"/>
    <cellStyle name="Note 3 5 6 3 2" xfId="36504" xr:uid="{79688FD9-DB0C-428A-B3E1-B2622CBA3284}"/>
    <cellStyle name="Note 3 5 6 4" xfId="11200" xr:uid="{00000000-0005-0000-0000-0000D6630000}"/>
    <cellStyle name="Note 3 5 6 5" xfId="28070" xr:uid="{78D32025-961B-4F70-8A28-1D69C0278A8E}"/>
    <cellStyle name="Note 3 5 7" xfId="2758" xr:uid="{00000000-0005-0000-0000-0000D7630000}"/>
    <cellStyle name="Note 3 5 8" xfId="2839" xr:uid="{00000000-0005-0000-0000-0000D8630000}"/>
    <cellStyle name="Note 3 5 8 2" xfId="7063" xr:uid="{00000000-0005-0000-0000-0000D9630000}"/>
    <cellStyle name="Note 3 5 8 2 2" xfId="23933" xr:uid="{00000000-0005-0000-0000-0000DA630000}"/>
    <cellStyle name="Note 3 5 8 2 2 2" xfId="40801" xr:uid="{41581592-E116-4D01-B56C-C0AE647F78A8}"/>
    <cellStyle name="Note 3 5 8 2 3" xfId="15498" xr:uid="{00000000-0005-0000-0000-0000DB630000}"/>
    <cellStyle name="Note 3 5 8 2 4" xfId="32367" xr:uid="{4D2E67BE-D0A5-4EB1-81B7-C21041AC8B94}"/>
    <cellStyle name="Note 3 5 8 3" xfId="19715" xr:uid="{00000000-0005-0000-0000-0000DC630000}"/>
    <cellStyle name="Note 3 5 8 3 2" xfId="36584" xr:uid="{9820CF2C-CB97-44F2-90DE-A6AAF4F7251F}"/>
    <cellStyle name="Note 3 5 8 4" xfId="11280" xr:uid="{00000000-0005-0000-0000-0000DD630000}"/>
    <cellStyle name="Note 3 5 8 5" xfId="28150" xr:uid="{C42A2172-F223-4061-B9E4-B340273F5A8D}"/>
    <cellStyle name="Note 3 5 9" xfId="4918" xr:uid="{00000000-0005-0000-0000-0000DE630000}"/>
    <cellStyle name="Note 3 5 9 2" xfId="21788" xr:uid="{00000000-0005-0000-0000-0000DF630000}"/>
    <cellStyle name="Note 3 5 9 2 2" xfId="38656" xr:uid="{5DDE1EA0-F4B6-4AA3-97BE-59222F7BB25C}"/>
    <cellStyle name="Note 3 5 9 3" xfId="13353" xr:uid="{00000000-0005-0000-0000-0000E0630000}"/>
    <cellStyle name="Note 3 5 9 4" xfId="30222" xr:uid="{7A67DDCB-4B8A-4589-8A30-AD767639D751}"/>
    <cellStyle name="Output" xfId="562" builtinId="21" customBuiltin="1"/>
    <cellStyle name="Output 2" xfId="563" xr:uid="{00000000-0005-0000-0000-0000E2630000}"/>
    <cellStyle name="Percent" xfId="4494" builtinId="5"/>
    <cellStyle name="Percent 2" xfId="1022" xr:uid="{00000000-0005-0000-0000-0000E4630000}"/>
    <cellStyle name="Percent 3" xfId="4499" xr:uid="{00000000-0005-0000-0000-0000E5630000}"/>
    <cellStyle name="Percent 3 2" xfId="21371" xr:uid="{00000000-0005-0000-0000-0000E6630000}"/>
    <cellStyle name="Percent 3 2 2" xfId="38239" xr:uid="{815446D0-4308-4680-AD74-BE3F149B7311}"/>
    <cellStyle name="Percent 3 3" xfId="12936" xr:uid="{00000000-0005-0000-0000-0000E7630000}"/>
    <cellStyle name="Percent 3 4" xfId="25588" xr:uid="{00000000-0005-0000-0000-0000E8630000}"/>
    <cellStyle name="Percent 3 5" xfId="25591" xr:uid="{00000000-0005-0000-0000-0000E9630000}"/>
    <cellStyle name="Percent 3 6" xfId="29805" xr:uid="{96E8355F-F0C0-442A-92A4-4BD2E8928C70}"/>
    <cellStyle name="Percent 4" xfId="4502" xr:uid="{00000000-0005-0000-0000-0000EA630000}"/>
    <cellStyle name="Percent 4 2" xfId="8718" xr:uid="{00000000-0005-0000-0000-0000EB630000}"/>
    <cellStyle name="Percent 4 2 2" xfId="17153" xr:uid="{00000000-0005-0000-0000-0000EC630000}"/>
    <cellStyle name="Percent 4 2 3" xfId="34022" xr:uid="{9A1928EC-D77F-4C1C-A6A8-9C6DD856662B}"/>
    <cellStyle name="Percent 4 3" xfId="8721" xr:uid="{00000000-0005-0000-0000-0000ED630000}"/>
    <cellStyle name="Percent 4 3 2" xfId="17156" xr:uid="{00000000-0005-0000-0000-0000EE630000}"/>
    <cellStyle name="Percent 4 3 3" xfId="34025" xr:uid="{424523F4-72C5-4EA5-8DE7-DDD6DF133AAD}"/>
    <cellStyle name="Percent 4 4" xfId="21374" xr:uid="{00000000-0005-0000-0000-0000EF630000}"/>
    <cellStyle name="Percent 4 4 2" xfId="38242" xr:uid="{82AFB978-215D-4433-B532-5627C6BACED7}"/>
    <cellStyle name="Percent 4 5" xfId="12939" xr:uid="{00000000-0005-0000-0000-0000F0630000}"/>
    <cellStyle name="Percent 4 6" xfId="29808" xr:uid="{3B92FA2A-C3FA-45C1-A01D-3ABC8AF88024}"/>
    <cellStyle name="Text Entry" xfId="564" xr:uid="{00000000-0005-0000-0000-0000F1630000}"/>
    <cellStyle name="Title 2" xfId="565" xr:uid="{00000000-0005-0000-0000-0000F2630000}"/>
    <cellStyle name="Title 2 2" xfId="2759" xr:uid="{00000000-0005-0000-0000-0000F3630000}"/>
    <cellStyle name="Title 2 3" xfId="2840" xr:uid="{00000000-0005-0000-0000-0000F4630000}"/>
    <cellStyle name="Total" xfId="566" builtinId="25" customBuiltin="1"/>
    <cellStyle name="Total 2" xfId="567" xr:uid="{00000000-0005-0000-0000-0000F6630000}"/>
    <cellStyle name="Warning Text" xfId="568" builtinId="11" customBuiltin="1"/>
  </cellStyles>
  <dxfs count="157">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Mercy%20-%20Hunter's%20Point%20Block%2056\HP%20Block%2056%204%25%207-20-22%20CDLAC%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ltreasurer-my.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9%don't use"/>
      <sheetName val="4%"/>
      <sheetName val="SUMMARY"/>
      <sheetName val="Sheet1"/>
      <sheetName val="MHP loan limits cal"/>
      <sheetName val="Intrnal Notes"/>
    </sheetNames>
    <sheetDataSet>
      <sheetData sheetId="0"/>
      <sheetData sheetId="1"/>
      <sheetData sheetId="2">
        <row r="13">
          <cell r="H13">
            <v>26383849.041252356</v>
          </cell>
          <cell r="S13">
            <v>1171.1200000000001</v>
          </cell>
        </row>
        <row r="15">
          <cell r="E15">
            <v>747762.25491082715</v>
          </cell>
          <cell r="S15">
            <v>1337.28</v>
          </cell>
        </row>
        <row r="18">
          <cell r="E18">
            <v>0</v>
          </cell>
        </row>
        <row r="19">
          <cell r="S19">
            <v>1494.96</v>
          </cell>
        </row>
        <row r="20">
          <cell r="E20">
            <v>32098017.346007615</v>
          </cell>
          <cell r="H20">
            <v>3209801.7346007619</v>
          </cell>
        </row>
        <row r="23">
          <cell r="S23">
            <v>1657.6000000000001</v>
          </cell>
        </row>
        <row r="24">
          <cell r="E24">
            <v>36361354.236821152</v>
          </cell>
          <cell r="F24">
            <v>4.4999999999999998E-2</v>
          </cell>
        </row>
        <row r="26">
          <cell r="S26">
            <v>1778.92</v>
          </cell>
        </row>
        <row r="27">
          <cell r="S27">
            <v>1907.76</v>
          </cell>
        </row>
        <row r="31">
          <cell r="E31">
            <v>0</v>
          </cell>
        </row>
        <row r="32">
          <cell r="E32">
            <v>500000</v>
          </cell>
        </row>
        <row r="34">
          <cell r="E34">
            <v>15000</v>
          </cell>
        </row>
        <row r="37">
          <cell r="E37">
            <v>50000</v>
          </cell>
        </row>
        <row r="47">
          <cell r="E47">
            <v>1171705</v>
          </cell>
        </row>
        <row r="48">
          <cell r="E48">
            <v>40394298</v>
          </cell>
        </row>
        <row r="50">
          <cell r="E50">
            <v>2804389</v>
          </cell>
        </row>
        <row r="51">
          <cell r="E51">
            <v>1073892</v>
          </cell>
        </row>
        <row r="52">
          <cell r="E52">
            <v>1780988</v>
          </cell>
        </row>
        <row r="53">
          <cell r="E53">
            <v>6213726</v>
          </cell>
        </row>
        <row r="56">
          <cell r="E56">
            <v>1900000</v>
          </cell>
        </row>
        <row r="59">
          <cell r="E59">
            <v>359075</v>
          </cell>
        </row>
        <row r="61">
          <cell r="E61">
            <v>2113503.7150152293</v>
          </cell>
          <cell r="H61">
            <v>1295373.2446867535</v>
          </cell>
        </row>
        <row r="64">
          <cell r="E64">
            <v>747762.25491082715</v>
          </cell>
        </row>
        <row r="65">
          <cell r="E65">
            <v>0</v>
          </cell>
        </row>
        <row r="66">
          <cell r="E66">
            <v>207340.17563700001</v>
          </cell>
        </row>
        <row r="68">
          <cell r="E68">
            <v>60000</v>
          </cell>
        </row>
        <row r="72">
          <cell r="E72">
            <v>702805.19661147404</v>
          </cell>
        </row>
        <row r="73">
          <cell r="E73">
            <v>10000</v>
          </cell>
        </row>
        <row r="74">
          <cell r="E74">
            <v>65000</v>
          </cell>
        </row>
        <row r="79">
          <cell r="E79">
            <v>100000</v>
          </cell>
        </row>
        <row r="82">
          <cell r="E82">
            <v>366025.33333333331</v>
          </cell>
        </row>
        <row r="85">
          <cell r="E85">
            <v>620000</v>
          </cell>
        </row>
        <row r="86">
          <cell r="E86">
            <v>986025.33333333326</v>
          </cell>
        </row>
        <row r="87">
          <cell r="E87">
            <v>15000</v>
          </cell>
        </row>
        <row r="88">
          <cell r="E88">
            <v>2388763.6</v>
          </cell>
        </row>
        <row r="90">
          <cell r="E90">
            <v>65666.826963837884</v>
          </cell>
        </row>
        <row r="91">
          <cell r="E91">
            <v>303195</v>
          </cell>
        </row>
        <row r="92">
          <cell r="E92">
            <v>250000</v>
          </cell>
        </row>
        <row r="93">
          <cell r="E93">
            <v>445853</v>
          </cell>
        </row>
        <row r="94">
          <cell r="E94">
            <v>338951</v>
          </cell>
        </row>
        <row r="95">
          <cell r="E95">
            <v>20000</v>
          </cell>
        </row>
        <row r="96">
          <cell r="E96">
            <v>372000</v>
          </cell>
        </row>
        <row r="97">
          <cell r="E97">
            <v>300000</v>
          </cell>
        </row>
        <row r="98">
          <cell r="E98">
            <v>225000</v>
          </cell>
        </row>
        <row r="99">
          <cell r="E99">
            <v>703953.49844673276</v>
          </cell>
        </row>
        <row r="103">
          <cell r="E103">
            <v>2200000</v>
          </cell>
          <cell r="I103">
            <v>800000</v>
          </cell>
        </row>
        <row r="109">
          <cell r="E109">
            <v>2200000</v>
          </cell>
        </row>
        <row r="117">
          <cell r="E117">
            <v>215000</v>
          </cell>
        </row>
        <row r="123">
          <cell r="E123">
            <v>65000</v>
          </cell>
          <cell r="H123">
            <v>0.54900000000000004</v>
          </cell>
        </row>
        <row r="132">
          <cell r="E132">
            <v>272710.1567761586</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39" zoomScaleNormal="100" zoomScaleSheetLayoutView="100" workbookViewId="0">
      <selection activeCell="F364" sqref="F364"/>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723" t="s">
        <v>573</v>
      </c>
      <c r="B1" s="1723"/>
      <c r="C1" s="1723"/>
      <c r="D1" s="1723"/>
      <c r="E1" s="1723"/>
      <c r="F1" s="1723"/>
      <c r="G1" s="1723"/>
      <c r="H1" s="1723"/>
      <c r="I1" s="1723"/>
      <c r="J1" s="1723"/>
      <c r="K1" s="1723"/>
      <c r="L1" s="1723"/>
      <c r="M1" s="1723"/>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c r="AL1" s="1723"/>
    </row>
    <row r="2" spans="1:38" ht="13.8" thickBot="1">
      <c r="A2" s="1724"/>
      <c r="B2" s="1724"/>
      <c r="C2" s="1724"/>
      <c r="D2" s="1724"/>
      <c r="E2" s="1724"/>
      <c r="F2" s="1724"/>
      <c r="G2" s="172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row>
    <row r="3" spans="1:38" ht="13.8" thickTop="1"/>
    <row r="4" spans="1:38" s="8" customFormat="1">
      <c r="B4" s="17" t="s">
        <v>579</v>
      </c>
      <c r="C4" s="17" t="s">
        <v>531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725" t="s">
        <v>2611</v>
      </c>
      <c r="E7" s="1725"/>
      <c r="F7" s="1725"/>
      <c r="G7" s="1725"/>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738"/>
    </row>
    <row r="8" spans="1:38">
      <c r="A8" s="327"/>
      <c r="B8" s="325"/>
      <c r="C8" s="326"/>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738"/>
    </row>
    <row r="9" spans="1:38">
      <c r="A9" s="327"/>
      <c r="B9" s="325"/>
      <c r="C9" s="326"/>
      <c r="D9" s="1725"/>
      <c r="E9" s="1725"/>
      <c r="F9" s="1725"/>
      <c r="G9" s="1725"/>
      <c r="H9" s="1725"/>
      <c r="I9" s="1725"/>
      <c r="J9" s="1725"/>
      <c r="K9" s="1725"/>
      <c r="L9" s="1725"/>
      <c r="M9" s="1725"/>
      <c r="N9" s="1725"/>
      <c r="O9" s="1725"/>
      <c r="P9" s="1725"/>
      <c r="Q9" s="1725"/>
      <c r="R9" s="1725"/>
      <c r="S9" s="1725"/>
      <c r="T9" s="1725"/>
      <c r="U9" s="1725"/>
      <c r="V9" s="1725"/>
      <c r="W9" s="1725"/>
      <c r="X9" s="1725"/>
      <c r="Y9" s="1725"/>
      <c r="Z9" s="1725"/>
      <c r="AA9" s="1725"/>
      <c r="AB9" s="1725"/>
      <c r="AC9" s="1725"/>
      <c r="AD9" s="1725"/>
      <c r="AE9" s="1725"/>
      <c r="AF9" s="1725"/>
      <c r="AG9" s="1725"/>
      <c r="AH9" s="1725"/>
      <c r="AI9" s="1725"/>
      <c r="AJ9" s="1725"/>
      <c r="AK9" s="1725"/>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725" t="s">
        <v>2612</v>
      </c>
      <c r="E11" s="1725"/>
      <c r="F11" s="1725"/>
      <c r="G11" s="1725"/>
      <c r="H11" s="1725"/>
      <c r="I11" s="1725"/>
      <c r="J11" s="1725"/>
      <c r="K11" s="1725"/>
      <c r="L11" s="1725"/>
      <c r="M11" s="1725"/>
      <c r="N11" s="1725"/>
      <c r="O11" s="1725"/>
      <c r="P11" s="1725"/>
      <c r="Q11" s="1725"/>
      <c r="R11" s="1725"/>
      <c r="S11" s="1725"/>
      <c r="T11" s="1725"/>
      <c r="U11" s="1725"/>
      <c r="V11" s="1725"/>
      <c r="W11" s="1725"/>
      <c r="X11" s="1725"/>
      <c r="Y11" s="1725"/>
      <c r="Z11" s="1725"/>
      <c r="AA11" s="1725"/>
      <c r="AB11" s="1725"/>
      <c r="AC11" s="1725"/>
      <c r="AD11" s="1725"/>
      <c r="AE11" s="1725"/>
      <c r="AF11" s="1725"/>
      <c r="AG11" s="1725"/>
      <c r="AH11" s="1725"/>
      <c r="AI11" s="1725"/>
      <c r="AJ11" s="1725"/>
      <c r="AK11" s="1725"/>
      <c r="AL11" s="738"/>
    </row>
    <row r="12" spans="1:38">
      <c r="A12" s="327"/>
      <c r="B12" s="325"/>
      <c r="C12" s="326"/>
      <c r="D12" s="1725"/>
      <c r="E12" s="1725"/>
      <c r="F12" s="1725"/>
      <c r="G12" s="1725"/>
      <c r="H12" s="1725"/>
      <c r="I12" s="1725"/>
      <c r="J12" s="1725"/>
      <c r="K12" s="1725"/>
      <c r="L12" s="1725"/>
      <c r="M12" s="1725"/>
      <c r="N12" s="1725"/>
      <c r="O12" s="1725"/>
      <c r="P12" s="1725"/>
      <c r="Q12" s="1725"/>
      <c r="R12" s="1725"/>
      <c r="S12" s="1725"/>
      <c r="T12" s="1725"/>
      <c r="U12" s="1725"/>
      <c r="V12" s="1725"/>
      <c r="W12" s="1725"/>
      <c r="X12" s="1725"/>
      <c r="Y12" s="1725"/>
      <c r="Z12" s="1725"/>
      <c r="AA12" s="1725"/>
      <c r="AB12" s="1725"/>
      <c r="AC12" s="1725"/>
      <c r="AD12" s="1725"/>
      <c r="AE12" s="1725"/>
      <c r="AF12" s="1725"/>
      <c r="AG12" s="1725"/>
      <c r="AH12" s="1725"/>
      <c r="AI12" s="1725"/>
      <c r="AJ12" s="1725"/>
      <c r="AK12" s="1725"/>
      <c r="AL12" s="738"/>
    </row>
    <row r="13" spans="1:38" s="709" customFormat="1">
      <c r="A13" s="327"/>
      <c r="B13" s="325"/>
      <c r="C13" s="326"/>
      <c r="D13" s="1725"/>
      <c r="E13" s="1725"/>
      <c r="F13" s="1725"/>
      <c r="G13" s="1725"/>
      <c r="H13" s="1725"/>
      <c r="I13" s="1725"/>
      <c r="J13" s="1725"/>
      <c r="K13" s="1725"/>
      <c r="L13" s="1725"/>
      <c r="M13" s="1725"/>
      <c r="N13" s="1725"/>
      <c r="O13" s="1725"/>
      <c r="P13" s="1725"/>
      <c r="Q13" s="1725"/>
      <c r="R13" s="1725"/>
      <c r="S13" s="1725"/>
      <c r="T13" s="1725"/>
      <c r="U13" s="1725"/>
      <c r="V13" s="1725"/>
      <c r="W13" s="1725"/>
      <c r="X13" s="1725"/>
      <c r="Y13" s="1725"/>
      <c r="Z13" s="1725"/>
      <c r="AA13" s="1725"/>
      <c r="AB13" s="1725"/>
      <c r="AC13" s="1725"/>
      <c r="AD13" s="1725"/>
      <c r="AE13" s="1725"/>
      <c r="AF13" s="1725"/>
      <c r="AG13" s="1725"/>
      <c r="AH13" s="1725"/>
      <c r="AI13" s="1725"/>
      <c r="AJ13" s="1725"/>
      <c r="AK13" s="1725"/>
      <c r="AL13" s="738"/>
    </row>
    <row r="14" spans="1:38" s="709" customFormat="1" ht="13.2" customHeight="1">
      <c r="A14" s="327"/>
      <c r="B14" s="325"/>
      <c r="C14" s="326"/>
      <c r="E14" s="1711" t="s">
        <v>2613</v>
      </c>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738"/>
    </row>
    <row r="15" spans="1:38" s="709" customFormat="1" ht="13.2" customHeight="1">
      <c r="A15" s="327"/>
      <c r="B15" s="325"/>
      <c r="C15" s="326"/>
      <c r="E15" s="1711"/>
      <c r="F15" s="1711"/>
      <c r="G15" s="1711"/>
      <c r="H15" s="1711"/>
      <c r="I15" s="1711"/>
      <c r="J15" s="1711"/>
      <c r="K15" s="1711"/>
      <c r="L15" s="1711"/>
      <c r="M15" s="1711"/>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c r="AL15" s="738"/>
    </row>
    <row r="16" spans="1:38" s="709" customFormat="1">
      <c r="A16" s="327"/>
      <c r="B16" s="325"/>
      <c r="C16" s="326"/>
      <c r="D16" s="738"/>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c r="AK16" s="1711"/>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711" t="s">
        <v>2614</v>
      </c>
      <c r="E18" s="1711"/>
      <c r="F18" s="1711"/>
      <c r="G18" s="1711"/>
      <c r="H18" s="1711"/>
      <c r="I18" s="1711"/>
      <c r="J18" s="1711"/>
      <c r="K18" s="1711"/>
      <c r="L18" s="1711"/>
      <c r="M18" s="1711"/>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c r="AL18" s="325"/>
    </row>
    <row r="19" spans="1:38">
      <c r="A19" s="327"/>
      <c r="B19" s="325"/>
      <c r="C19" s="326"/>
      <c r="D19" s="1711"/>
      <c r="E19" s="1711"/>
      <c r="F19" s="1711"/>
      <c r="G19" s="1711"/>
      <c r="H19" s="1711"/>
      <c r="I19" s="1711"/>
      <c r="J19" s="1711"/>
      <c r="K19" s="1711"/>
      <c r="L19" s="1711"/>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1"/>
      <c r="AJ19" s="1711"/>
      <c r="AK19" s="1711"/>
      <c r="AL19" s="325"/>
    </row>
    <row r="20" spans="1:38" s="709" customFormat="1">
      <c r="A20" s="327"/>
      <c r="B20" s="325"/>
      <c r="C20" s="326"/>
      <c r="D20" s="1711"/>
      <c r="E20" s="1711"/>
      <c r="F20" s="1711"/>
      <c r="G20" s="1711"/>
      <c r="H20" s="1711"/>
      <c r="I20" s="1711"/>
      <c r="J20" s="1711"/>
      <c r="K20" s="1711"/>
      <c r="L20" s="1711"/>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325"/>
    </row>
    <row r="21" spans="1:38" s="709" customFormat="1" ht="13.2" customHeight="1">
      <c r="A21" s="327"/>
      <c r="B21" s="325"/>
      <c r="C21" s="326"/>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c r="AL21" s="325"/>
    </row>
    <row r="22" spans="1:38" s="709" customFormat="1">
      <c r="A22" s="327"/>
      <c r="B22" s="325"/>
      <c r="C22" s="326"/>
      <c r="D22" s="1711"/>
      <c r="E22" s="1711"/>
      <c r="F22" s="1711"/>
      <c r="G22" s="1711"/>
      <c r="H22" s="1711"/>
      <c r="I22" s="1711"/>
      <c r="J22" s="1711"/>
      <c r="K22" s="1711"/>
      <c r="L22" s="1711"/>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c r="AJ22" s="1711"/>
      <c r="AK22" s="1711"/>
      <c r="AL22" s="325"/>
    </row>
    <row r="23" spans="1:38" s="709" customFormat="1">
      <c r="A23" s="327"/>
      <c r="B23" s="325"/>
      <c r="C23" s="326"/>
      <c r="D23" s="1711"/>
      <c r="E23" s="1711"/>
      <c r="F23" s="1711"/>
      <c r="G23" s="1711"/>
      <c r="H23" s="1711"/>
      <c r="I23" s="1711"/>
      <c r="J23" s="1711"/>
      <c r="K23" s="1711"/>
      <c r="L23" s="1711"/>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325"/>
    </row>
    <row r="24" spans="1:38">
      <c r="A24" s="327"/>
      <c r="B24" s="325"/>
      <c r="C24" s="326"/>
      <c r="D24" s="1711"/>
      <c r="E24" s="1711"/>
      <c r="F24" s="1711"/>
      <c r="G24" s="1711"/>
      <c r="H24" s="1711"/>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c r="AL24" s="325"/>
    </row>
    <row r="25" spans="1:38" s="709" customFormat="1">
      <c r="A25" s="327"/>
      <c r="B25" s="325"/>
      <c r="C25" s="326"/>
      <c r="D25" s="1711"/>
      <c r="E25" s="1711"/>
      <c r="F25" s="1711"/>
      <c r="G25" s="1711"/>
      <c r="H25" s="1711"/>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11"/>
      <c r="AH25" s="1711"/>
      <c r="AI25" s="1711"/>
      <c r="AJ25" s="1711"/>
      <c r="AK25" s="1711"/>
      <c r="AL25" s="325"/>
    </row>
    <row r="26" spans="1:38" s="709" customFormat="1">
      <c r="A26" s="327"/>
      <c r="B26" s="325"/>
      <c r="C26" s="326"/>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c r="AG26" s="1711"/>
      <c r="AH26" s="1711"/>
      <c r="AI26" s="1711"/>
      <c r="AJ26" s="1711"/>
      <c r="AK26" s="1711"/>
      <c r="AL26" s="325"/>
    </row>
    <row r="27" spans="1:38" s="709" customFormat="1" ht="11.85" customHeight="1">
      <c r="A27" s="327"/>
      <c r="B27" s="325"/>
      <c r="C27" s="326"/>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1"/>
      <c r="AJ27" s="1711"/>
      <c r="AK27" s="1711"/>
      <c r="AL27" s="325"/>
    </row>
    <row r="28" spans="1:38" s="709" customFormat="1" ht="13.2" customHeight="1">
      <c r="A28" s="327"/>
      <c r="B28" s="325"/>
      <c r="C28" s="326"/>
      <c r="E28" s="1711" t="s">
        <v>2615</v>
      </c>
      <c r="F28" s="1711"/>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c r="AL28" s="325"/>
    </row>
    <row r="29" spans="1:38" s="709" customFormat="1" ht="13.2" customHeight="1">
      <c r="A29" s="327"/>
      <c r="B29" s="325"/>
      <c r="C29" s="326"/>
      <c r="E29" s="1711"/>
      <c r="F29" s="1711"/>
      <c r="G29" s="1711"/>
      <c r="H29" s="1711"/>
      <c r="I29" s="1711"/>
      <c r="J29" s="1711"/>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325"/>
    </row>
    <row r="30" spans="1:38" s="709" customFormat="1">
      <c r="A30" s="327"/>
      <c r="B30" s="325"/>
      <c r="C30" s="326"/>
      <c r="D30" s="738"/>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713" t="s">
        <v>2616</v>
      </c>
      <c r="E32" s="1713"/>
      <c r="F32" s="1713"/>
      <c r="G32" s="1713"/>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1713"/>
      <c r="AI32" s="1713"/>
      <c r="AJ32" s="1713"/>
      <c r="AK32" s="1713"/>
      <c r="AL32" s="325"/>
    </row>
    <row r="33" spans="1:38" s="709" customFormat="1">
      <c r="A33" s="327"/>
      <c r="B33" s="325"/>
      <c r="C33" s="326"/>
      <c r="D33" s="738"/>
      <c r="E33" s="1712" t="s">
        <v>2617</v>
      </c>
      <c r="F33" s="1712"/>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325"/>
    </row>
    <row r="34" spans="1:38">
      <c r="A34" s="149"/>
      <c r="C34" s="5"/>
    </row>
    <row r="35" spans="1:38">
      <c r="A35" s="149"/>
      <c r="D35" s="1726" t="s">
        <v>2190</v>
      </c>
      <c r="E35" s="1726"/>
      <c r="F35" s="1726"/>
      <c r="G35" s="1726"/>
      <c r="H35" s="1726"/>
      <c r="I35" s="1726"/>
      <c r="J35" s="1726"/>
      <c r="K35" s="1726"/>
      <c r="L35" s="1726"/>
      <c r="M35" s="1726"/>
      <c r="N35" s="1726"/>
      <c r="O35" s="1726"/>
      <c r="P35" s="1726"/>
      <c r="Q35" s="1726"/>
      <c r="R35" s="1726"/>
      <c r="S35" s="1726"/>
      <c r="T35" s="1726"/>
      <c r="U35" s="1726"/>
      <c r="V35" s="1726"/>
      <c r="W35" s="1726"/>
      <c r="X35" s="1726"/>
      <c r="Y35" s="1726"/>
      <c r="Z35" s="1726"/>
      <c r="AA35" s="1726"/>
      <c r="AB35" s="1726"/>
      <c r="AC35" s="1726"/>
      <c r="AD35" s="1726"/>
      <c r="AE35" s="1726"/>
      <c r="AF35" s="1726"/>
      <c r="AG35" s="1726"/>
      <c r="AH35" s="1726"/>
      <c r="AI35" s="1726"/>
      <c r="AJ35" s="1726"/>
      <c r="AK35" s="1726"/>
    </row>
    <row r="36" spans="1:38">
      <c r="A36" s="149"/>
      <c r="D36" s="1726"/>
      <c r="E36" s="1726"/>
      <c r="F36" s="1726"/>
      <c r="G36" s="1726"/>
      <c r="H36" s="1726"/>
      <c r="I36" s="1726"/>
      <c r="J36" s="1726"/>
      <c r="K36" s="1726"/>
      <c r="L36" s="1726"/>
      <c r="M36" s="1726"/>
      <c r="N36" s="1726"/>
      <c r="O36" s="1726"/>
      <c r="P36" s="1726"/>
      <c r="Q36" s="1726"/>
      <c r="R36" s="1726"/>
      <c r="S36" s="1726"/>
      <c r="T36" s="1726"/>
      <c r="U36" s="1726"/>
      <c r="V36" s="1726"/>
      <c r="W36" s="1726"/>
      <c r="X36" s="1726"/>
      <c r="Y36" s="1726"/>
      <c r="Z36" s="1726"/>
      <c r="AA36" s="1726"/>
      <c r="AB36" s="1726"/>
      <c r="AC36" s="1726"/>
      <c r="AD36" s="1726"/>
      <c r="AE36" s="1726"/>
      <c r="AF36" s="1726"/>
      <c r="AG36" s="1726"/>
      <c r="AH36" s="1726"/>
      <c r="AI36" s="1726"/>
      <c r="AJ36" s="1726"/>
      <c r="AK36" s="1726"/>
    </row>
    <row r="37" spans="1:38">
      <c r="A37" s="149"/>
      <c r="D37" s="250"/>
      <c r="E37" s="1719" t="s">
        <v>2618</v>
      </c>
      <c r="F37" s="1719"/>
      <c r="G37" s="1719"/>
      <c r="H37" s="1719"/>
      <c r="I37" s="1719"/>
      <c r="J37" s="1719"/>
      <c r="K37" s="1719"/>
      <c r="L37" s="1719"/>
      <c r="M37" s="1719"/>
      <c r="N37" s="1719"/>
      <c r="O37" s="1719"/>
      <c r="P37" s="1719"/>
      <c r="Q37" s="1719"/>
      <c r="R37" s="1719"/>
      <c r="S37" s="1719"/>
      <c r="T37" s="1719"/>
      <c r="U37" s="1719"/>
      <c r="V37" s="1719"/>
      <c r="W37" s="1719"/>
      <c r="X37" s="1719"/>
      <c r="Y37" s="1719"/>
      <c r="Z37" s="1719"/>
      <c r="AA37" s="1719"/>
      <c r="AB37" s="1719"/>
      <c r="AC37" s="1719"/>
      <c r="AD37" s="1719"/>
      <c r="AE37" s="1719"/>
      <c r="AF37" s="1719"/>
      <c r="AG37" s="1719"/>
      <c r="AH37" s="1719"/>
      <c r="AI37" s="1719"/>
      <c r="AJ37" s="1719"/>
      <c r="AK37" s="1719"/>
    </row>
    <row r="38" spans="1:38">
      <c r="A38" s="149"/>
      <c r="D38" s="250"/>
      <c r="E38" s="1719" t="s">
        <v>2619</v>
      </c>
      <c r="F38" s="1719"/>
      <c r="G38" s="1719"/>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D38" s="1719"/>
      <c r="AE38" s="1719"/>
      <c r="AF38" s="1719"/>
      <c r="AG38" s="1719"/>
      <c r="AH38" s="1719"/>
      <c r="AI38" s="1719"/>
      <c r="AJ38" s="1719"/>
      <c r="AK38" s="171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346</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11" customFormat="1" ht="13.2" customHeight="1">
      <c r="A42" s="149"/>
      <c r="B42"/>
      <c r="C42" s="5"/>
      <c r="D42" s="149"/>
      <c r="E42" s="149" t="s">
        <v>677</v>
      </c>
      <c r="F42" s="1711" t="s">
        <v>1324</v>
      </c>
    </row>
    <row r="43" spans="1:38" s="1711" customFormat="1" ht="13.2" customHeight="1">
      <c r="A43" s="149"/>
      <c r="B43" s="709"/>
      <c r="C43" s="5"/>
      <c r="D43" s="149"/>
      <c r="E43" s="149"/>
    </row>
    <row r="44" spans="1:38">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353</v>
      </c>
      <c r="F45" s="1718" t="s">
        <v>1419</v>
      </c>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18"/>
      <c r="AL45" s="1718"/>
    </row>
    <row r="46" spans="1:38" s="762" customFormat="1">
      <c r="A46" s="149"/>
      <c r="B46" s="709"/>
      <c r="C46" s="5"/>
      <c r="D46" s="149"/>
      <c r="E46" s="149"/>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1718"/>
    </row>
    <row r="47" spans="1:38" s="762" customFormat="1" ht="13.2" customHeight="1">
      <c r="A47" s="149"/>
      <c r="B47" s="709"/>
      <c r="C47" s="5"/>
      <c r="D47" s="149"/>
      <c r="E47" s="149"/>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1718"/>
      <c r="AF47" s="1718"/>
      <c r="AG47" s="1718"/>
      <c r="AH47" s="1718"/>
      <c r="AI47" s="1718"/>
      <c r="AJ47" s="1718"/>
      <c r="AK47" s="1718"/>
      <c r="AL47" s="1718"/>
    </row>
    <row r="48" spans="1:38">
      <c r="A48" s="149"/>
      <c r="C48" s="5"/>
      <c r="D48" s="149"/>
      <c r="E48" s="149"/>
      <c r="F48" s="762" t="s">
        <v>712</v>
      </c>
      <c r="G48" s="6" t="s">
        <v>2620</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532</v>
      </c>
      <c r="G49" s="149" t="s">
        <v>570</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354</v>
      </c>
      <c r="F50" s="1711" t="s">
        <v>2621</v>
      </c>
      <c r="G50" s="1711"/>
      <c r="H50" s="1711"/>
      <c r="I50" s="1711"/>
      <c r="J50" s="1711"/>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11"/>
      <c r="AI50" s="1711"/>
      <c r="AJ50" s="1711"/>
      <c r="AK50" s="1711"/>
    </row>
    <row r="51" spans="1:38">
      <c r="A51" s="149"/>
      <c r="C51" s="5"/>
      <c r="D51" s="149"/>
      <c r="E51" s="149"/>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1711"/>
      <c r="AB51" s="1711"/>
      <c r="AC51" s="1711"/>
      <c r="AD51" s="1711"/>
      <c r="AE51" s="1711"/>
      <c r="AF51" s="1711"/>
      <c r="AG51" s="1711"/>
      <c r="AH51" s="1711"/>
      <c r="AI51" s="1711"/>
      <c r="AJ51" s="1711"/>
      <c r="AK51" s="1711"/>
    </row>
    <row r="52" spans="1:38">
      <c r="A52" s="149"/>
      <c r="C52" s="5"/>
      <c r="D52" s="149"/>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11"/>
      <c r="AH52" s="1711"/>
      <c r="AI52" s="1711"/>
      <c r="AJ52" s="1711"/>
      <c r="AK52" s="171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677</v>
      </c>
      <c r="F55" s="6" t="s">
        <v>1352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712</v>
      </c>
      <c r="G56" s="1716" t="s">
        <v>1351</v>
      </c>
      <c r="H56" s="1716"/>
      <c r="I56" s="1716"/>
      <c r="J56" s="1716"/>
      <c r="K56" s="1716"/>
      <c r="L56" s="1716"/>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325"/>
    </row>
    <row r="57" spans="1:38" s="709" customFormat="1" ht="13.2" customHeight="1">
      <c r="A57" s="327"/>
      <c r="B57" s="325"/>
      <c r="C57" s="326"/>
      <c r="D57" s="326"/>
      <c r="E57" s="327"/>
      <c r="F57" s="331"/>
      <c r="G57" s="769" t="s">
        <v>1353</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6" t="s">
        <v>599</v>
      </c>
      <c r="H58" s="1716"/>
      <c r="I58" s="1716"/>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532</v>
      </c>
      <c r="G59" s="1717" t="s">
        <v>2622</v>
      </c>
      <c r="H59" s="1717"/>
      <c r="I59" s="1717"/>
      <c r="J59" s="1717"/>
      <c r="K59" s="1717"/>
      <c r="L59" s="1717"/>
      <c r="M59" s="1717"/>
      <c r="N59" s="1717"/>
      <c r="O59" s="1717"/>
      <c r="P59" s="1717"/>
      <c r="Q59" s="1717"/>
      <c r="R59" s="1717"/>
      <c r="S59" s="1717"/>
      <c r="T59" s="1717"/>
      <c r="U59" s="1717"/>
      <c r="V59" s="1717"/>
      <c r="W59" s="1717"/>
      <c r="X59" s="1717"/>
      <c r="Y59" s="1717"/>
      <c r="Z59" s="1717"/>
      <c r="AA59" s="1717"/>
      <c r="AB59" s="1717"/>
      <c r="AC59" s="1717"/>
      <c r="AD59" s="1717"/>
      <c r="AE59" s="1717"/>
      <c r="AF59" s="1717"/>
      <c r="AG59" s="1717"/>
      <c r="AH59" s="1717"/>
      <c r="AI59" s="1717"/>
      <c r="AJ59" s="1717"/>
      <c r="AK59" s="1717"/>
      <c r="AL59" s="1717"/>
    </row>
    <row r="60" spans="1:38" s="2" customFormat="1">
      <c r="A60" s="327"/>
      <c r="B60" s="325"/>
      <c r="C60" s="326"/>
      <c r="D60" s="326"/>
      <c r="E60" s="327"/>
      <c r="F60" s="331"/>
      <c r="G60" s="1717"/>
      <c r="H60" s="1717"/>
      <c r="I60" s="1717"/>
      <c r="J60" s="1717"/>
      <c r="K60" s="1717"/>
      <c r="L60" s="1717"/>
      <c r="M60" s="1717"/>
      <c r="N60" s="1717"/>
      <c r="O60" s="1717"/>
      <c r="P60" s="1717"/>
      <c r="Q60" s="1717"/>
      <c r="R60" s="1717"/>
      <c r="S60" s="1717"/>
      <c r="T60" s="1717"/>
      <c r="U60" s="1717"/>
      <c r="V60" s="1717"/>
      <c r="W60" s="1717"/>
      <c r="X60" s="1717"/>
      <c r="Y60" s="1717"/>
      <c r="Z60" s="1717"/>
      <c r="AA60" s="1717"/>
      <c r="AB60" s="1717"/>
      <c r="AC60" s="1717"/>
      <c r="AD60" s="1717"/>
      <c r="AE60" s="1717"/>
      <c r="AF60" s="1717"/>
      <c r="AG60" s="1717"/>
      <c r="AH60" s="1717"/>
      <c r="AI60" s="1717"/>
      <c r="AJ60" s="1717"/>
      <c r="AK60" s="1717"/>
      <c r="AL60" s="1717"/>
    </row>
    <row r="61" spans="1:38">
      <c r="A61" s="329"/>
      <c r="B61" s="328"/>
      <c r="C61" s="330"/>
      <c r="D61" s="330"/>
      <c r="E61" s="329"/>
      <c r="F61" s="332"/>
      <c r="G61" s="770" t="s">
        <v>1460</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677</v>
      </c>
      <c r="F65" s="149" t="s">
        <v>531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712</v>
      </c>
      <c r="G66" s="1711" t="s">
        <v>1326</v>
      </c>
      <c r="H66" s="1711"/>
      <c r="I66" s="1711"/>
      <c r="J66" s="1711"/>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row>
    <row r="67" spans="1:37">
      <c r="A67" s="149"/>
      <c r="C67" s="5"/>
      <c r="D67" s="149"/>
      <c r="E67" s="149"/>
      <c r="F67" s="9"/>
      <c r="G67" s="1711"/>
      <c r="H67" s="1711"/>
      <c r="I67" s="1711"/>
      <c r="J67" s="1711"/>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row>
    <row r="68" spans="1:37">
      <c r="A68" s="149"/>
      <c r="C68" s="5"/>
      <c r="D68" s="149"/>
      <c r="E68" s="149"/>
      <c r="F68" s="9"/>
      <c r="G68" s="1711"/>
      <c r="H68" s="1711"/>
      <c r="I68" s="1711"/>
      <c r="J68" s="1711"/>
      <c r="K68" s="1711"/>
      <c r="L68" s="1711"/>
      <c r="M68" s="1711"/>
      <c r="N68" s="1711"/>
      <c r="O68" s="1711"/>
      <c r="P68" s="1711"/>
      <c r="Q68" s="1711"/>
      <c r="R68" s="1711"/>
      <c r="S68" s="1711"/>
      <c r="T68" s="1711"/>
      <c r="U68" s="1711"/>
      <c r="V68" s="1711"/>
      <c r="W68" s="1711"/>
      <c r="X68" s="1711"/>
      <c r="Y68" s="1711"/>
      <c r="Z68" s="1711"/>
      <c r="AA68" s="1711"/>
      <c r="AB68" s="1711"/>
      <c r="AC68" s="1711"/>
      <c r="AD68" s="1711"/>
      <c r="AE68" s="1711"/>
      <c r="AF68" s="1711"/>
      <c r="AG68" s="1711"/>
      <c r="AH68" s="1711"/>
      <c r="AI68" s="1711"/>
      <c r="AJ68" s="1711"/>
      <c r="AK68" s="1711"/>
    </row>
    <row r="69" spans="1:37" ht="13.2" customHeight="1">
      <c r="A69" s="149"/>
      <c r="C69" s="5"/>
      <c r="D69" s="149"/>
      <c r="E69" s="149"/>
      <c r="F69" s="9" t="s">
        <v>532</v>
      </c>
      <c r="G69" s="1711" t="s">
        <v>1327</v>
      </c>
      <c r="H69" s="1711"/>
      <c r="I69" s="1711"/>
      <c r="J69" s="1711"/>
      <c r="K69" s="1711"/>
      <c r="L69" s="1711"/>
      <c r="M69" s="1711"/>
      <c r="N69" s="1711"/>
      <c r="O69" s="1711"/>
      <c r="P69" s="1711"/>
      <c r="Q69" s="1711"/>
      <c r="R69" s="1711"/>
      <c r="S69" s="1711"/>
      <c r="T69" s="1711"/>
      <c r="U69" s="1711"/>
      <c r="V69" s="1711"/>
      <c r="W69" s="1711"/>
      <c r="X69" s="1711"/>
      <c r="Y69" s="1711"/>
      <c r="Z69" s="1711"/>
      <c r="AA69" s="1711"/>
      <c r="AB69" s="1711"/>
      <c r="AC69" s="1711"/>
      <c r="AD69" s="1711"/>
      <c r="AE69" s="1711"/>
      <c r="AF69" s="1711"/>
      <c r="AG69" s="1711"/>
      <c r="AH69" s="1711"/>
      <c r="AI69" s="1711"/>
      <c r="AJ69" s="1711"/>
      <c r="AK69" s="1711"/>
    </row>
    <row r="70" spans="1:37">
      <c r="A70" s="149"/>
      <c r="C70" s="5"/>
      <c r="D70" s="149"/>
      <c r="E70" s="149"/>
      <c r="F70" s="376"/>
      <c r="G70" s="1711"/>
      <c r="H70" s="1711"/>
      <c r="I70" s="1711"/>
      <c r="J70" s="1711"/>
      <c r="K70" s="1711"/>
      <c r="L70" s="1711"/>
      <c r="M70" s="1711"/>
      <c r="N70" s="1711"/>
      <c r="O70" s="1711"/>
      <c r="P70" s="1711"/>
      <c r="Q70" s="1711"/>
      <c r="R70" s="1711"/>
      <c r="S70" s="1711"/>
      <c r="T70" s="1711"/>
      <c r="U70" s="1711"/>
      <c r="V70" s="1711"/>
      <c r="W70" s="1711"/>
      <c r="X70" s="1711"/>
      <c r="Y70" s="1711"/>
      <c r="Z70" s="1711"/>
      <c r="AA70" s="1711"/>
      <c r="AB70" s="1711"/>
      <c r="AC70" s="1711"/>
      <c r="AD70" s="1711"/>
      <c r="AE70" s="1711"/>
      <c r="AF70" s="1711"/>
      <c r="AG70" s="1711"/>
      <c r="AH70" s="1711"/>
      <c r="AI70" s="1711"/>
      <c r="AJ70" s="1711"/>
      <c r="AK70" s="1711"/>
    </row>
    <row r="71" spans="1:37">
      <c r="A71" s="149"/>
      <c r="C71" s="5"/>
      <c r="D71" s="149"/>
      <c r="E71" s="149" t="s">
        <v>353</v>
      </c>
      <c r="F71" s="149" t="s">
        <v>436</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712</v>
      </c>
      <c r="G72" s="1711" t="s">
        <v>1328</v>
      </c>
      <c r="H72" s="1711"/>
      <c r="I72" s="1711"/>
      <c r="J72" s="1711"/>
      <c r="K72" s="1711"/>
      <c r="L72" s="1711"/>
      <c r="M72" s="1711"/>
      <c r="N72" s="1711"/>
      <c r="O72" s="1711"/>
      <c r="P72" s="1711"/>
      <c r="Q72" s="1711"/>
      <c r="R72" s="1711"/>
      <c r="S72" s="1711"/>
      <c r="T72" s="1711"/>
      <c r="U72" s="1711"/>
      <c r="V72" s="1711"/>
      <c r="W72" s="1711"/>
      <c r="X72" s="1711"/>
      <c r="Y72" s="1711"/>
      <c r="Z72" s="1711"/>
      <c r="AA72" s="1711"/>
      <c r="AB72" s="1711"/>
      <c r="AC72" s="1711"/>
      <c r="AD72" s="1711"/>
      <c r="AE72" s="1711"/>
      <c r="AF72" s="1711"/>
      <c r="AG72" s="1711"/>
      <c r="AH72" s="1711"/>
      <c r="AI72" s="1711"/>
      <c r="AJ72" s="1711"/>
      <c r="AK72" s="1711"/>
    </row>
    <row r="73" spans="1:37">
      <c r="A73" s="149"/>
      <c r="C73" s="5"/>
      <c r="D73" s="149"/>
      <c r="E73" s="149"/>
      <c r="F73" s="249"/>
      <c r="G73" s="1711"/>
      <c r="H73" s="1711"/>
      <c r="I73" s="1711"/>
      <c r="J73" s="1711"/>
      <c r="K73" s="1711"/>
      <c r="L73" s="1711"/>
      <c r="M73" s="1711"/>
      <c r="N73" s="1711"/>
      <c r="O73" s="1711"/>
      <c r="P73" s="1711"/>
      <c r="Q73" s="1711"/>
      <c r="R73" s="1711"/>
      <c r="S73" s="1711"/>
      <c r="T73" s="1711"/>
      <c r="U73" s="1711"/>
      <c r="V73" s="1711"/>
      <c r="W73" s="1711"/>
      <c r="X73" s="1711"/>
      <c r="Y73" s="1711"/>
      <c r="Z73" s="1711"/>
      <c r="AA73" s="1711"/>
      <c r="AB73" s="1711"/>
      <c r="AC73" s="1711"/>
      <c r="AD73" s="1711"/>
      <c r="AE73" s="1711"/>
      <c r="AF73" s="1711"/>
      <c r="AG73" s="1711"/>
      <c r="AH73" s="1711"/>
      <c r="AI73" s="1711"/>
      <c r="AJ73" s="1711"/>
      <c r="AK73" s="1711"/>
    </row>
    <row r="74" spans="1:37">
      <c r="A74" s="149"/>
      <c r="C74" s="5"/>
      <c r="D74" s="149"/>
      <c r="E74" s="149"/>
      <c r="F74" s="249" t="s">
        <v>532</v>
      </c>
      <c r="G74" s="1711" t="s">
        <v>1329</v>
      </c>
      <c r="H74" s="1711"/>
      <c r="I74" s="1711"/>
      <c r="J74" s="1711"/>
      <c r="K74" s="1711"/>
      <c r="L74" s="1711"/>
      <c r="M74" s="1711"/>
      <c r="N74" s="1711"/>
      <c r="O74" s="1711"/>
      <c r="P74" s="1711"/>
      <c r="Q74" s="1711"/>
      <c r="R74" s="1711"/>
      <c r="S74" s="1711"/>
      <c r="T74" s="1711"/>
      <c r="U74" s="1711"/>
      <c r="V74" s="1711"/>
      <c r="W74" s="1711"/>
      <c r="X74" s="1711"/>
      <c r="Y74" s="1711"/>
      <c r="Z74" s="1711"/>
      <c r="AA74" s="1711"/>
      <c r="AB74" s="1711"/>
      <c r="AC74" s="1711"/>
      <c r="AD74" s="1711"/>
      <c r="AE74" s="1711"/>
      <c r="AF74" s="1711"/>
      <c r="AG74" s="1711"/>
      <c r="AH74" s="1711"/>
      <c r="AI74" s="1711"/>
      <c r="AJ74" s="1711"/>
      <c r="AK74" s="1711"/>
    </row>
    <row r="75" spans="1:37">
      <c r="A75" s="149"/>
      <c r="C75" s="5"/>
      <c r="D75" s="149"/>
      <c r="E75" s="149"/>
      <c r="F75" s="249"/>
      <c r="G75" s="1711"/>
      <c r="H75" s="1711"/>
      <c r="I75" s="1711"/>
      <c r="J75" s="1711"/>
      <c r="K75" s="1711"/>
      <c r="L75" s="1711"/>
      <c r="M75" s="1711"/>
      <c r="N75" s="1711"/>
      <c r="O75" s="1711"/>
      <c r="P75" s="1711"/>
      <c r="Q75" s="1711"/>
      <c r="R75" s="1711"/>
      <c r="S75" s="1711"/>
      <c r="T75" s="1711"/>
      <c r="U75" s="1711"/>
      <c r="V75" s="1711"/>
      <c r="W75" s="1711"/>
      <c r="X75" s="1711"/>
      <c r="Y75" s="1711"/>
      <c r="Z75" s="1711"/>
      <c r="AA75" s="1711"/>
      <c r="AB75" s="1711"/>
      <c r="AC75" s="1711"/>
      <c r="AD75" s="1711"/>
      <c r="AE75" s="1711"/>
      <c r="AF75" s="1711"/>
      <c r="AG75" s="1711"/>
      <c r="AH75" s="1711"/>
      <c r="AI75" s="1711"/>
      <c r="AJ75" s="1711"/>
      <c r="AK75" s="1711"/>
    </row>
    <row r="76" spans="1:37">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908</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1088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530</v>
      </c>
      <c r="H79" s="149" t="s">
        <v>909</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c r="A81" s="149"/>
      <c r="C81" s="5"/>
      <c r="D81" s="149"/>
      <c r="E81" s="149" t="s">
        <v>354</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11" t="s">
        <v>1330</v>
      </c>
      <c r="H82" s="1711"/>
      <c r="I82" s="1711"/>
      <c r="J82" s="1711"/>
      <c r="K82" s="1711"/>
      <c r="L82" s="1711"/>
      <c r="M82" s="1711"/>
      <c r="N82" s="1711"/>
      <c r="O82" s="1711"/>
      <c r="P82" s="1711"/>
      <c r="Q82" s="1711"/>
      <c r="R82" s="1711"/>
      <c r="S82" s="1711"/>
      <c r="T82" s="1711"/>
      <c r="U82" s="1711"/>
      <c r="V82" s="1711"/>
      <c r="W82" s="1711"/>
      <c r="X82" s="1711"/>
      <c r="Y82" s="1711"/>
      <c r="Z82" s="1711"/>
      <c r="AA82" s="1711"/>
      <c r="AB82" s="1711"/>
      <c r="AC82" s="1711"/>
      <c r="AD82" s="1711"/>
      <c r="AE82" s="1711"/>
      <c r="AF82" s="1711"/>
      <c r="AG82" s="1711"/>
      <c r="AH82" s="1711"/>
      <c r="AI82" s="1711"/>
      <c r="AJ82" s="1711"/>
      <c r="AK82" s="1711"/>
    </row>
    <row r="83" spans="1:37">
      <c r="A83" s="149"/>
      <c r="C83" s="5"/>
      <c r="D83" s="149"/>
      <c r="E83" s="149"/>
      <c r="F83" s="149"/>
      <c r="G83" s="1711"/>
      <c r="H83" s="1711"/>
      <c r="I83" s="1711"/>
      <c r="J83" s="1711"/>
      <c r="K83" s="1711"/>
      <c r="L83" s="1711"/>
      <c r="M83" s="1711"/>
      <c r="N83" s="1711"/>
      <c r="O83" s="1711"/>
      <c r="P83" s="1711"/>
      <c r="Q83" s="1711"/>
      <c r="R83" s="1711"/>
      <c r="S83" s="1711"/>
      <c r="T83" s="1711"/>
      <c r="U83" s="1711"/>
      <c r="V83" s="1711"/>
      <c r="W83" s="1711"/>
      <c r="X83" s="1711"/>
      <c r="Y83" s="1711"/>
      <c r="Z83" s="1711"/>
      <c r="AA83" s="1711"/>
      <c r="AB83" s="1711"/>
      <c r="AC83" s="1711"/>
      <c r="AD83" s="1711"/>
      <c r="AE83" s="1711"/>
      <c r="AF83" s="1711"/>
      <c r="AG83" s="1711"/>
      <c r="AH83" s="1711"/>
      <c r="AI83" s="1711"/>
      <c r="AJ83" s="1711"/>
      <c r="AK83" s="1711"/>
    </row>
    <row r="84" spans="1:37" s="709" customFormat="1">
      <c r="A84" s="149"/>
      <c r="C84" s="5"/>
      <c r="D84" s="149"/>
      <c r="E84" s="149"/>
      <c r="F84" s="149"/>
      <c r="G84" s="1711"/>
      <c r="H84" s="1711"/>
      <c r="I84" s="1711"/>
      <c r="J84" s="1711"/>
      <c r="K84" s="1711"/>
      <c r="L84" s="1711"/>
      <c r="M84" s="1711"/>
      <c r="N84" s="1711"/>
      <c r="O84" s="1711"/>
      <c r="P84" s="1711"/>
      <c r="Q84" s="1711"/>
      <c r="R84" s="1711"/>
      <c r="S84" s="1711"/>
      <c r="T84" s="1711"/>
      <c r="U84" s="1711"/>
      <c r="V84" s="1711"/>
      <c r="W84" s="1711"/>
      <c r="X84" s="1711"/>
      <c r="Y84" s="1711"/>
      <c r="Z84" s="1711"/>
      <c r="AA84" s="1711"/>
      <c r="AB84" s="1711"/>
      <c r="AC84" s="1711"/>
      <c r="AD84" s="1711"/>
      <c r="AE84" s="1711"/>
      <c r="AF84" s="1711"/>
      <c r="AG84" s="1711"/>
      <c r="AH84" s="1711"/>
      <c r="AI84" s="1711"/>
      <c r="AJ84" s="1711"/>
      <c r="AK84" s="1711"/>
    </row>
    <row r="85" spans="1:37">
      <c r="A85" s="149"/>
      <c r="C85" s="5"/>
      <c r="D85" s="149"/>
      <c r="E85" s="149" t="s">
        <v>460</v>
      </c>
      <c r="F85" s="149" t="s">
        <v>640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11" t="s">
        <v>1331</v>
      </c>
      <c r="H86" s="1711"/>
      <c r="I86" s="1711"/>
      <c r="J86" s="1711"/>
      <c r="K86" s="1711"/>
      <c r="L86" s="1711"/>
      <c r="M86" s="1711"/>
      <c r="N86" s="1711"/>
      <c r="O86" s="1711"/>
      <c r="P86" s="1711"/>
      <c r="Q86" s="1711"/>
      <c r="R86" s="1711"/>
      <c r="S86" s="1711"/>
      <c r="T86" s="1711"/>
      <c r="U86" s="1711"/>
      <c r="V86" s="1711"/>
      <c r="W86" s="1711"/>
      <c r="X86" s="1711"/>
      <c r="Y86" s="1711"/>
      <c r="Z86" s="1711"/>
      <c r="AA86" s="1711"/>
      <c r="AB86" s="1711"/>
      <c r="AC86" s="1711"/>
      <c r="AD86" s="1711"/>
      <c r="AE86" s="1711"/>
      <c r="AF86" s="1711"/>
      <c r="AG86" s="1711"/>
      <c r="AH86" s="1711"/>
      <c r="AI86" s="1711"/>
      <c r="AJ86" s="1711"/>
      <c r="AK86" s="1711"/>
    </row>
    <row r="87" spans="1:37">
      <c r="A87" s="149"/>
      <c r="C87" s="5"/>
      <c r="D87" s="149"/>
      <c r="E87" s="149"/>
      <c r="F87" s="149"/>
      <c r="G87" s="1711"/>
      <c r="H87" s="1711"/>
      <c r="I87" s="1711"/>
      <c r="J87" s="1711"/>
      <c r="K87" s="1711"/>
      <c r="L87" s="1711"/>
      <c r="M87" s="1711"/>
      <c r="N87" s="1711"/>
      <c r="O87" s="1711"/>
      <c r="P87" s="1711"/>
      <c r="Q87" s="1711"/>
      <c r="R87" s="1711"/>
      <c r="S87" s="1711"/>
      <c r="T87" s="1711"/>
      <c r="U87" s="1711"/>
      <c r="V87" s="1711"/>
      <c r="W87" s="1711"/>
      <c r="X87" s="1711"/>
      <c r="Y87" s="1711"/>
      <c r="Z87" s="1711"/>
      <c r="AA87" s="1711"/>
      <c r="AB87" s="1711"/>
      <c r="AC87" s="1711"/>
      <c r="AD87" s="1711"/>
      <c r="AE87" s="1711"/>
      <c r="AF87" s="1711"/>
      <c r="AG87" s="1711"/>
      <c r="AH87" s="1711"/>
      <c r="AI87" s="1711"/>
      <c r="AJ87" s="1711"/>
      <c r="AK87" s="1711"/>
    </row>
    <row r="88" spans="1:37">
      <c r="A88" s="149"/>
      <c r="C88" s="5"/>
      <c r="D88" s="149"/>
      <c r="E88" s="149"/>
      <c r="G88" s="1711"/>
      <c r="H88" s="1711"/>
      <c r="I88" s="1711"/>
      <c r="J88" s="1711"/>
      <c r="K88" s="1711"/>
      <c r="L88" s="1711"/>
      <c r="M88" s="1711"/>
      <c r="N88" s="1711"/>
      <c r="O88" s="1711"/>
      <c r="P88" s="1711"/>
      <c r="Q88" s="1711"/>
      <c r="R88" s="1711"/>
      <c r="S88" s="1711"/>
      <c r="T88" s="1711"/>
      <c r="U88" s="1711"/>
      <c r="V88" s="1711"/>
      <c r="W88" s="1711"/>
      <c r="X88" s="1711"/>
      <c r="Y88" s="1711"/>
      <c r="Z88" s="1711"/>
      <c r="AA88" s="1711"/>
      <c r="AB88" s="1711"/>
      <c r="AC88" s="1711"/>
      <c r="AD88" s="1711"/>
      <c r="AE88" s="1711"/>
      <c r="AF88" s="1711"/>
      <c r="AG88" s="1711"/>
      <c r="AH88" s="1711"/>
      <c r="AI88" s="1711"/>
      <c r="AJ88" s="1711"/>
      <c r="AK88" s="1711"/>
    </row>
    <row r="89" spans="1:37">
      <c r="A89" s="149"/>
      <c r="C89" s="5"/>
      <c r="D89" s="149"/>
      <c r="E89" s="149" t="s">
        <v>267</v>
      </c>
      <c r="F89" t="s">
        <v>910</v>
      </c>
      <c r="G89" s="149"/>
      <c r="L89" s="149"/>
      <c r="M89" s="149"/>
      <c r="P89" s="149"/>
      <c r="Q89" s="149"/>
      <c r="R89" s="149"/>
      <c r="S89" s="149"/>
      <c r="T89" s="149"/>
      <c r="U89" s="149"/>
      <c r="V89" s="149"/>
      <c r="W89" s="149"/>
      <c r="X89" s="149"/>
      <c r="Y89" s="149"/>
      <c r="Z89" s="149"/>
      <c r="AA89" s="149"/>
      <c r="AB89" s="149"/>
    </row>
    <row r="90" spans="1:37">
      <c r="A90" s="149"/>
      <c r="C90" s="5"/>
      <c r="D90" s="149"/>
      <c r="E90" s="149"/>
      <c r="G90" s="1714" t="s">
        <v>1332</v>
      </c>
      <c r="H90" s="1714"/>
      <c r="I90" s="1714"/>
      <c r="J90" s="1714"/>
      <c r="K90" s="1714"/>
      <c r="L90" s="1714"/>
      <c r="M90" s="1714"/>
      <c r="N90" s="1714"/>
      <c r="O90" s="1714"/>
      <c r="P90" s="1714"/>
      <c r="Q90" s="1714"/>
      <c r="R90" s="1714"/>
      <c r="S90" s="1714"/>
      <c r="T90" s="1714"/>
      <c r="U90" s="1714"/>
      <c r="V90" s="1714"/>
      <c r="W90" s="1714"/>
      <c r="X90" s="1714"/>
      <c r="Y90" s="1714"/>
      <c r="Z90" s="1714"/>
      <c r="AA90" s="1714"/>
      <c r="AB90" s="1714"/>
      <c r="AC90" s="1714"/>
      <c r="AD90" s="1714"/>
      <c r="AE90" s="1714"/>
      <c r="AF90" s="1714"/>
      <c r="AG90" s="1714"/>
      <c r="AH90" s="1714"/>
      <c r="AI90" s="1714"/>
      <c r="AJ90" s="1714"/>
      <c r="AK90" s="1714"/>
    </row>
    <row r="91" spans="1:37" s="709" customFormat="1">
      <c r="A91" s="149"/>
      <c r="C91" s="5"/>
      <c r="D91" s="149"/>
      <c r="E91" s="149"/>
      <c r="G91" s="1714"/>
      <c r="H91" s="1714"/>
      <c r="I91" s="1714"/>
      <c r="J91" s="1714"/>
      <c r="K91" s="1714"/>
      <c r="L91" s="1714"/>
      <c r="M91" s="1714"/>
      <c r="N91" s="1714"/>
      <c r="O91" s="1714"/>
      <c r="P91" s="1714"/>
      <c r="Q91" s="1714"/>
      <c r="R91" s="1714"/>
      <c r="S91" s="1714"/>
      <c r="T91" s="1714"/>
      <c r="U91" s="1714"/>
      <c r="V91" s="1714"/>
      <c r="W91" s="1714"/>
      <c r="X91" s="1714"/>
      <c r="Y91" s="1714"/>
      <c r="Z91" s="1714"/>
      <c r="AA91" s="1714"/>
      <c r="AB91" s="1714"/>
      <c r="AC91" s="1714"/>
      <c r="AD91" s="1714"/>
      <c r="AE91" s="1714"/>
      <c r="AF91" s="1714"/>
      <c r="AG91" s="1714"/>
      <c r="AH91" s="1714"/>
      <c r="AI91" s="1714"/>
      <c r="AJ91" s="1714"/>
      <c r="AK91" s="1714"/>
    </row>
    <row r="92" spans="1:37">
      <c r="A92" s="149"/>
      <c r="C92" s="5"/>
      <c r="D92" s="149"/>
      <c r="E92" s="149"/>
      <c r="G92" s="1714"/>
      <c r="H92" s="1714"/>
      <c r="I92" s="1714"/>
      <c r="J92" s="1714"/>
      <c r="K92" s="1714"/>
      <c r="L92" s="1714"/>
      <c r="M92" s="1714"/>
      <c r="N92" s="1714"/>
      <c r="O92" s="1714"/>
      <c r="P92" s="1714"/>
      <c r="Q92" s="1714"/>
      <c r="R92" s="1714"/>
      <c r="S92" s="1714"/>
      <c r="T92" s="1714"/>
      <c r="U92" s="1714"/>
      <c r="V92" s="1714"/>
      <c r="W92" s="1714"/>
      <c r="X92" s="1714"/>
      <c r="Y92" s="1714"/>
      <c r="Z92" s="1714"/>
      <c r="AA92" s="1714"/>
      <c r="AB92" s="1714"/>
      <c r="AC92" s="1714"/>
      <c r="AD92" s="1714"/>
      <c r="AE92" s="1714"/>
      <c r="AF92" s="1714"/>
      <c r="AG92" s="1714"/>
      <c r="AH92" s="1714"/>
      <c r="AI92" s="1714"/>
      <c r="AJ92" s="1714"/>
      <c r="AK92" s="1714"/>
    </row>
    <row r="93" spans="1:37">
      <c r="A93" s="149"/>
      <c r="C93" s="5"/>
      <c r="D93" s="149"/>
      <c r="E93" s="149" t="s">
        <v>268</v>
      </c>
      <c r="F93" s="149" t="s">
        <v>539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11" t="s">
        <v>1333</v>
      </c>
      <c r="H94" s="1711"/>
      <c r="I94" s="1711"/>
      <c r="J94" s="1711"/>
      <c r="K94" s="1711"/>
      <c r="L94" s="1711"/>
      <c r="M94" s="1711"/>
      <c r="N94" s="1711"/>
      <c r="O94" s="1711"/>
      <c r="P94" s="1711"/>
      <c r="Q94" s="1711"/>
      <c r="R94" s="1711"/>
      <c r="S94" s="1711"/>
      <c r="T94" s="1711"/>
      <c r="U94" s="1711"/>
      <c r="V94" s="1711"/>
      <c r="W94" s="1711"/>
      <c r="X94" s="1711"/>
      <c r="Y94" s="1711"/>
      <c r="Z94" s="1711"/>
      <c r="AA94" s="1711"/>
      <c r="AB94" s="1711"/>
      <c r="AC94" s="1711"/>
      <c r="AD94" s="1711"/>
      <c r="AE94" s="1711"/>
      <c r="AF94" s="1711"/>
      <c r="AG94" s="1711"/>
      <c r="AH94" s="1711"/>
      <c r="AI94" s="1711"/>
      <c r="AJ94" s="1711"/>
      <c r="AK94" s="1711"/>
    </row>
    <row r="95" spans="1:37">
      <c r="A95" s="149"/>
      <c r="C95" s="5"/>
      <c r="D95" s="149"/>
      <c r="E95" s="149"/>
      <c r="G95" s="1711"/>
      <c r="H95" s="1711"/>
      <c r="I95" s="1711"/>
      <c r="J95" s="1711"/>
      <c r="K95" s="1711"/>
      <c r="L95" s="1711"/>
      <c r="M95" s="1711"/>
      <c r="N95" s="1711"/>
      <c r="O95" s="1711"/>
      <c r="P95" s="1711"/>
      <c r="Q95" s="1711"/>
      <c r="R95" s="1711"/>
      <c r="S95" s="1711"/>
      <c r="T95" s="1711"/>
      <c r="U95" s="1711"/>
      <c r="V95" s="1711"/>
      <c r="W95" s="1711"/>
      <c r="X95" s="1711"/>
      <c r="Y95" s="1711"/>
      <c r="Z95" s="1711"/>
      <c r="AA95" s="1711"/>
      <c r="AB95" s="1711"/>
      <c r="AC95" s="1711"/>
      <c r="AD95" s="1711"/>
      <c r="AE95" s="1711"/>
      <c r="AF95" s="1711"/>
      <c r="AG95" s="1711"/>
      <c r="AH95" s="1711"/>
      <c r="AI95" s="1711"/>
      <c r="AJ95" s="1711"/>
      <c r="AK95" s="1711"/>
    </row>
    <row r="96" spans="1:37">
      <c r="A96" s="149"/>
      <c r="C96" s="5"/>
      <c r="D96" s="149"/>
      <c r="E96" s="149" t="s">
        <v>953</v>
      </c>
      <c r="F96" s="327" t="s">
        <v>954</v>
      </c>
      <c r="G96" s="327"/>
      <c r="L96" s="149"/>
      <c r="M96" s="149"/>
      <c r="P96" s="149"/>
      <c r="Q96" s="149"/>
      <c r="R96" s="149"/>
      <c r="S96" s="149"/>
      <c r="T96" s="149"/>
      <c r="U96" s="149"/>
      <c r="V96" s="149"/>
      <c r="W96" s="149"/>
      <c r="X96" s="149"/>
      <c r="Y96" s="149"/>
      <c r="Z96" s="149"/>
      <c r="AA96" s="149"/>
      <c r="AB96" s="149"/>
    </row>
    <row r="97" spans="1:38">
      <c r="A97" s="149"/>
      <c r="C97" s="5"/>
      <c r="D97" s="149"/>
      <c r="E97" s="149"/>
      <c r="G97" s="1711" t="s">
        <v>1334</v>
      </c>
      <c r="H97" s="1711"/>
      <c r="I97" s="1711"/>
      <c r="J97" s="1711"/>
      <c r="K97" s="1711"/>
      <c r="L97" s="1711"/>
      <c r="M97" s="1711"/>
      <c r="N97" s="1711"/>
      <c r="O97" s="1711"/>
      <c r="P97" s="1711"/>
      <c r="Q97" s="1711"/>
      <c r="R97" s="1711"/>
      <c r="S97" s="1711"/>
      <c r="T97" s="1711"/>
      <c r="U97" s="1711"/>
      <c r="V97" s="1711"/>
      <c r="W97" s="1711"/>
      <c r="X97" s="1711"/>
      <c r="Y97" s="1711"/>
      <c r="Z97" s="1711"/>
      <c r="AA97" s="1711"/>
      <c r="AB97" s="1711"/>
      <c r="AC97" s="1711"/>
      <c r="AD97" s="1711"/>
      <c r="AE97" s="1711"/>
      <c r="AF97" s="1711"/>
      <c r="AG97" s="1711"/>
      <c r="AH97" s="1711"/>
      <c r="AI97" s="1711"/>
      <c r="AJ97" s="1711"/>
      <c r="AK97" s="1711"/>
    </row>
    <row r="98" spans="1:38">
      <c r="A98" s="149"/>
      <c r="C98" s="183"/>
      <c r="D98" s="182"/>
      <c r="E98" s="182"/>
      <c r="F98" s="2"/>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11"/>
      <c r="AH98" s="1711"/>
      <c r="AI98" s="1711"/>
      <c r="AJ98" s="1711"/>
      <c r="AK98" s="1711"/>
      <c r="AL98" s="2"/>
    </row>
    <row r="99" spans="1:38">
      <c r="A99" s="149"/>
      <c r="C99" s="183"/>
      <c r="D99" s="182"/>
      <c r="E99" s="182"/>
      <c r="F99" s="2"/>
      <c r="G99" s="1711"/>
      <c r="H99" s="1711"/>
      <c r="I99" s="1711"/>
      <c r="J99" s="1711"/>
      <c r="K99" s="1711"/>
      <c r="L99" s="1711"/>
      <c r="M99" s="1711"/>
      <c r="N99" s="1711"/>
      <c r="O99" s="1711"/>
      <c r="P99" s="1711"/>
      <c r="Q99" s="1711"/>
      <c r="R99" s="1711"/>
      <c r="S99" s="1711"/>
      <c r="T99" s="1711"/>
      <c r="U99" s="1711"/>
      <c r="V99" s="1711"/>
      <c r="W99" s="1711"/>
      <c r="X99" s="1711"/>
      <c r="Y99" s="1711"/>
      <c r="Z99" s="1711"/>
      <c r="AA99" s="1711"/>
      <c r="AB99" s="1711"/>
      <c r="AC99" s="1711"/>
      <c r="AD99" s="1711"/>
      <c r="AE99" s="1711"/>
      <c r="AF99" s="1711"/>
      <c r="AG99" s="1711"/>
      <c r="AH99" s="1711"/>
      <c r="AI99" s="1711"/>
      <c r="AJ99" s="1711"/>
      <c r="AK99" s="1711"/>
      <c r="AL99" s="2"/>
    </row>
    <row r="100" spans="1:38">
      <c r="A100" s="149"/>
      <c r="C100" s="2"/>
      <c r="D100" s="486"/>
      <c r="E100" s="1715" t="s">
        <v>1335</v>
      </c>
      <c r="F100" s="1715"/>
      <c r="G100" s="1715"/>
      <c r="H100" s="1715"/>
      <c r="I100" s="1715"/>
      <c r="J100" s="1715"/>
      <c r="K100" s="1715"/>
      <c r="L100" s="1715"/>
      <c r="M100" s="1715"/>
      <c r="N100" s="1715"/>
      <c r="O100" s="1715"/>
      <c r="P100" s="1715"/>
      <c r="Q100" s="1715"/>
      <c r="R100" s="1715"/>
      <c r="S100" s="1715"/>
      <c r="T100" s="1715"/>
      <c r="U100" s="1715"/>
      <c r="V100" s="1715"/>
      <c r="W100" s="1715"/>
      <c r="X100" s="1715"/>
      <c r="Y100" s="1715"/>
      <c r="Z100" s="1715"/>
      <c r="AA100" s="1715"/>
      <c r="AB100" s="1715"/>
      <c r="AC100" s="1715"/>
      <c r="AD100" s="1715"/>
      <c r="AE100" s="1715"/>
      <c r="AF100" s="1715"/>
      <c r="AG100" s="1715"/>
      <c r="AH100" s="1715"/>
      <c r="AI100" s="1715"/>
      <c r="AJ100" s="1715"/>
      <c r="AK100" s="1715"/>
      <c r="AL100" s="2"/>
    </row>
    <row r="101" spans="1:38">
      <c r="A101" s="149"/>
      <c r="D101" s="153"/>
      <c r="E101" s="1715"/>
      <c r="F101" s="1715"/>
      <c r="G101" s="1715"/>
      <c r="H101" s="1715"/>
      <c r="I101" s="1715"/>
      <c r="J101" s="1715"/>
      <c r="K101" s="1715"/>
      <c r="L101" s="1715"/>
      <c r="M101" s="1715"/>
      <c r="N101" s="1715"/>
      <c r="O101" s="1715"/>
      <c r="P101" s="1715"/>
      <c r="Q101" s="1715"/>
      <c r="R101" s="1715"/>
      <c r="S101" s="1715"/>
      <c r="T101" s="1715"/>
      <c r="U101" s="1715"/>
      <c r="V101" s="1715"/>
      <c r="W101" s="1715"/>
      <c r="X101" s="1715"/>
      <c r="Y101" s="1715"/>
      <c r="Z101" s="1715"/>
      <c r="AA101" s="1715"/>
      <c r="AB101" s="1715"/>
      <c r="AC101" s="1715"/>
      <c r="AD101" s="1715"/>
      <c r="AE101" s="1715"/>
      <c r="AF101" s="1715"/>
      <c r="AG101" s="1715"/>
      <c r="AH101" s="1715"/>
      <c r="AI101" s="1715"/>
      <c r="AJ101" s="1715"/>
      <c r="AK101" s="171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345</v>
      </c>
      <c r="C103" s="17" t="s">
        <v>436</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445</v>
      </c>
      <c r="D105" s="9"/>
      <c r="E105" s="5"/>
      <c r="F105" s="5"/>
      <c r="G105" s="5" t="s">
        <v>1346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1348</v>
      </c>
      <c r="F106" s="5"/>
      <c r="G106" s="5"/>
      <c r="H106" s="5"/>
      <c r="I106" s="5"/>
      <c r="J106" s="5"/>
      <c r="K106" s="5"/>
      <c r="L106" s="5"/>
      <c r="M106" s="5"/>
    </row>
    <row r="107" spans="1:38">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682</v>
      </c>
      <c r="G114" s="5"/>
      <c r="H114" s="5"/>
      <c r="I114" s="5"/>
      <c r="J114" s="5"/>
      <c r="K114" s="5"/>
      <c r="L114" s="5"/>
      <c r="M114" s="5"/>
      <c r="N114" s="5"/>
      <c r="O114" s="5"/>
      <c r="P114" s="5"/>
    </row>
    <row r="115" spans="1:38">
      <c r="E115" s="149"/>
      <c r="F115" s="149" t="s">
        <v>976</v>
      </c>
    </row>
    <row r="116" spans="1:38" s="9" customFormat="1" ht="12.75" customHeight="1">
      <c r="A116"/>
      <c r="B116"/>
      <c r="C116"/>
      <c r="D116"/>
      <c r="E116"/>
      <c r="F116" s="149" t="s">
        <v>1006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605</v>
      </c>
      <c r="F118" s="152" t="s">
        <v>977</v>
      </c>
    </row>
    <row r="119" spans="1:38">
      <c r="F119" s="149" t="s">
        <v>1089</v>
      </c>
      <c r="G119" s="149"/>
    </row>
    <row r="120" spans="1:38">
      <c r="F120" s="153" t="s">
        <v>1347</v>
      </c>
      <c r="G120" s="153"/>
    </row>
    <row r="121" spans="1:38">
      <c r="G121" s="153"/>
    </row>
    <row r="122" spans="1:38">
      <c r="E122" s="149" t="s">
        <v>803</v>
      </c>
      <c r="F122" s="152" t="s">
        <v>391</v>
      </c>
    </row>
    <row r="123" spans="1:38">
      <c r="E123" s="149"/>
      <c r="F123" s="149" t="s">
        <v>1080</v>
      </c>
    </row>
    <row r="124" spans="1:38">
      <c r="B124" s="5"/>
      <c r="C124" s="5"/>
      <c r="F124" s="5"/>
    </row>
    <row r="125" spans="1:38">
      <c r="B125" s="5"/>
      <c r="C125" s="5" t="s">
        <v>446</v>
      </c>
      <c r="G125" s="5" t="s">
        <v>392</v>
      </c>
    </row>
    <row r="126" spans="1:38">
      <c r="B126" s="5"/>
      <c r="C126" s="5"/>
      <c r="D126" s="5" t="s">
        <v>212</v>
      </c>
      <c r="E126" s="154" t="s">
        <v>325</v>
      </c>
      <c r="F126" s="5"/>
      <c r="G126" s="5"/>
      <c r="H126" s="5"/>
      <c r="I126" s="5"/>
      <c r="J126" s="5"/>
    </row>
    <row r="127" spans="1:38">
      <c r="B127" s="5"/>
      <c r="C127" s="5"/>
      <c r="E127" s="149" t="s">
        <v>978</v>
      </c>
      <c r="F127" s="149"/>
    </row>
    <row r="128" spans="1:38"/>
    <row r="129" spans="4:37">
      <c r="D129" s="5" t="s">
        <v>346</v>
      </c>
      <c r="E129" s="5" t="s">
        <v>601</v>
      </c>
    </row>
    <row r="130" spans="4:37">
      <c r="E130" s="149" t="s">
        <v>978</v>
      </c>
      <c r="F130" s="149"/>
    </row>
    <row r="131" spans="4:37"/>
    <row r="132" spans="4:37">
      <c r="D132" s="5" t="s">
        <v>598</v>
      </c>
      <c r="E132" s="5" t="s">
        <v>752</v>
      </c>
      <c r="G132" s="5"/>
      <c r="H132" s="5"/>
      <c r="I132" s="5"/>
      <c r="J132" s="5"/>
      <c r="K132" s="5"/>
      <c r="L132" s="5"/>
      <c r="M132" s="5"/>
      <c r="N132" s="5"/>
    </row>
    <row r="133" spans="4:37" s="709" customFormat="1">
      <c r="D133" s="5"/>
      <c r="E133" s="876" t="s">
        <v>1432</v>
      </c>
      <c r="G133" s="5"/>
      <c r="H133" s="5"/>
      <c r="I133" s="5"/>
      <c r="J133" s="5"/>
      <c r="K133" s="5"/>
      <c r="L133" s="5"/>
      <c r="M133" s="5"/>
      <c r="N133" s="5"/>
    </row>
    <row r="134" spans="4:37" ht="12.75" customHeight="1">
      <c r="E134" s="876" t="s">
        <v>1430</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1431</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537</v>
      </c>
      <c r="E137" s="5" t="s">
        <v>540</v>
      </c>
      <c r="F137" s="5"/>
    </row>
    <row r="138" spans="4:37">
      <c r="E138" s="875" t="s">
        <v>1374</v>
      </c>
      <c r="F138" s="149"/>
    </row>
    <row r="139" spans="4:37">
      <c r="F139" s="149"/>
    </row>
    <row r="140" spans="4:37">
      <c r="D140" s="5" t="s">
        <v>308</v>
      </c>
      <c r="E140" s="5" t="s">
        <v>2623</v>
      </c>
      <c r="F140" s="5"/>
      <c r="G140" s="5"/>
      <c r="H140" s="5"/>
    </row>
    <row r="141" spans="4:37">
      <c r="E141" t="s">
        <v>117</v>
      </c>
      <c r="F141" t="s">
        <v>55</v>
      </c>
    </row>
    <row r="142" spans="4:37">
      <c r="E142" t="s">
        <v>118</v>
      </c>
      <c r="F142" t="s">
        <v>489</v>
      </c>
    </row>
    <row r="143" spans="4:37"/>
    <row r="144" spans="4:37">
      <c r="D144" s="5" t="s">
        <v>444</v>
      </c>
      <c r="E144" s="5" t="s">
        <v>2624</v>
      </c>
    </row>
    <row r="145" spans="3:7">
      <c r="E145" s="327" t="s">
        <v>2625</v>
      </c>
      <c r="F145" s="327"/>
    </row>
    <row r="146" spans="3:7"/>
    <row r="147" spans="3:7">
      <c r="C147" s="5" t="s">
        <v>6</v>
      </c>
      <c r="G147" s="5" t="s">
        <v>393</v>
      </c>
    </row>
    <row r="148" spans="3:7">
      <c r="D148" s="183" t="s">
        <v>212</v>
      </c>
      <c r="E148" s="183" t="s">
        <v>140</v>
      </c>
    </row>
    <row r="149" spans="3:7">
      <c r="D149" s="2"/>
      <c r="E149" t="s">
        <v>836</v>
      </c>
    </row>
    <row r="150" spans="3:7">
      <c r="D150" s="2"/>
      <c r="E150" s="2"/>
    </row>
    <row r="151" spans="3:7">
      <c r="D151" s="183" t="s">
        <v>346</v>
      </c>
      <c r="E151" s="183" t="s">
        <v>547</v>
      </c>
      <c r="F151" s="5"/>
    </row>
    <row r="152" spans="3:7">
      <c r="D152" s="2"/>
      <c r="E152" s="149" t="s">
        <v>980</v>
      </c>
      <c r="F152" s="149"/>
    </row>
    <row r="153" spans="3:7">
      <c r="D153" s="2"/>
      <c r="E153" s="2"/>
    </row>
    <row r="154" spans="3:7">
      <c r="D154" s="183" t="s">
        <v>598</v>
      </c>
      <c r="E154" s="183" t="s">
        <v>576</v>
      </c>
    </row>
    <row r="155" spans="3:7">
      <c r="D155" s="2"/>
      <c r="E155" s="149" t="s">
        <v>981</v>
      </c>
    </row>
    <row r="156" spans="3:7">
      <c r="D156" s="2"/>
      <c r="E156" s="149" t="s">
        <v>979</v>
      </c>
      <c r="G156" s="149"/>
    </row>
    <row r="157" spans="3:7">
      <c r="D157" s="2"/>
      <c r="E157" s="2"/>
    </row>
    <row r="158" spans="3:7">
      <c r="D158" s="183" t="s">
        <v>537</v>
      </c>
      <c r="E158" s="50" t="s">
        <v>556</v>
      </c>
    </row>
    <row r="159" spans="3:7">
      <c r="D159" s="2"/>
      <c r="E159" s="2" t="s">
        <v>117</v>
      </c>
      <c r="F159" s="149" t="s">
        <v>982</v>
      </c>
    </row>
    <row r="160" spans="3:7">
      <c r="D160" s="2"/>
      <c r="E160" s="182" t="s">
        <v>118</v>
      </c>
      <c r="F160" s="149" t="s">
        <v>983</v>
      </c>
    </row>
    <row r="161" spans="3:20">
      <c r="D161" s="2"/>
      <c r="E161" s="182" t="s">
        <v>124</v>
      </c>
      <c r="F161" t="s">
        <v>753</v>
      </c>
    </row>
    <row r="162" spans="3:20">
      <c r="D162" s="2"/>
      <c r="E162" s="2"/>
    </row>
    <row r="163" spans="3:20">
      <c r="D163" s="183" t="s">
        <v>308</v>
      </c>
      <c r="E163" s="183" t="s">
        <v>394</v>
      </c>
    </row>
    <row r="164" spans="3:20">
      <c r="D164" s="2"/>
      <c r="E164" s="149" t="s">
        <v>984</v>
      </c>
      <c r="F164" s="149"/>
    </row>
    <row r="165" spans="3:20">
      <c r="D165" s="2"/>
      <c r="E165" s="2"/>
    </row>
    <row r="166" spans="3:20">
      <c r="D166" s="183" t="s">
        <v>444</v>
      </c>
      <c r="E166" s="183" t="s">
        <v>176</v>
      </c>
    </row>
    <row r="167" spans="3:20">
      <c r="D167" s="2"/>
      <c r="E167" s="149" t="s">
        <v>986</v>
      </c>
    </row>
    <row r="168" spans="3:20">
      <c r="D168" s="2"/>
      <c r="E168" s="149" t="s">
        <v>985</v>
      </c>
    </row>
    <row r="169" spans="3:20">
      <c r="D169" s="2"/>
      <c r="E169" s="2"/>
    </row>
    <row r="170" spans="3:20">
      <c r="D170" s="183" t="s">
        <v>580</v>
      </c>
      <c r="E170" s="183" t="s">
        <v>646</v>
      </c>
    </row>
    <row r="171" spans="3:20">
      <c r="D171" s="2"/>
      <c r="E171" s="2" t="s">
        <v>117</v>
      </c>
      <c r="F171" t="s">
        <v>754</v>
      </c>
    </row>
    <row r="172" spans="3:20">
      <c r="E172" s="2" t="s">
        <v>118</v>
      </c>
      <c r="F172" t="s">
        <v>302</v>
      </c>
    </row>
    <row r="173" spans="3:20">
      <c r="F173" s="149"/>
    </row>
    <row r="174" spans="3:20">
      <c r="C174" s="5" t="s">
        <v>7</v>
      </c>
      <c r="E174" s="149"/>
      <c r="G174" s="5" t="s">
        <v>395</v>
      </c>
    </row>
    <row r="175" spans="3:20">
      <c r="E175" s="149" t="s">
        <v>911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601</v>
      </c>
    </row>
    <row r="178" spans="2:19">
      <c r="D178" s="5" t="s">
        <v>212</v>
      </c>
      <c r="E178" s="5" t="s">
        <v>303</v>
      </c>
      <c r="G178" s="149"/>
      <c r="H178" s="149"/>
      <c r="I178" s="149"/>
      <c r="J178" s="149"/>
      <c r="K178" s="149"/>
      <c r="L178" s="149"/>
      <c r="M178" s="149"/>
      <c r="N178" s="149"/>
    </row>
    <row r="179" spans="2:19">
      <c r="E179" t="s">
        <v>117</v>
      </c>
      <c r="F179" s="149" t="s">
        <v>987</v>
      </c>
    </row>
    <row r="180" spans="2:19">
      <c r="F180" s="184" t="s">
        <v>1304</v>
      </c>
      <c r="I180" s="184"/>
    </row>
    <row r="181" spans="2:19">
      <c r="I181" s="184"/>
    </row>
    <row r="182" spans="2:19">
      <c r="B182" s="149"/>
      <c r="C182" s="149"/>
      <c r="E182" t="s">
        <v>118</v>
      </c>
      <c r="F182" s="6" t="s">
        <v>912</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c r="D185" s="5" t="s">
        <v>346</v>
      </c>
      <c r="E185" s="50" t="s">
        <v>1081</v>
      </c>
    </row>
    <row r="186" spans="2:19">
      <c r="B186" s="149"/>
      <c r="C186" s="149"/>
      <c r="E186" s="149" t="s">
        <v>737</v>
      </c>
      <c r="F186" s="149"/>
      <c r="I186" s="149"/>
    </row>
    <row r="187" spans="2:19">
      <c r="B187" s="149"/>
      <c r="C187" s="149"/>
      <c r="E187" s="149" t="s">
        <v>1079</v>
      </c>
      <c r="F187" s="184"/>
      <c r="G187" s="149"/>
      <c r="I187" s="184"/>
    </row>
    <row r="188" spans="2:19">
      <c r="B188" s="149"/>
      <c r="C188" s="149"/>
      <c r="F188" s="184"/>
      <c r="G188" s="149"/>
      <c r="I188" s="184"/>
    </row>
    <row r="189" spans="2:19">
      <c r="B189" s="149"/>
      <c r="C189" s="149"/>
      <c r="D189" s="5" t="s">
        <v>598</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537</v>
      </c>
      <c r="E192" s="5" t="s">
        <v>116</v>
      </c>
    </row>
    <row r="193" spans="2:37">
      <c r="B193" s="149"/>
      <c r="C193" s="5"/>
      <c r="E193" t="s">
        <v>117</v>
      </c>
      <c r="F193" s="149" t="s">
        <v>1090</v>
      </c>
      <c r="G193" s="149"/>
      <c r="H193" s="149"/>
      <c r="I193" s="149"/>
    </row>
    <row r="194" spans="2:37">
      <c r="B194" s="149"/>
      <c r="C194" s="5"/>
      <c r="F194" s="149" t="s">
        <v>677</v>
      </c>
      <c r="G194" s="6" t="s">
        <v>1367</v>
      </c>
    </row>
    <row r="195" spans="2:37">
      <c r="B195" s="149"/>
      <c r="C195" s="149"/>
      <c r="F195" s="149" t="s">
        <v>353</v>
      </c>
      <c r="G195" s="155" t="s">
        <v>1368</v>
      </c>
      <c r="I195" s="149"/>
      <c r="J195" s="149"/>
      <c r="M195" s="149"/>
      <c r="N195" s="149"/>
      <c r="O195" s="149"/>
      <c r="P195" s="149"/>
      <c r="Q195" s="149"/>
      <c r="R195" s="149"/>
      <c r="S195" s="149"/>
    </row>
    <row r="196" spans="2:37">
      <c r="B196" s="149"/>
      <c r="C196" s="149"/>
      <c r="F196" s="149" t="s">
        <v>354</v>
      </c>
      <c r="G196" s="149" t="s">
        <v>988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989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444</v>
      </c>
      <c r="E201" s="5" t="s">
        <v>125</v>
      </c>
      <c r="G201" s="149"/>
      <c r="H201" s="149"/>
      <c r="I201" s="149"/>
      <c r="J201" s="149"/>
      <c r="M201" s="149"/>
      <c r="N201" s="149"/>
      <c r="O201" s="149"/>
      <c r="P201" s="149"/>
      <c r="Q201" s="149"/>
      <c r="R201" s="149"/>
      <c r="S201" s="149"/>
    </row>
    <row r="202" spans="2:37">
      <c r="B202" s="149"/>
      <c r="C202" s="149"/>
      <c r="D202" s="5"/>
      <c r="E202" s="149" t="s">
        <v>117</v>
      </c>
      <c r="F202" s="149" t="s">
        <v>990</v>
      </c>
      <c r="M202" s="149"/>
      <c r="N202" s="149"/>
      <c r="O202" s="149"/>
      <c r="P202" s="149"/>
      <c r="Q202" s="149"/>
      <c r="R202" s="149"/>
      <c r="S202" s="149"/>
    </row>
    <row r="203" spans="2:37">
      <c r="B203" s="149"/>
      <c r="C203" s="149"/>
      <c r="D203" s="5"/>
      <c r="E203" s="149" t="s">
        <v>118</v>
      </c>
      <c r="F203" s="149" t="s">
        <v>1091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991</v>
      </c>
      <c r="I205" s="149"/>
      <c r="J205" s="149"/>
      <c r="M205" s="149"/>
      <c r="N205" s="149"/>
      <c r="O205" s="149"/>
      <c r="P205" s="149"/>
      <c r="Q205" s="149"/>
      <c r="R205" s="149"/>
      <c r="S205" s="149"/>
      <c r="T205" s="149"/>
      <c r="U205" s="149"/>
      <c r="V205" s="149"/>
      <c r="W205" s="149"/>
      <c r="X205" s="149"/>
      <c r="Y205" s="149"/>
    </row>
    <row r="206" spans="2:37">
      <c r="B206" s="149"/>
      <c r="C206" s="149"/>
      <c r="D206" s="5"/>
      <c r="E206" s="149" t="s">
        <v>605</v>
      </c>
      <c r="F206" s="149" t="s">
        <v>992</v>
      </c>
      <c r="M206" s="149"/>
      <c r="N206" s="149"/>
      <c r="O206" s="149"/>
      <c r="P206" s="149"/>
      <c r="Q206" s="149"/>
      <c r="R206" s="149"/>
      <c r="S206" s="149"/>
    </row>
    <row r="207" spans="2:37">
      <c r="B207" s="149"/>
      <c r="C207" s="149"/>
      <c r="D207" s="5"/>
      <c r="F207" t="s">
        <v>677</v>
      </c>
      <c r="G207" s="1711" t="s">
        <v>1336</v>
      </c>
      <c r="H207" s="1711"/>
      <c r="I207" s="1711"/>
      <c r="J207" s="1711"/>
      <c r="K207" s="1711"/>
      <c r="L207" s="1711"/>
      <c r="M207" s="1711"/>
      <c r="N207" s="1711"/>
      <c r="O207" s="1711"/>
      <c r="P207" s="1711"/>
      <c r="Q207" s="1711"/>
      <c r="R207" s="1711"/>
      <c r="S207" s="1711"/>
      <c r="T207" s="1711"/>
      <c r="U207" s="1711"/>
      <c r="V207" s="1711"/>
      <c r="W207" s="1711"/>
      <c r="X207" s="1711"/>
      <c r="Y207" s="1711"/>
      <c r="Z207" s="1711"/>
      <c r="AA207" s="1711"/>
      <c r="AB207" s="1711"/>
      <c r="AC207" s="1711"/>
      <c r="AD207" s="1711"/>
      <c r="AE207" s="1711"/>
      <c r="AF207" s="1711"/>
      <c r="AG207" s="1711"/>
      <c r="AH207" s="1711"/>
      <c r="AI207" s="1711"/>
      <c r="AJ207" s="1711"/>
      <c r="AK207" s="1711"/>
    </row>
    <row r="208" spans="2:37">
      <c r="B208" s="149"/>
      <c r="C208" s="149"/>
      <c r="D208" s="5"/>
      <c r="G208" s="1711"/>
      <c r="H208" s="1711"/>
      <c r="I208" s="1711"/>
      <c r="J208" s="1711"/>
      <c r="K208" s="1711"/>
      <c r="L208" s="1711"/>
      <c r="M208" s="1711"/>
      <c r="N208" s="1711"/>
      <c r="O208" s="1711"/>
      <c r="P208" s="1711"/>
      <c r="Q208" s="1711"/>
      <c r="R208" s="1711"/>
      <c r="S208" s="1711"/>
      <c r="T208" s="1711"/>
      <c r="U208" s="1711"/>
      <c r="V208" s="1711"/>
      <c r="W208" s="1711"/>
      <c r="X208" s="1711"/>
      <c r="Y208" s="1711"/>
      <c r="Z208" s="1711"/>
      <c r="AA208" s="1711"/>
      <c r="AB208" s="1711"/>
      <c r="AC208" s="1711"/>
      <c r="AD208" s="1711"/>
      <c r="AE208" s="1711"/>
      <c r="AF208" s="1711"/>
      <c r="AG208" s="1711"/>
      <c r="AH208" s="1711"/>
      <c r="AI208" s="1711"/>
      <c r="AJ208" s="1711"/>
      <c r="AK208" s="1711"/>
    </row>
    <row r="209" spans="1:38">
      <c r="B209" s="149"/>
      <c r="C209" s="149"/>
      <c r="D209" s="5"/>
      <c r="M209" s="149"/>
      <c r="N209" s="149"/>
      <c r="O209" s="149"/>
      <c r="P209" s="149"/>
      <c r="Q209" s="149"/>
      <c r="R209" s="149"/>
      <c r="S209" s="149"/>
    </row>
    <row r="210" spans="1:38">
      <c r="B210" s="149"/>
      <c r="C210" s="149"/>
      <c r="D210" s="5" t="s">
        <v>580</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578</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740</v>
      </c>
      <c r="D216" s="5"/>
      <c r="G216" s="5" t="s">
        <v>849</v>
      </c>
      <c r="M216" s="149"/>
      <c r="N216" s="149"/>
      <c r="O216" s="149"/>
      <c r="P216" s="149"/>
      <c r="Q216" s="149"/>
      <c r="R216" s="149"/>
      <c r="S216" s="149"/>
    </row>
    <row r="217" spans="1:38">
      <c r="B217" s="149"/>
      <c r="C217" s="149"/>
      <c r="E217" t="s">
        <v>117</v>
      </c>
      <c r="F217" s="149" t="s">
        <v>848</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415</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445</v>
      </c>
      <c r="D225" s="149"/>
      <c r="E225" s="149"/>
      <c r="F225" s="149"/>
      <c r="G225" s="5" t="s">
        <v>474</v>
      </c>
      <c r="I225" s="149"/>
      <c r="J225" s="149"/>
      <c r="K225" s="149"/>
      <c r="M225" s="149"/>
      <c r="N225" s="149"/>
      <c r="O225" s="149"/>
      <c r="P225" s="149"/>
      <c r="Q225" s="149"/>
      <c r="R225" s="149"/>
      <c r="S225" s="149"/>
    </row>
    <row r="226" spans="2:19">
      <c r="B226" s="5"/>
      <c r="E226" s="149" t="s">
        <v>117</v>
      </c>
      <c r="F226" s="149" t="s">
        <v>744</v>
      </c>
      <c r="G226" s="149"/>
      <c r="I226" s="149"/>
      <c r="J226" s="149"/>
      <c r="K226" s="149"/>
      <c r="L226" s="149"/>
      <c r="M226" s="149"/>
      <c r="N226" s="149"/>
      <c r="O226" s="149"/>
      <c r="P226" s="149"/>
      <c r="Q226" s="149"/>
      <c r="R226" s="149"/>
      <c r="S226" s="149"/>
    </row>
    <row r="227" spans="2:19">
      <c r="B227" s="5"/>
      <c r="E227" s="149" t="s">
        <v>118</v>
      </c>
      <c r="F227" s="149" t="s">
        <v>704</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446</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745</v>
      </c>
      <c r="G230" s="149"/>
      <c r="I230" s="149"/>
      <c r="J230" s="149"/>
      <c r="K230" s="149"/>
      <c r="L230" s="149"/>
      <c r="M230" s="149"/>
      <c r="N230" s="149"/>
      <c r="O230" s="149"/>
      <c r="P230" s="149"/>
      <c r="Q230" s="149"/>
      <c r="R230" s="149"/>
      <c r="S230" s="149"/>
    </row>
    <row r="231" spans="2:19">
      <c r="B231" s="5"/>
      <c r="E231" s="149"/>
      <c r="F231" s="149" t="s">
        <v>746</v>
      </c>
      <c r="G231" s="149"/>
      <c r="H231" s="149"/>
      <c r="I231" s="149"/>
      <c r="J231" s="149"/>
      <c r="K231" s="149"/>
      <c r="L231" s="149"/>
      <c r="M231" s="149"/>
      <c r="N231" s="149"/>
      <c r="O231" s="149"/>
      <c r="P231" s="149"/>
      <c r="Q231" s="149"/>
      <c r="R231" s="149"/>
      <c r="S231" s="149"/>
    </row>
    <row r="232" spans="2:19">
      <c r="B232" s="5"/>
      <c r="D232" s="149"/>
      <c r="E232" s="149" t="s">
        <v>118</v>
      </c>
      <c r="F232" s="149" t="s">
        <v>704</v>
      </c>
      <c r="G232" s="149"/>
      <c r="I232" s="149"/>
      <c r="J232" s="149"/>
      <c r="K232" s="149"/>
      <c r="L232" s="149"/>
      <c r="M232" s="149"/>
      <c r="N232" s="149"/>
      <c r="O232" s="149"/>
      <c r="P232" s="149"/>
      <c r="Q232" s="149"/>
      <c r="R232" s="149"/>
      <c r="S232" s="149"/>
    </row>
    <row r="233" spans="2:19">
      <c r="B233" s="5"/>
      <c r="E233" s="149" t="s">
        <v>124</v>
      </c>
      <c r="F233" s="152" t="s">
        <v>1007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837</v>
      </c>
      <c r="I238" s="149"/>
      <c r="M238" s="149"/>
      <c r="N238" s="149"/>
      <c r="O238" s="149"/>
      <c r="P238" s="149"/>
      <c r="Q238" s="149"/>
      <c r="R238" s="149"/>
      <c r="S238" s="149"/>
    </row>
    <row r="239" spans="2:19">
      <c r="B239" s="149"/>
      <c r="C239" s="149"/>
      <c r="E239" t="s">
        <v>118</v>
      </c>
      <c r="F239" s="205" t="s">
        <v>461</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996</v>
      </c>
      <c r="I241" s="149"/>
      <c r="M241" s="149"/>
      <c r="N241" s="149"/>
      <c r="O241" s="149"/>
      <c r="P241" s="149"/>
      <c r="Q241" s="149"/>
      <c r="R241" s="149"/>
      <c r="S241" s="149"/>
    </row>
    <row r="242" spans="2:21">
      <c r="B242" s="149"/>
      <c r="C242" s="149"/>
      <c r="F242" s="149" t="s">
        <v>353</v>
      </c>
      <c r="G242" s="203" t="s">
        <v>751</v>
      </c>
      <c r="I242" s="149"/>
      <c r="M242" s="149"/>
      <c r="N242" s="149"/>
      <c r="O242" s="149"/>
      <c r="P242" s="149"/>
      <c r="Q242" s="149"/>
      <c r="R242" s="149"/>
      <c r="S242" s="149"/>
    </row>
    <row r="243" spans="2:21">
      <c r="B243" s="149"/>
      <c r="C243" s="149"/>
      <c r="E243" t="s">
        <v>124</v>
      </c>
      <c r="F243" s="149" t="s">
        <v>677</v>
      </c>
      <c r="G243" s="203" t="s">
        <v>997</v>
      </c>
      <c r="I243" s="149"/>
      <c r="M243" s="149"/>
      <c r="N243" s="149"/>
      <c r="O243" s="149"/>
      <c r="P243" s="149"/>
      <c r="Q243" s="149"/>
      <c r="R243" s="149"/>
      <c r="S243" s="149"/>
    </row>
    <row r="244" spans="2:21">
      <c r="B244" s="149"/>
      <c r="C244" s="149"/>
      <c r="F244" s="149" t="s">
        <v>353</v>
      </c>
      <c r="G244" s="203" t="s">
        <v>998</v>
      </c>
      <c r="I244" s="149"/>
      <c r="M244" s="149"/>
      <c r="N244" s="149"/>
      <c r="O244" s="149"/>
      <c r="P244" s="149"/>
      <c r="Q244" s="149"/>
      <c r="R244" s="149"/>
      <c r="S244" s="149"/>
    </row>
    <row r="245" spans="2:21">
      <c r="B245" s="149"/>
      <c r="C245" s="149"/>
      <c r="F245" s="149" t="s">
        <v>354</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677</v>
      </c>
      <c r="G248" s="149" t="s">
        <v>448</v>
      </c>
      <c r="I248" s="149"/>
      <c r="M248" s="149"/>
      <c r="N248" s="149"/>
      <c r="O248" s="149"/>
      <c r="P248" s="149"/>
      <c r="Q248" s="149"/>
      <c r="R248" s="149"/>
      <c r="S248" s="149"/>
    </row>
    <row r="249" spans="2:21">
      <c r="B249" s="149"/>
      <c r="C249" s="149"/>
      <c r="D249" s="5"/>
      <c r="E249" s="5"/>
      <c r="F249" s="149"/>
      <c r="G249" s="149" t="s">
        <v>449</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396</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1305</v>
      </c>
      <c r="G253" s="149"/>
      <c r="I253" s="184"/>
      <c r="J253" s="149"/>
      <c r="K253" s="149"/>
      <c r="L253" s="149"/>
      <c r="M253" s="149"/>
      <c r="N253" s="149"/>
      <c r="O253" s="149"/>
      <c r="P253" s="149"/>
      <c r="Q253" s="149"/>
      <c r="R253" s="149"/>
      <c r="S253" s="149"/>
      <c r="T253" s="149"/>
      <c r="U253" s="149"/>
    </row>
    <row r="254" spans="2:21">
      <c r="B254" s="5"/>
      <c r="C254" s="5"/>
      <c r="E254" s="149" t="s">
        <v>118</v>
      </c>
      <c r="F254" s="149" t="s">
        <v>993</v>
      </c>
      <c r="I254" s="149"/>
      <c r="J254" s="149"/>
      <c r="K254" s="149"/>
      <c r="L254" s="149"/>
      <c r="M254" s="149"/>
      <c r="N254" s="149"/>
      <c r="O254" s="149"/>
      <c r="P254" s="149"/>
      <c r="Q254" s="149"/>
      <c r="R254" s="149"/>
      <c r="S254" s="149"/>
      <c r="T254" s="149"/>
      <c r="U254" s="149"/>
    </row>
    <row r="255" spans="2:21">
      <c r="B255" s="5"/>
      <c r="C255" s="5"/>
      <c r="E255" s="149"/>
      <c r="F255" s="327" t="s">
        <v>677</v>
      </c>
      <c r="G255" s="327" t="s">
        <v>852</v>
      </c>
      <c r="I255" s="6"/>
      <c r="K255" s="155"/>
      <c r="L255" s="155"/>
      <c r="M255" s="155"/>
      <c r="N255" s="155"/>
      <c r="O255" s="155"/>
      <c r="P255" s="1"/>
      <c r="Q255" s="149"/>
      <c r="R255" s="149"/>
      <c r="S255" s="149"/>
      <c r="T255" s="149"/>
      <c r="U255" s="149"/>
    </row>
    <row r="256" spans="2:21">
      <c r="B256" s="5"/>
      <c r="C256" s="5"/>
      <c r="E256" s="149"/>
      <c r="F256" s="325"/>
      <c r="G256" s="327" t="s">
        <v>853</v>
      </c>
      <c r="I256" s="6"/>
      <c r="K256" s="155"/>
      <c r="L256" s="155"/>
      <c r="M256" s="155"/>
      <c r="N256" s="155"/>
      <c r="O256" s="155"/>
      <c r="P256" s="155"/>
    </row>
    <row r="257" spans="2:21">
      <c r="B257" s="5"/>
      <c r="C257" s="5"/>
      <c r="E257" s="149"/>
      <c r="F257" s="325" t="s">
        <v>353</v>
      </c>
      <c r="G257" s="327" t="s">
        <v>999</v>
      </c>
      <c r="I257" s="149"/>
      <c r="K257" s="149"/>
      <c r="L257" s="149"/>
      <c r="M257" s="149"/>
      <c r="N257" s="149"/>
      <c r="O257" s="149"/>
      <c r="P257" s="155"/>
      <c r="Q257" s="1"/>
      <c r="R257" s="1"/>
      <c r="S257" s="1"/>
      <c r="T257" s="1"/>
      <c r="U257" s="1"/>
    </row>
    <row r="258" spans="2:21">
      <c r="B258" s="5"/>
      <c r="C258" s="5"/>
      <c r="E258" s="149"/>
      <c r="F258" s="325"/>
      <c r="G258" s="327" t="s">
        <v>914</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397</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843</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844</v>
      </c>
      <c r="I264" s="149"/>
      <c r="J264" s="149"/>
      <c r="K264" s="149"/>
      <c r="L264" s="149"/>
      <c r="M264" s="149"/>
      <c r="N264" s="149"/>
      <c r="O264" s="149"/>
      <c r="P264" s="149"/>
      <c r="Q264" s="149"/>
      <c r="R264" s="149"/>
      <c r="S264" s="149"/>
    </row>
    <row r="265" spans="2:21">
      <c r="B265" s="5"/>
      <c r="C265" s="5"/>
      <c r="E265" s="149" t="s">
        <v>605</v>
      </c>
      <c r="F265" s="327" t="s">
        <v>854</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346</v>
      </c>
      <c r="E267" s="5" t="s">
        <v>76</v>
      </c>
      <c r="G267" s="149"/>
      <c r="H267" s="149"/>
      <c r="I267" s="149"/>
      <c r="J267" s="149"/>
      <c r="K267" s="149"/>
      <c r="L267" s="149"/>
      <c r="M267" s="149"/>
      <c r="N267" s="149"/>
      <c r="O267" s="149"/>
      <c r="P267" s="149"/>
      <c r="Q267" s="149"/>
      <c r="R267" s="149"/>
      <c r="S267" s="149"/>
    </row>
    <row r="268" spans="2:21">
      <c r="B268" s="5"/>
      <c r="C268" s="5"/>
      <c r="E268" s="149" t="s">
        <v>1092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598</v>
      </c>
      <c r="E270" s="5" t="s">
        <v>292</v>
      </c>
      <c r="G270" s="149"/>
    </row>
    <row r="271" spans="2:21">
      <c r="B271" s="5"/>
      <c r="C271" s="5"/>
      <c r="E271" s="149" t="s">
        <v>260</v>
      </c>
      <c r="F271" s="149"/>
      <c r="G271" s="149"/>
      <c r="J271" s="149"/>
      <c r="K271" s="149"/>
      <c r="L271" s="149"/>
      <c r="M271" s="149"/>
      <c r="N271" s="149"/>
    </row>
    <row r="272" spans="2:21">
      <c r="B272" s="5"/>
      <c r="C272" s="5"/>
      <c r="E272" s="149" t="s">
        <v>1000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537</v>
      </c>
      <c r="E274" s="5" t="s">
        <v>636</v>
      </c>
      <c r="G274" s="149"/>
      <c r="H274" s="149"/>
      <c r="J274" s="149"/>
      <c r="K274" s="149"/>
      <c r="L274" s="149"/>
      <c r="M274" s="149"/>
      <c r="N274" s="149"/>
      <c r="O274" s="149"/>
      <c r="P274" s="149"/>
      <c r="Q274" s="149"/>
      <c r="R274" s="149"/>
      <c r="S274" s="149"/>
      <c r="T274" s="149"/>
      <c r="U274" s="149"/>
    </row>
    <row r="275" spans="2:21">
      <c r="B275" s="5"/>
      <c r="D275" s="149"/>
      <c r="E275" s="149" t="s">
        <v>1084</v>
      </c>
      <c r="J275" s="149"/>
      <c r="K275" s="149"/>
      <c r="L275" s="149"/>
      <c r="M275" s="149"/>
      <c r="N275" s="149"/>
      <c r="O275" s="149"/>
      <c r="P275" s="149"/>
      <c r="Q275" s="149"/>
      <c r="R275" s="149"/>
      <c r="S275" s="149"/>
      <c r="T275" s="149"/>
      <c r="U275" s="149"/>
    </row>
    <row r="276" spans="2:21">
      <c r="B276" s="5"/>
      <c r="D276" s="149"/>
      <c r="E276" s="149" t="s">
        <v>994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444</v>
      </c>
      <c r="E282" s="5" t="s">
        <v>440</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1002</v>
      </c>
      <c r="F285" s="184"/>
      <c r="G285" s="149"/>
      <c r="H285" s="184"/>
      <c r="I285" s="184"/>
      <c r="J285" s="149"/>
      <c r="K285" s="149"/>
      <c r="L285" s="149"/>
      <c r="M285" s="149"/>
      <c r="P285" s="149"/>
      <c r="Q285" s="149"/>
      <c r="R285" s="149"/>
      <c r="S285" s="149"/>
    </row>
    <row r="286" spans="2:21">
      <c r="B286" s="5"/>
      <c r="D286" s="5"/>
      <c r="E286" s="729" t="s">
        <v>913</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580</v>
      </c>
      <c r="E288" s="5" t="s">
        <v>581</v>
      </c>
      <c r="K288" s="149"/>
      <c r="L288" s="149"/>
      <c r="M288" s="149"/>
      <c r="N288" s="149"/>
    </row>
    <row r="289" spans="2:38">
      <c r="B289" s="5"/>
      <c r="D289" s="149"/>
      <c r="E289" s="149" t="s">
        <v>117</v>
      </c>
      <c r="F289" s="149" t="s">
        <v>582</v>
      </c>
      <c r="G289" s="149"/>
      <c r="O289" s="149"/>
      <c r="P289" s="149"/>
      <c r="Q289" s="149"/>
      <c r="R289" s="149"/>
      <c r="S289" s="149"/>
      <c r="T289" s="149"/>
      <c r="U289" s="149"/>
      <c r="V289" s="149"/>
      <c r="W289" s="149"/>
    </row>
    <row r="290" spans="2:38">
      <c r="B290" s="5"/>
      <c r="D290" s="149"/>
      <c r="E290" s="149"/>
      <c r="F290" s="184" t="s">
        <v>1306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583</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677</v>
      </c>
      <c r="G293" s="149" t="s">
        <v>265</v>
      </c>
      <c r="K293" s="149"/>
      <c r="L293" s="149"/>
      <c r="M293" s="149"/>
      <c r="N293" s="149"/>
      <c r="O293" s="149"/>
      <c r="P293" s="149"/>
      <c r="Q293" s="149"/>
      <c r="R293" s="149"/>
      <c r="S293" s="149"/>
      <c r="T293" s="149"/>
      <c r="U293" s="149"/>
      <c r="V293" s="149"/>
      <c r="W293" s="149"/>
    </row>
    <row r="294" spans="2:38">
      <c r="B294" s="5"/>
      <c r="D294" s="149"/>
      <c r="E294" s="149"/>
      <c r="F294" s="149" t="s">
        <v>353</v>
      </c>
      <c r="G294" s="149" t="s">
        <v>995</v>
      </c>
      <c r="H294" s="149"/>
      <c r="K294" s="149"/>
      <c r="L294" s="149"/>
      <c r="M294" s="149"/>
      <c r="N294" s="149"/>
      <c r="O294" s="149"/>
      <c r="P294" s="149"/>
      <c r="Q294" s="149"/>
      <c r="R294" s="149"/>
      <c r="S294" s="149"/>
      <c r="T294" s="149"/>
      <c r="U294" s="149"/>
      <c r="V294" s="149"/>
      <c r="W294" s="149"/>
    </row>
    <row r="295" spans="2:38">
      <c r="B295" s="5"/>
      <c r="D295" s="149"/>
      <c r="E295" s="149"/>
      <c r="F295" s="149" t="s">
        <v>354</v>
      </c>
      <c r="G295" s="149" t="s">
        <v>584</v>
      </c>
      <c r="K295" s="149"/>
      <c r="L295" s="149"/>
      <c r="M295" s="149"/>
      <c r="N295" s="149"/>
      <c r="O295" s="149"/>
      <c r="P295" s="149"/>
      <c r="Q295" s="149"/>
      <c r="R295" s="149"/>
      <c r="S295" s="149"/>
      <c r="T295" s="149"/>
      <c r="U295" s="149"/>
      <c r="V295" s="149"/>
      <c r="W295" s="149"/>
    </row>
    <row r="296" spans="2:38">
      <c r="B296" s="5"/>
      <c r="D296" s="149"/>
      <c r="E296" s="149"/>
      <c r="F296" s="149" t="s">
        <v>460</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403</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605</v>
      </c>
      <c r="F299" s="149" t="s">
        <v>770</v>
      </c>
      <c r="G299" s="149"/>
      <c r="K299" s="149"/>
      <c r="L299" s="149"/>
      <c r="M299" s="149"/>
      <c r="N299" s="149"/>
      <c r="O299" s="149"/>
      <c r="P299" s="149"/>
      <c r="Q299" s="149"/>
      <c r="R299" s="149"/>
      <c r="S299" s="149"/>
      <c r="T299" s="149"/>
      <c r="U299" s="149"/>
      <c r="V299" s="149"/>
      <c r="W299" s="149"/>
    </row>
    <row r="300" spans="2:38">
      <c r="B300" s="5"/>
      <c r="D300" s="149"/>
      <c r="E300" s="149" t="s">
        <v>803</v>
      </c>
      <c r="F300" s="149" t="s">
        <v>777</v>
      </c>
      <c r="G300" s="149"/>
      <c r="K300" s="149"/>
      <c r="L300" s="149"/>
      <c r="M300" s="149"/>
      <c r="N300" s="149"/>
      <c r="O300" s="149"/>
      <c r="P300" s="149"/>
      <c r="Q300" s="149"/>
      <c r="R300" s="149"/>
      <c r="S300" s="149"/>
      <c r="T300" s="149"/>
      <c r="U300" s="149"/>
      <c r="V300" s="149"/>
      <c r="W300" s="149"/>
    </row>
    <row r="301" spans="2:38">
      <c r="B301" s="5"/>
      <c r="D301" s="149"/>
      <c r="E301" s="149"/>
      <c r="F301" s="248" t="s">
        <v>1018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1019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578</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1003</v>
      </c>
      <c r="F306" s="149"/>
      <c r="K306" s="149"/>
      <c r="L306" s="149"/>
      <c r="M306" s="149"/>
      <c r="N306" s="149"/>
      <c r="O306" s="149"/>
      <c r="P306" s="149"/>
      <c r="Q306" s="149"/>
      <c r="R306" s="149"/>
      <c r="S306" s="149"/>
      <c r="T306" s="149"/>
      <c r="U306" s="149"/>
      <c r="V306" s="149"/>
      <c r="W306" s="149"/>
    </row>
    <row r="307" spans="2:23">
      <c r="B307" s="5"/>
      <c r="D307" s="5"/>
      <c r="E307" s="149" t="s">
        <v>1001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638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838</v>
      </c>
      <c r="F312" s="149"/>
      <c r="G312" s="149"/>
      <c r="I312" s="149"/>
      <c r="K312" s="149"/>
    </row>
    <row r="313" spans="2:23">
      <c r="B313" s="5"/>
      <c r="D313" s="5"/>
      <c r="E313" s="149" t="s">
        <v>1004</v>
      </c>
      <c r="F313" s="149"/>
      <c r="G313" s="149"/>
      <c r="I313" s="149"/>
      <c r="K313" s="149"/>
    </row>
    <row r="314" spans="2:23">
      <c r="B314" s="5"/>
      <c r="D314" s="5"/>
      <c r="E314" s="149" t="s">
        <v>839</v>
      </c>
      <c r="F314" s="149"/>
      <c r="G314" s="149"/>
      <c r="I314" s="149"/>
      <c r="K314" s="149"/>
    </row>
    <row r="315" spans="2:23">
      <c r="B315" s="5"/>
      <c r="D315" s="5"/>
      <c r="G315" s="149"/>
      <c r="I315" s="149"/>
      <c r="K315" s="149"/>
    </row>
    <row r="316" spans="2:23">
      <c r="B316" s="5"/>
      <c r="D316" s="5" t="s">
        <v>346</v>
      </c>
      <c r="E316" s="5" t="s">
        <v>779</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598</v>
      </c>
      <c r="E319" s="252" t="s">
        <v>763</v>
      </c>
      <c r="F319" s="22"/>
      <c r="G319" s="149"/>
      <c r="H319" s="149"/>
      <c r="I319" s="149"/>
      <c r="J319" s="149"/>
      <c r="K319" s="149"/>
      <c r="L319" s="149"/>
      <c r="M319" s="149"/>
      <c r="N319" s="149"/>
      <c r="O319" s="149"/>
      <c r="P319" s="149"/>
      <c r="Q319" s="149"/>
      <c r="R319" s="149"/>
      <c r="S319" s="149"/>
    </row>
    <row r="320" spans="2:23">
      <c r="B320" s="5"/>
      <c r="E320" t="s">
        <v>760</v>
      </c>
      <c r="I320" s="149"/>
      <c r="J320" s="149"/>
      <c r="K320" s="149"/>
      <c r="L320" s="149"/>
      <c r="M320" s="149"/>
      <c r="N320" s="149"/>
      <c r="O320" s="149"/>
      <c r="P320" s="149"/>
      <c r="Q320" s="149"/>
      <c r="R320" s="149"/>
      <c r="S320" s="149"/>
    </row>
    <row r="321" spans="1:38">
      <c r="B321" s="5"/>
      <c r="E321" t="s">
        <v>761</v>
      </c>
      <c r="I321" s="149"/>
      <c r="J321" s="149"/>
      <c r="K321" s="149"/>
      <c r="L321" s="149"/>
      <c r="M321" s="149"/>
      <c r="N321" s="149"/>
      <c r="O321" s="149"/>
      <c r="P321" s="149"/>
      <c r="Q321" s="149"/>
      <c r="R321" s="149"/>
      <c r="S321" s="149"/>
    </row>
    <row r="322" spans="1:38">
      <c r="B322" s="5"/>
      <c r="E322" t="s">
        <v>762</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639</v>
      </c>
      <c r="I324" s="149"/>
      <c r="J324" s="149"/>
      <c r="K324" s="149"/>
      <c r="L324" s="149"/>
      <c r="M324" s="149"/>
      <c r="N324" s="149"/>
      <c r="O324" s="149"/>
      <c r="P324" s="149"/>
      <c r="Q324" s="149"/>
      <c r="R324" s="149"/>
      <c r="S324" s="149"/>
    </row>
    <row r="325" spans="1:38">
      <c r="A325" t="s">
        <v>255</v>
      </c>
      <c r="D325" s="5" t="s">
        <v>212</v>
      </c>
      <c r="E325" s="183" t="s">
        <v>639</v>
      </c>
      <c r="J325" s="183"/>
      <c r="K325" s="183"/>
      <c r="L325" s="183"/>
      <c r="M325" s="182"/>
      <c r="N325" s="182"/>
      <c r="O325" s="182"/>
      <c r="P325" s="182"/>
      <c r="Q325" s="182"/>
      <c r="R325" s="182"/>
      <c r="S325" s="149"/>
    </row>
    <row r="326" spans="1:38">
      <c r="E326" t="s">
        <v>117</v>
      </c>
      <c r="F326" s="149" t="s">
        <v>1005</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c r="F328" s="184" t="s">
        <v>1307</v>
      </c>
      <c r="I328" s="184"/>
      <c r="J328" s="149"/>
      <c r="K328" s="149"/>
      <c r="L328" s="149"/>
      <c r="M328" s="149"/>
      <c r="N328" s="149"/>
      <c r="O328" s="149"/>
      <c r="P328" s="149"/>
      <c r="Q328" s="149"/>
      <c r="R328" s="149"/>
      <c r="S328" s="149"/>
    </row>
    <row r="329" spans="1:38">
      <c r="F329" s="184" t="s">
        <v>1308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538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445</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767</v>
      </c>
      <c r="J335" s="149"/>
      <c r="K335" s="149"/>
      <c r="L335" s="149"/>
      <c r="M335" s="149"/>
      <c r="N335" s="149"/>
      <c r="O335" s="149"/>
      <c r="P335" s="149"/>
      <c r="Q335" s="149"/>
      <c r="R335" s="149"/>
      <c r="S335" s="149"/>
    </row>
    <row r="336" spans="1:38">
      <c r="B336" s="5"/>
      <c r="E336" s="149"/>
      <c r="F336" s="149" t="s">
        <v>768</v>
      </c>
      <c r="J336" s="149"/>
      <c r="K336" s="149"/>
      <c r="L336" s="149"/>
      <c r="M336" s="149"/>
      <c r="N336" s="149"/>
      <c r="O336" s="149"/>
      <c r="P336" s="149"/>
      <c r="Q336" s="149"/>
      <c r="R336" s="149"/>
      <c r="S336" s="149"/>
    </row>
    <row r="337" spans="2:37">
      <c r="B337" s="5"/>
      <c r="E337" s="149"/>
      <c r="F337" s="149" t="s">
        <v>769</v>
      </c>
      <c r="I337" s="149"/>
      <c r="J337" s="149"/>
      <c r="K337" s="149"/>
      <c r="L337" s="149"/>
      <c r="M337" s="149"/>
      <c r="N337" s="149"/>
      <c r="O337" s="149"/>
      <c r="P337" s="149"/>
      <c r="Q337" s="149"/>
      <c r="R337" s="149"/>
      <c r="S337" s="149"/>
    </row>
    <row r="338" spans="2:37">
      <c r="B338" s="5"/>
      <c r="E338" s="149" t="s">
        <v>118</v>
      </c>
      <c r="F338" s="1711" t="s">
        <v>1311</v>
      </c>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1711"/>
    </row>
    <row r="339" spans="2:37">
      <c r="B339" s="5"/>
      <c r="E339" s="149"/>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1711"/>
    </row>
    <row r="340" spans="2:37">
      <c r="B340" s="5"/>
      <c r="E340" s="149"/>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1711"/>
    </row>
    <row r="341" spans="2:37">
      <c r="B341" s="5"/>
      <c r="F341" s="149"/>
      <c r="H341" s="149"/>
      <c r="I341" s="149"/>
      <c r="J341" s="149"/>
      <c r="K341" s="149"/>
      <c r="L341" s="149"/>
      <c r="M341" s="149"/>
      <c r="N341" s="149"/>
      <c r="O341" s="149"/>
      <c r="P341" s="149"/>
      <c r="Q341" s="149"/>
      <c r="R341" s="149"/>
      <c r="S341" s="149"/>
    </row>
    <row r="342" spans="2:37" s="709" customFormat="1">
      <c r="B342" s="5"/>
      <c r="C342" s="183" t="s">
        <v>446</v>
      </c>
      <c r="G342" s="195" t="s">
        <v>1393</v>
      </c>
      <c r="I342" s="183"/>
      <c r="J342" s="149"/>
      <c r="K342" s="149"/>
      <c r="L342" s="149"/>
      <c r="M342" s="149"/>
      <c r="N342" s="149"/>
      <c r="O342" s="149"/>
      <c r="P342" s="149"/>
      <c r="Q342" s="149"/>
      <c r="R342" s="149"/>
      <c r="S342" s="149"/>
    </row>
    <row r="343" spans="2:37" s="709" customFormat="1" ht="13.2" customHeight="1">
      <c r="B343" s="5"/>
      <c r="E343" s="1716" t="s">
        <v>1400</v>
      </c>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row>
    <row r="344" spans="2:37" s="709" customFormat="1">
      <c r="B344" s="5"/>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1716"/>
    </row>
    <row r="345" spans="2:37" s="709" customFormat="1">
      <c r="B345" s="5"/>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1716"/>
    </row>
    <row r="346" spans="2:37" s="709" customFormat="1">
      <c r="B346" s="5"/>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1716"/>
    </row>
    <row r="347" spans="2:37" s="709" customFormat="1">
      <c r="B347" s="5"/>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1716"/>
    </row>
    <row r="348" spans="2:37" s="709" customFormat="1">
      <c r="B348" s="5"/>
      <c r="E348" s="6" t="s">
        <v>117</v>
      </c>
      <c r="F348" s="1711" t="s">
        <v>1402</v>
      </c>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1711"/>
    </row>
    <row r="349" spans="2:37" s="709" customFormat="1">
      <c r="B349" s="5"/>
      <c r="E349" s="6"/>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1711"/>
    </row>
    <row r="350" spans="2:37" s="709" customFormat="1">
      <c r="B350" s="5"/>
      <c r="E350" s="6"/>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1711"/>
    </row>
    <row r="351" spans="2:37" s="709" customFormat="1">
      <c r="B351" s="5"/>
      <c r="E351" s="6"/>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1711"/>
    </row>
    <row r="352" spans="2:37" s="709" customFormat="1">
      <c r="B352" s="5"/>
      <c r="E352" s="6" t="s">
        <v>118</v>
      </c>
      <c r="F352" s="1711" t="s">
        <v>1401</v>
      </c>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1711"/>
    </row>
    <row r="353" spans="1:38" s="709" customFormat="1">
      <c r="B353" s="5"/>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1711"/>
    </row>
    <row r="354" spans="1:38" s="709" customFormat="1">
      <c r="B354" s="5"/>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1711"/>
    </row>
    <row r="355" spans="1:38" s="709" customFormat="1">
      <c r="B355" s="5"/>
      <c r="F355" s="149"/>
      <c r="H355" s="149"/>
      <c r="I355" s="149"/>
      <c r="J355" s="149"/>
      <c r="K355" s="149"/>
      <c r="L355" s="149"/>
      <c r="M355" s="149"/>
      <c r="N355" s="149"/>
      <c r="O355" s="149"/>
      <c r="P355" s="149"/>
      <c r="Q355" s="149"/>
      <c r="R355" s="149"/>
      <c r="S355" s="149"/>
    </row>
    <row r="356" spans="1:38">
      <c r="A356" s="8"/>
      <c r="B356" s="17" t="s">
        <v>780</v>
      </c>
      <c r="C356" s="17" t="s">
        <v>640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1380</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771</v>
      </c>
      <c r="I361" s="149"/>
      <c r="J361" s="149"/>
      <c r="K361" s="149"/>
      <c r="L361" s="149"/>
      <c r="M361" s="149"/>
      <c r="N361" s="149"/>
      <c r="O361" s="149"/>
      <c r="P361" s="149"/>
      <c r="Q361" s="149"/>
      <c r="R361" s="149"/>
      <c r="S361" s="149"/>
    </row>
    <row r="362" spans="1:38">
      <c r="B362" s="5"/>
      <c r="F362" s="149" t="s">
        <v>772</v>
      </c>
      <c r="I362" s="149"/>
      <c r="J362" s="149"/>
      <c r="K362" s="149"/>
      <c r="L362" s="149"/>
      <c r="M362" s="149"/>
      <c r="N362" s="149"/>
      <c r="O362" s="149"/>
      <c r="P362" s="149"/>
      <c r="Q362" s="149"/>
      <c r="R362" s="149"/>
      <c r="S362" s="149"/>
    </row>
    <row r="363" spans="1:38">
      <c r="B363" s="5"/>
      <c r="F363" s="149" t="s">
        <v>916</v>
      </c>
      <c r="G363" s="149"/>
      <c r="K363" s="149"/>
      <c r="L363" s="149"/>
      <c r="M363" s="149"/>
      <c r="N363" s="149"/>
      <c r="O363" s="149"/>
      <c r="P363" s="149"/>
      <c r="Q363" s="149"/>
      <c r="R363" s="149"/>
      <c r="S363" s="149"/>
    </row>
    <row r="364" spans="1:38">
      <c r="B364" s="5"/>
      <c r="E364" t="s">
        <v>118</v>
      </c>
      <c r="F364" s="149" t="s">
        <v>915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773</v>
      </c>
      <c r="I365" s="149"/>
      <c r="J365" s="149"/>
      <c r="K365" s="149"/>
      <c r="L365" s="149"/>
      <c r="M365" s="149"/>
      <c r="N365" s="149"/>
      <c r="O365" s="149"/>
      <c r="P365" s="149"/>
      <c r="Q365" s="149"/>
      <c r="R365" s="149"/>
      <c r="S365" s="149"/>
    </row>
    <row r="366" spans="1:38">
      <c r="B366" s="5"/>
      <c r="F366" s="149" t="s">
        <v>774</v>
      </c>
      <c r="J366" s="149"/>
      <c r="K366" s="149"/>
      <c r="L366" s="149"/>
      <c r="M366" s="149"/>
      <c r="N366" s="149"/>
      <c r="O366" s="149"/>
      <c r="P366" s="149"/>
      <c r="Q366" s="149"/>
      <c r="R366" s="149"/>
      <c r="S366" s="149"/>
    </row>
    <row r="367" spans="1:38" s="709" customFormat="1">
      <c r="B367" s="5"/>
      <c r="E367" s="1720" t="s">
        <v>1391</v>
      </c>
      <c r="F367" s="1720"/>
      <c r="G367" s="1720"/>
      <c r="H367" s="1720"/>
      <c r="I367" s="1720"/>
      <c r="J367" s="1720"/>
      <c r="K367" s="1720"/>
      <c r="L367" s="1720"/>
      <c r="M367" s="1720"/>
      <c r="N367" s="1720"/>
      <c r="O367" s="1720"/>
      <c r="P367" s="1720"/>
      <c r="Q367" s="1720"/>
      <c r="R367" s="1720"/>
      <c r="S367" s="1720"/>
      <c r="T367" s="1720"/>
      <c r="U367" s="1720"/>
      <c r="V367" s="1720"/>
      <c r="W367" s="1720"/>
      <c r="X367" s="1720"/>
      <c r="Y367" s="1720"/>
      <c r="Z367" s="1720"/>
      <c r="AA367" s="1720"/>
      <c r="AB367" s="1720"/>
      <c r="AC367" s="1720"/>
      <c r="AD367" s="1720"/>
      <c r="AE367" s="1720"/>
      <c r="AF367" s="1720"/>
      <c r="AG367" s="1720"/>
      <c r="AH367" s="1720"/>
      <c r="AI367" s="1720"/>
      <c r="AJ367" s="1720"/>
      <c r="AK367" s="1720"/>
      <c r="AL367" s="1720"/>
    </row>
    <row r="368" spans="1:38" s="709" customFormat="1">
      <c r="B368" s="5"/>
      <c r="E368" s="1720"/>
      <c r="F368" s="1720"/>
      <c r="G368" s="1720"/>
      <c r="H368" s="1720"/>
      <c r="I368" s="1720"/>
      <c r="J368" s="1720"/>
      <c r="K368" s="1720"/>
      <c r="L368" s="1720"/>
      <c r="M368" s="1720"/>
      <c r="N368" s="1720"/>
      <c r="O368" s="1720"/>
      <c r="P368" s="1720"/>
      <c r="Q368" s="1720"/>
      <c r="R368" s="1720"/>
      <c r="S368" s="1720"/>
      <c r="T368" s="1720"/>
      <c r="U368" s="1720"/>
      <c r="V368" s="1720"/>
      <c r="W368" s="1720"/>
      <c r="X368" s="1720"/>
      <c r="Y368" s="1720"/>
      <c r="Z368" s="1720"/>
      <c r="AA368" s="1720"/>
      <c r="AB368" s="1720"/>
      <c r="AC368" s="1720"/>
      <c r="AD368" s="1720"/>
      <c r="AE368" s="1720"/>
      <c r="AF368" s="1720"/>
      <c r="AG368" s="1720"/>
      <c r="AH368" s="1720"/>
      <c r="AI368" s="1720"/>
      <c r="AJ368" s="1720"/>
      <c r="AK368" s="1720"/>
      <c r="AL368" s="1720"/>
    </row>
    <row r="369" spans="1:38" s="1722" customFormat="1">
      <c r="A369"/>
      <c r="B369" s="5"/>
      <c r="C369"/>
      <c r="D369"/>
      <c r="E369" s="1721" t="s">
        <v>1433</v>
      </c>
    </row>
    <row r="370" spans="1:38" s="1722"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346</v>
      </c>
      <c r="E372" s="5" t="s">
        <v>591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598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1309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537</v>
      </c>
      <c r="E381" s="5" t="s">
        <v>1434</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1312</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1435</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1309</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13" t="s">
        <v>1444</v>
      </c>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c r="AA388" s="1713"/>
      <c r="AB388" s="1713"/>
      <c r="AC388" s="1713"/>
      <c r="AD388" s="1713"/>
      <c r="AE388" s="1713"/>
      <c r="AF388" s="1713"/>
      <c r="AG388" s="1713"/>
      <c r="AH388" s="1713"/>
      <c r="AI388" s="1713"/>
      <c r="AJ388" s="1713"/>
      <c r="AK388" s="1713"/>
      <c r="AL388" s="669"/>
    </row>
    <row r="389" spans="1:38" s="709" customFormat="1">
      <c r="A389" s="669"/>
      <c r="B389" s="183"/>
      <c r="C389" s="669"/>
      <c r="D389" s="669"/>
      <c r="E389" s="670"/>
      <c r="F389" s="1713"/>
      <c r="G389" s="1713"/>
      <c r="H389" s="1713"/>
      <c r="I389" s="1713"/>
      <c r="J389" s="1713"/>
      <c r="K389" s="1713"/>
      <c r="L389" s="1713"/>
      <c r="M389" s="1713"/>
      <c r="N389" s="1713"/>
      <c r="O389" s="1713"/>
      <c r="P389" s="1713"/>
      <c r="Q389" s="1713"/>
      <c r="R389" s="1713"/>
      <c r="S389" s="1713"/>
      <c r="T389" s="1713"/>
      <c r="U389" s="1713"/>
      <c r="V389" s="1713"/>
      <c r="W389" s="1713"/>
      <c r="X389" s="1713"/>
      <c r="Y389" s="1713"/>
      <c r="Z389" s="1713"/>
      <c r="AA389" s="1713"/>
      <c r="AB389" s="1713"/>
      <c r="AC389" s="1713"/>
      <c r="AD389" s="1713"/>
      <c r="AE389" s="1713"/>
      <c r="AF389" s="1713"/>
      <c r="AG389" s="1713"/>
      <c r="AH389" s="1713"/>
      <c r="AI389" s="1713"/>
      <c r="AJ389" s="1713"/>
      <c r="AK389" s="1713"/>
      <c r="AL389" s="669"/>
    </row>
    <row r="390" spans="1:38" s="709" customFormat="1">
      <c r="A390" s="669"/>
      <c r="B390" s="183"/>
      <c r="C390" s="669"/>
      <c r="D390" s="669"/>
      <c r="E390" s="670"/>
      <c r="F390" s="1713"/>
      <c r="G390" s="1713"/>
      <c r="H390" s="1713"/>
      <c r="I390" s="1713"/>
      <c r="J390" s="1713"/>
      <c r="K390" s="1713"/>
      <c r="L390" s="1713"/>
      <c r="M390" s="1713"/>
      <c r="N390" s="1713"/>
      <c r="O390" s="1713"/>
      <c r="P390" s="1713"/>
      <c r="Q390" s="1713"/>
      <c r="R390" s="1713"/>
      <c r="S390" s="1713"/>
      <c r="T390" s="1713"/>
      <c r="U390" s="1713"/>
      <c r="V390" s="1713"/>
      <c r="W390" s="1713"/>
      <c r="X390" s="1713"/>
      <c r="Y390" s="1713"/>
      <c r="Z390" s="1713"/>
      <c r="AA390" s="1713"/>
      <c r="AB390" s="1713"/>
      <c r="AC390" s="1713"/>
      <c r="AD390" s="1713"/>
      <c r="AE390" s="1713"/>
      <c r="AF390" s="1713"/>
      <c r="AG390" s="1713"/>
      <c r="AH390" s="1713"/>
      <c r="AI390" s="1713"/>
      <c r="AJ390" s="1713"/>
      <c r="AK390" s="1713"/>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444</v>
      </c>
      <c r="E392" s="5" t="s">
        <v>1450</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1449</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1312</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jBxNlI8BG08CDDwrZ4ItuBGv3LPN50SzAdgo3SCVbxLmqhpDPvGCdDcVtzCzRf/aKEEETA89p1gx8Bc/RyZKiQ==" saltValue="3LTeVu8EyDkPIx7hHEsNR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15"/>
  <sheetViews>
    <sheetView showGridLines="0" topLeftCell="A12" zoomScale="80" zoomScaleNormal="80" workbookViewId="0">
      <selection activeCell="S18" sqref="S18"/>
    </sheetView>
  </sheetViews>
  <sheetFormatPr defaultColWidth="9.109375" defaultRowHeight="13.8"/>
  <cols>
    <col min="1" max="1" width="2.44140625" style="1624" customWidth="1"/>
    <col min="2" max="9" width="14.6640625" style="1624" customWidth="1"/>
    <col min="10" max="10" width="2.33203125" style="1624" customWidth="1"/>
    <col min="11" max="11" width="11.88671875" style="1623" customWidth="1"/>
    <col min="12" max="12" width="10.6640625" style="1624" customWidth="1"/>
    <col min="13" max="13" width="10.44140625" style="1624" customWidth="1"/>
    <col min="14" max="14" width="10.88671875" style="1624" customWidth="1"/>
    <col min="15" max="16384" width="9.109375" style="1624"/>
  </cols>
  <sheetData>
    <row r="1" spans="1:13" ht="30" customHeight="1">
      <c r="A1" s="3150" t="s">
        <v>1784</v>
      </c>
      <c r="B1" s="3150"/>
      <c r="C1" s="3150"/>
      <c r="D1" s="3150"/>
      <c r="E1" s="3150"/>
      <c r="F1" s="3150"/>
      <c r="G1" s="3150"/>
      <c r="H1" s="3150"/>
      <c r="I1" s="3150"/>
      <c r="J1" s="3150"/>
    </row>
    <row r="2" spans="1:13" ht="15" customHeight="1" thickBot="1">
      <c r="A2" s="1625"/>
      <c r="B2" s="1625"/>
      <c r="I2" s="1626"/>
      <c r="K2" s="1627"/>
    </row>
    <row r="3" spans="1:13" s="1635" customFormat="1" ht="20.100000000000001" customHeight="1">
      <c r="A3" s="1628"/>
      <c r="B3" s="1629"/>
      <c r="C3" s="1630"/>
      <c r="D3" s="1631"/>
      <c r="E3" s="1630"/>
      <c r="F3" s="1632" t="s">
        <v>2446</v>
      </c>
      <c r="G3" s="1630"/>
      <c r="H3" s="1633">
        <f>E16</f>
        <v>32463212</v>
      </c>
      <c r="I3" s="1634"/>
    </row>
    <row r="4" spans="1:13" s="1635" customFormat="1" ht="20.100000000000001" customHeight="1">
      <c r="B4" s="1636"/>
      <c r="D4" s="1637"/>
      <c r="F4" s="1638" t="s">
        <v>2448</v>
      </c>
      <c r="G4" s="1639" t="s">
        <v>2447</v>
      </c>
      <c r="H4" s="1640">
        <f>I16</f>
        <v>22697731.94886104</v>
      </c>
      <c r="I4" s="1641"/>
      <c r="K4" s="1642"/>
    </row>
    <row r="5" spans="1:13" s="1635" customFormat="1" ht="20.100000000000001" customHeight="1" thickBot="1">
      <c r="B5" s="1643"/>
      <c r="C5" s="1644"/>
      <c r="D5" s="1645"/>
      <c r="E5" s="1646"/>
      <c r="F5" s="1645" t="s">
        <v>2386</v>
      </c>
      <c r="G5" s="1647"/>
      <c r="H5" s="1537">
        <f>H3/H4</f>
        <v>1.4302403461782438</v>
      </c>
      <c r="I5" s="1648"/>
      <c r="K5" s="1642"/>
    </row>
    <row r="6" spans="1:13" s="1635" customFormat="1" ht="15" customHeight="1">
      <c r="B6" s="1649"/>
      <c r="C6" s="1650"/>
      <c r="F6" s="1651"/>
      <c r="K6" s="1642"/>
    </row>
    <row r="7" spans="1:13" s="1635" customFormat="1" ht="15" customHeight="1">
      <c r="E7" s="1652"/>
      <c r="F7" s="1651"/>
      <c r="K7" s="1653"/>
    </row>
    <row r="8" spans="1:13" s="1635" customFormat="1" ht="15" customHeight="1">
      <c r="A8" s="1654"/>
      <c r="B8" s="3151" t="s">
        <v>2384</v>
      </c>
      <c r="C8" s="3152"/>
      <c r="D8" s="3152"/>
      <c r="E8" s="3153"/>
      <c r="G8" s="3154" t="s">
        <v>2385</v>
      </c>
      <c r="H8" s="3155"/>
      <c r="I8" s="3156"/>
      <c r="K8" s="1653"/>
    </row>
    <row r="9" spans="1:13" ht="15" customHeight="1">
      <c r="A9" s="1625"/>
      <c r="B9" s="3149" t="s">
        <v>2425</v>
      </c>
      <c r="C9" s="3149"/>
      <c r="D9" s="3149"/>
      <c r="E9" s="1538">
        <f>G31</f>
        <v>4480000</v>
      </c>
      <c r="G9" s="3157" t="s">
        <v>2423</v>
      </c>
      <c r="H9" s="3157"/>
      <c r="I9" s="1655">
        <f>Application!AM564</f>
        <v>36361354.236821152</v>
      </c>
      <c r="K9" s="1656"/>
      <c r="M9" s="1657"/>
    </row>
    <row r="10" spans="1:13" ht="15" customHeight="1" thickBot="1">
      <c r="A10" s="1625"/>
      <c r="B10" s="3149" t="s">
        <v>2426</v>
      </c>
      <c r="C10" s="3149"/>
      <c r="D10" s="3149"/>
      <c r="E10" s="1655">
        <f>G40</f>
        <v>20565612</v>
      </c>
      <c r="G10" s="3157" t="s">
        <v>2387</v>
      </c>
      <c r="H10" s="3157"/>
      <c r="I10" s="1658">
        <f>'Basis &amp; Credits'!AB77</f>
        <v>0</v>
      </c>
      <c r="M10" s="1657"/>
    </row>
    <row r="11" spans="1:13" ht="15" customHeight="1">
      <c r="A11" s="1659"/>
      <c r="B11" s="3149" t="s">
        <v>2427</v>
      </c>
      <c r="C11" s="3149"/>
      <c r="D11" s="3149"/>
      <c r="E11" s="1655">
        <f>G49</f>
        <v>0</v>
      </c>
      <c r="G11" s="3157" t="s">
        <v>2438</v>
      </c>
      <c r="H11" s="3157"/>
      <c r="I11" s="1660">
        <f>I9+I10</f>
        <v>36361354.236821152</v>
      </c>
      <c r="M11" s="1657"/>
    </row>
    <row r="12" spans="1:13" ht="15" customHeight="1">
      <c r="A12" s="1661"/>
      <c r="B12" s="3149" t="s">
        <v>2428</v>
      </c>
      <c r="C12" s="3149"/>
      <c r="D12" s="3149"/>
      <c r="E12" s="1655">
        <f>G58</f>
        <v>160000</v>
      </c>
      <c r="G12" s="1662" t="s">
        <v>2463</v>
      </c>
      <c r="H12" s="1663"/>
      <c r="M12" s="1657"/>
    </row>
    <row r="13" spans="1:13" ht="15" customHeight="1">
      <c r="A13" s="1625"/>
      <c r="B13" s="3149" t="s">
        <v>2429</v>
      </c>
      <c r="C13" s="3149"/>
      <c r="D13" s="3149"/>
      <c r="E13" s="1664">
        <f>G83</f>
        <v>5465600</v>
      </c>
      <c r="G13" s="3158" t="s">
        <v>144</v>
      </c>
      <c r="H13" s="3158"/>
      <c r="I13" s="1539">
        <f>15%*(Application!AJ977&gt;0)</f>
        <v>0.15</v>
      </c>
      <c r="M13" s="1657"/>
    </row>
    <row r="14" spans="1:13" ht="15" customHeight="1">
      <c r="A14" s="1625"/>
      <c r="B14" s="3149" t="s">
        <v>2430</v>
      </c>
      <c r="C14" s="3149"/>
      <c r="D14" s="3149"/>
      <c r="E14" s="1655">
        <f>IF(G96&gt;G106,G96,0)</f>
        <v>0</v>
      </c>
      <c r="G14" s="1665" t="s">
        <v>2439</v>
      </c>
      <c r="H14" s="1665"/>
      <c r="I14" s="1539">
        <f>IF(Application!AJ1011&gt;0,10%,IF(Application!AJ1015&gt;0,5%,0))</f>
        <v>0</v>
      </c>
      <c r="M14" s="1657"/>
    </row>
    <row r="15" spans="1:13" ht="15" customHeight="1" thickBot="1">
      <c r="A15" s="1625"/>
      <c r="B15" s="3143" t="s">
        <v>2449</v>
      </c>
      <c r="C15" s="3143"/>
      <c r="D15" s="3143"/>
      <c r="E15" s="1666">
        <f>IF(E14&gt;0,0,G106)</f>
        <v>1792000</v>
      </c>
      <c r="G15" s="3144" t="s">
        <v>2440</v>
      </c>
      <c r="H15" s="3145"/>
      <c r="I15" s="1540">
        <f>G114</f>
        <v>0.22577319587628866</v>
      </c>
      <c r="M15" s="1657"/>
    </row>
    <row r="16" spans="1:13" ht="15" customHeight="1">
      <c r="A16" s="1625"/>
      <c r="B16" s="3146" t="s">
        <v>2383</v>
      </c>
      <c r="C16" s="3146"/>
      <c r="D16" s="3146"/>
      <c r="E16" s="1541">
        <f>SUM(E9:E15)</f>
        <v>32463212</v>
      </c>
      <c r="G16" s="1667" t="s">
        <v>2424</v>
      </c>
      <c r="H16" s="1667"/>
      <c r="I16" s="1668">
        <f>I11-((I11*I13)+(I11*I14)+(I11*I15))</f>
        <v>22697731.94886104</v>
      </c>
    </row>
    <row r="17" spans="1:20" ht="15" customHeight="1">
      <c r="A17" s="1625"/>
      <c r="B17" s="1625"/>
      <c r="E17" s="1669"/>
      <c r="H17" s="1670"/>
      <c r="I17" s="1671"/>
    </row>
    <row r="18" spans="1:20" ht="15" customHeight="1">
      <c r="B18" s="1672" t="str">
        <f>B9</f>
        <v>A. Unit Production Benefit</v>
      </c>
      <c r="C18" s="1673"/>
      <c r="D18" s="1673"/>
      <c r="E18" s="1673"/>
      <c r="F18" s="1673"/>
      <c r="G18" s="1673"/>
      <c r="H18" s="1673"/>
      <c r="I18" s="1674"/>
      <c r="M18" s="1669">
        <f>SUM(Cdlac[Quantity])</f>
        <v>72</v>
      </c>
      <c r="O18" s="1675" t="s">
        <v>606</v>
      </c>
      <c r="P18" s="1624">
        <f>MATCH(Application!T189,Application!BP670:BP727,0)</f>
        <v>38</v>
      </c>
      <c r="S18" s="1669">
        <f>SUM(Cdlac[Population])</f>
        <v>0</v>
      </c>
    </row>
    <row r="19" spans="1:20" ht="15" customHeight="1">
      <c r="A19" s="1625"/>
      <c r="B19" s="1625"/>
      <c r="I19" s="1676"/>
      <c r="L19" s="1624" t="s">
        <v>2379</v>
      </c>
      <c r="M19" s="1624" t="s">
        <v>2378</v>
      </c>
      <c r="N19" s="1624" t="s">
        <v>2392</v>
      </c>
      <c r="O19" s="1624" t="s">
        <v>2393</v>
      </c>
      <c r="P19" s="1624" t="s">
        <v>2380</v>
      </c>
      <c r="Q19" s="1624" t="s">
        <v>2381</v>
      </c>
      <c r="R19" s="1624" t="s">
        <v>2394</v>
      </c>
      <c r="S19" s="1624" t="s">
        <v>2400</v>
      </c>
      <c r="T19" s="1624" t="s">
        <v>398</v>
      </c>
    </row>
    <row r="20" spans="1:20" ht="15" customHeight="1">
      <c r="A20" s="1661"/>
      <c r="C20" s="3147" t="s">
        <v>2442</v>
      </c>
      <c r="D20" s="3147" t="s">
        <v>2443</v>
      </c>
      <c r="E20" s="3147" t="s">
        <v>2444</v>
      </c>
      <c r="F20" s="3147" t="s">
        <v>2445</v>
      </c>
      <c r="G20" s="3147" t="s">
        <v>2441</v>
      </c>
      <c r="H20" s="1677"/>
      <c r="I20" s="1676"/>
      <c r="L20" s="1624">
        <f>IFERROR(MIN(4,MATCH(Application!B728,UnitSizes,0)-1),"")</f>
        <v>0</v>
      </c>
      <c r="M20" s="1669">
        <f>Application!G728</f>
        <v>4</v>
      </c>
      <c r="N20" s="1542">
        <f>Application!AC728</f>
        <v>0.4</v>
      </c>
      <c r="O20" s="1542">
        <f>IF(Cdlac[[#This Row],[Quantity]]&gt;0,IF(Cdlac[[#This Row],[Federal]],30%,IF($G$36,40%,Cdlac[[#This Row],[iAMI]])),"")</f>
        <v>0.4</v>
      </c>
      <c r="P20" s="1669" cm="1">
        <f t="array" ref="P20">IF(Cdlac[[#This Row],[Quantity]]&gt;0,INDEX(TcacRents,$P$18,Cdlac[[#This Row],[Bedrooms]]+1)*Cdlac[[#This Row],[AMI]],"")</f>
        <v>1304.8000000000002</v>
      </c>
      <c r="Q20" s="1669" cm="1">
        <f t="array" ref="Q20">IF(Cdlac[[#This Row],[Quantity]]&gt;0,INDEX(HudFmrs,$P$18,Cdlac[[#This Row],[Bedrooms]]+1),"")</f>
        <v>2115</v>
      </c>
      <c r="R20" s="1669">
        <f>IF(Cdlac[[#This Row],[Quantity]]&gt;0,MAX(0,Cdlac[[#This Row],[Fair Market Rent]]-Cdlac[[#This Row],[Restricted Rent]]),"")</f>
        <v>810.19999999999982</v>
      </c>
      <c r="S20" s="1624">
        <f>IF(Cdlac[[#This Row],[Quantity]]&gt;0,AND(Application!AK728&lt;&gt;"N/A",Application!AK728&lt;&gt;"")*Cdlac[[#This Row],[Quantity]],"")</f>
        <v>0</v>
      </c>
      <c r="T20" s="1624" t="b">
        <f>AND('Subsidy Contract Calculation'!F4&gt;0,'Subsidy Contract Calculation'!C4="Federal",Cdlac[[#This Row],[Quantity]]&gt;0)</f>
        <v>0</v>
      </c>
    </row>
    <row r="21" spans="1:20" ht="15" customHeight="1">
      <c r="A21" s="1661"/>
      <c r="C21" s="3148"/>
      <c r="D21" s="3148"/>
      <c r="E21" s="3148"/>
      <c r="F21" s="3148"/>
      <c r="G21" s="3148"/>
      <c r="H21" s="1677"/>
      <c r="I21" s="1676"/>
      <c r="L21" s="1624">
        <f>IFERROR(MIN(4,MATCH(Application!B729,UnitSizes,0)-1),"")</f>
        <v>1</v>
      </c>
      <c r="M21" s="1669">
        <f>Application!G729</f>
        <v>17</v>
      </c>
      <c r="N21" s="1542">
        <f>Application!AC729</f>
        <v>0.4</v>
      </c>
      <c r="O21" s="1542">
        <f>IF(Cdlac[[#This Row],[Quantity]]&gt;0,IF(Cdlac[[#This Row],[Federal]],30%,IF($G$36,40%,Cdlac[[#This Row],[iAMI]])),"")</f>
        <v>0.4</v>
      </c>
      <c r="P21" s="1669" cm="1">
        <f t="array" ref="P21">IF(Cdlac[[#This Row],[Quantity]]&gt;0,INDEX(TcacRents,$P$18,Cdlac[[#This Row],[Bedrooms]]+1)*Cdlac[[#This Row],[AMI]],"")</f>
        <v>1398.4</v>
      </c>
      <c r="Q21" s="1669" cm="1">
        <f t="array" ref="Q21">IF(Cdlac[[#This Row],[Quantity]]&gt;0,INDEX(HudFmrs,$P$18,Cdlac[[#This Row],[Bedrooms]]+1),"")</f>
        <v>2631</v>
      </c>
      <c r="R21" s="1669">
        <f>IF(Cdlac[[#This Row],[Quantity]]&gt;0,MAX(0,Cdlac[[#This Row],[Fair Market Rent]]-Cdlac[[#This Row],[Restricted Rent]]),"")</f>
        <v>1232.5999999999999</v>
      </c>
      <c r="S21" s="1624">
        <f>IF(Cdlac[[#This Row],[Quantity]]&gt;0,AND(Application!AK729&lt;&gt;"N/A",Application!AK729&lt;&gt;"")*Cdlac[[#This Row],[Quantity]],"")</f>
        <v>0</v>
      </c>
      <c r="T21" s="1624" t="b">
        <f>AND('Subsidy Contract Calculation'!F5&gt;0,'Subsidy Contract Calculation'!C5="Federal",Cdlac[[#This Row],[Quantity]]&gt;0)</f>
        <v>0</v>
      </c>
    </row>
    <row r="22" spans="1:20" ht="15" customHeight="1">
      <c r="C22" s="1678">
        <v>0</v>
      </c>
      <c r="D22" s="1679">
        <v>0.9</v>
      </c>
      <c r="E22" s="1678">
        <f>SUMIFS(Cdlac[Quantity],Cdlac[Bedrooms],C22)</f>
        <v>4</v>
      </c>
      <c r="F22" s="1678">
        <f>E22</f>
        <v>4</v>
      </c>
      <c r="G22" s="1678">
        <f>D22*F22</f>
        <v>3.6</v>
      </c>
      <c r="L22" s="1624">
        <f>IFERROR(MIN(4,MATCH(Application!B730,UnitSizes,0)-1),"")</f>
        <v>2</v>
      </c>
      <c r="M22" s="1669">
        <f>Application!G730</f>
        <v>28</v>
      </c>
      <c r="N22" s="1542">
        <f>Application!AC730</f>
        <v>0.4</v>
      </c>
      <c r="O22" s="1542">
        <f>IF(Cdlac[[#This Row],[Quantity]]&gt;0,IF(Cdlac[[#This Row],[Federal]],30%,IF($G$36,40%,Cdlac[[#This Row],[iAMI]])),"")</f>
        <v>0.4</v>
      </c>
      <c r="P22" s="1669" cm="1">
        <f t="array" ref="P22">IF(Cdlac[[#This Row],[Quantity]]&gt;0,INDEX(TcacRents,$P$18,Cdlac[[#This Row],[Bedrooms]]+1)*Cdlac[[#This Row],[AMI]],"")</f>
        <v>1677.6000000000001</v>
      </c>
      <c r="Q22" s="1669" cm="1">
        <f t="array" ref="Q22">IF(Cdlac[[#This Row],[Quantity]]&gt;0,INDEX(HudFmrs,$P$18,Cdlac[[#This Row],[Bedrooms]]+1),"")</f>
        <v>3198</v>
      </c>
      <c r="R22" s="1669">
        <f>IF(Cdlac[[#This Row],[Quantity]]&gt;0,MAX(0,Cdlac[[#This Row],[Fair Market Rent]]-Cdlac[[#This Row],[Restricted Rent]]),"")</f>
        <v>1520.3999999999999</v>
      </c>
      <c r="S22" s="1624">
        <f>IF(Cdlac[[#This Row],[Quantity]]&gt;0,AND(Application!AK730&lt;&gt;"N/A",Application!AK730&lt;&gt;"")*Cdlac[[#This Row],[Quantity]],"")</f>
        <v>0</v>
      </c>
      <c r="T22" s="1624" t="b">
        <f>AND('Subsidy Contract Calculation'!F6&gt;0,'Subsidy Contract Calculation'!C6="Federal",Cdlac[[#This Row],[Quantity]]&gt;0)</f>
        <v>0</v>
      </c>
    </row>
    <row r="23" spans="1:20" ht="15" customHeight="1">
      <c r="C23" s="1678">
        <v>1</v>
      </c>
      <c r="D23" s="1679">
        <v>1</v>
      </c>
      <c r="E23" s="1678">
        <f>SUMIFS(Cdlac[Quantity],Cdlac[Bedrooms],C23)</f>
        <v>18</v>
      </c>
      <c r="F23" s="1678">
        <f>E23</f>
        <v>18</v>
      </c>
      <c r="G23" s="1678">
        <f t="shared" ref="G23:G26" si="0">D23*F23</f>
        <v>18</v>
      </c>
      <c r="L23" s="1624">
        <f>IFERROR(MIN(4,MATCH(Application!B731,UnitSizes,0)-1),"")</f>
        <v>3</v>
      </c>
      <c r="M23" s="1669">
        <f>Application!G731</f>
        <v>12</v>
      </c>
      <c r="N23" s="1542">
        <f>Application!AC731</f>
        <v>0.4</v>
      </c>
      <c r="O23" s="1542">
        <f>IF(Cdlac[[#This Row],[Quantity]]&gt;0,IF(Cdlac[[#This Row],[Federal]],30%,IF($G$36,40%,Cdlac[[#This Row],[iAMI]])),"")</f>
        <v>0.4</v>
      </c>
      <c r="P23" s="1669" cm="1">
        <f t="array" ref="P23">IF(Cdlac[[#This Row],[Quantity]]&gt;0,INDEX(TcacRents,$P$18,Cdlac[[#This Row],[Bedrooms]]+1)*Cdlac[[#This Row],[AMI]],"")</f>
        <v>1938.4</v>
      </c>
      <c r="Q23" s="1669" cm="1">
        <f t="array" ref="Q23">IF(Cdlac[[#This Row],[Quantity]]&gt;0,INDEX(HudFmrs,$P$18,Cdlac[[#This Row],[Bedrooms]]+1),"")</f>
        <v>4111</v>
      </c>
      <c r="R23" s="1669">
        <f>IF(Cdlac[[#This Row],[Quantity]]&gt;0,MAX(0,Cdlac[[#This Row],[Fair Market Rent]]-Cdlac[[#This Row],[Restricted Rent]]),"")</f>
        <v>2172.6</v>
      </c>
      <c r="S23" s="1624">
        <f>IF(Cdlac[[#This Row],[Quantity]]&gt;0,AND(Application!AK731&lt;&gt;"N/A",Application!AK731&lt;&gt;"")*Cdlac[[#This Row],[Quantity]],"")</f>
        <v>0</v>
      </c>
      <c r="T23" s="1624" t="b">
        <f>AND('Subsidy Contract Calculation'!F7&gt;0,'Subsidy Contract Calculation'!C7="Federal",Cdlac[[#This Row],[Quantity]]&gt;0)</f>
        <v>0</v>
      </c>
    </row>
    <row r="24" spans="1:20" ht="15" customHeight="1">
      <c r="A24" s="1680"/>
      <c r="C24" s="1681">
        <v>2</v>
      </c>
      <c r="D24" s="1679">
        <v>1.25</v>
      </c>
      <c r="E24" s="1678">
        <f>SUMIFS(Cdlac[Quantity],Cdlac[Bedrooms],C24)</f>
        <v>31</v>
      </c>
      <c r="F24" s="1681">
        <f>SUM(E24:E26)-SUM(F25:F26)</f>
        <v>31</v>
      </c>
      <c r="G24" s="1678">
        <f t="shared" si="0"/>
        <v>38.75</v>
      </c>
      <c r="H24" s="1680"/>
      <c r="I24" s="1680"/>
      <c r="L24" s="1624">
        <f>IFERROR(MIN(4,MATCH(Application!B732,UnitSizes,0)-1),"")</f>
        <v>4</v>
      </c>
      <c r="M24" s="1669">
        <f>Application!G732</f>
        <v>2</v>
      </c>
      <c r="N24" s="1542">
        <f>Application!AC732</f>
        <v>0.4</v>
      </c>
      <c r="O24" s="1542">
        <f>IF(Cdlac[[#This Row],[Quantity]]&gt;0,IF(Cdlac[[#This Row],[Federal]],30%,IF($G$36,40%,Cdlac[[#This Row],[iAMI]])),"")</f>
        <v>0.4</v>
      </c>
      <c r="P24" s="1669" cm="1">
        <f t="array" ref="P24">IF(Cdlac[[#This Row],[Quantity]]&gt;0,INDEX(TcacRents,$P$18,Cdlac[[#This Row],[Bedrooms]]+1)*Cdlac[[#This Row],[AMI]],"")</f>
        <v>2162.4</v>
      </c>
      <c r="Q24" s="1669" cm="1">
        <f t="array" ref="Q24">IF(Cdlac[[#This Row],[Quantity]]&gt;0,INDEX(HudFmrs,$P$18,Cdlac[[#This Row],[Bedrooms]]+1),"")</f>
        <v>4473</v>
      </c>
      <c r="R24" s="1669">
        <f>IF(Cdlac[[#This Row],[Quantity]]&gt;0,MAX(0,Cdlac[[#This Row],[Fair Market Rent]]-Cdlac[[#This Row],[Restricted Rent]]),"")</f>
        <v>2310.6</v>
      </c>
      <c r="S24" s="1624">
        <f>IF(Cdlac[[#This Row],[Quantity]]&gt;0,AND(Application!AK732&lt;&gt;"N/A",Application!AK732&lt;&gt;"")*Cdlac[[#This Row],[Quantity]],"")</f>
        <v>0</v>
      </c>
      <c r="T24" s="1624" t="b">
        <f>AND('Subsidy Contract Calculation'!F8&gt;0,'Subsidy Contract Calculation'!C8="Federal",Cdlac[[#This Row],[Quantity]]&gt;0)</f>
        <v>0</v>
      </c>
    </row>
    <row r="25" spans="1:20" ht="15" customHeight="1">
      <c r="A25" s="1680"/>
      <c r="C25" s="1681">
        <v>3</v>
      </c>
      <c r="D25" s="1679">
        <f>1.5+0.25*0</f>
        <v>1.5</v>
      </c>
      <c r="E25" s="1678">
        <f>SUMIFS(Cdlac[Quantity],Cdlac[Bedrooms],C25)</f>
        <v>16</v>
      </c>
      <c r="F25" s="1681">
        <f>MIN(E25,ROUNDDOWN(E27*30%,0))</f>
        <v>16</v>
      </c>
      <c r="G25" s="1678">
        <f t="shared" si="0"/>
        <v>24</v>
      </c>
      <c r="H25" s="1680"/>
      <c r="I25" s="1680"/>
      <c r="L25" s="1624">
        <f>IFERROR(MIN(4,MATCH(Application!B733,UnitSizes,0)-1),"")</f>
        <v>4</v>
      </c>
      <c r="M25" s="1669">
        <f>Application!G733</f>
        <v>1</v>
      </c>
      <c r="N25" s="1542">
        <f>Application!AC733</f>
        <v>0.4</v>
      </c>
      <c r="O25" s="1542">
        <f>IF(Cdlac[[#This Row],[Quantity]]&gt;0,IF(Cdlac[[#This Row],[Federal]],30%,IF($G$36,40%,Cdlac[[#This Row],[iAMI]])),"")</f>
        <v>0.4</v>
      </c>
      <c r="P25" s="1669" cm="1">
        <f t="array" ref="P25">IF(Cdlac[[#This Row],[Quantity]]&gt;0,INDEX(TcacRents,$P$18,Cdlac[[#This Row],[Bedrooms]]+1)*Cdlac[[#This Row],[AMI]],"")</f>
        <v>2162.4</v>
      </c>
      <c r="Q25" s="1669" cm="1">
        <f t="array" ref="Q25">IF(Cdlac[[#This Row],[Quantity]]&gt;0,INDEX(HudFmrs,$P$18,Cdlac[[#This Row],[Bedrooms]]+1),"")</f>
        <v>4473</v>
      </c>
      <c r="R25" s="1669">
        <f>IF(Cdlac[[#This Row],[Quantity]]&gt;0,MAX(0,Cdlac[[#This Row],[Fair Market Rent]]-Cdlac[[#This Row],[Restricted Rent]]),"")</f>
        <v>2310.6</v>
      </c>
      <c r="S25" s="1624">
        <f>IF(Cdlac[[#This Row],[Quantity]]&gt;0,AND(Application!AK733&lt;&gt;"N/A",Application!AK733&lt;&gt;"")*Cdlac[[#This Row],[Quantity]],"")</f>
        <v>0</v>
      </c>
      <c r="T25" s="1624" t="b">
        <f>AND('Subsidy Contract Calculation'!F9&gt;0,'Subsidy Contract Calculation'!C9="Federal",Cdlac[[#This Row],[Quantity]]&gt;0)</f>
        <v>0</v>
      </c>
    </row>
    <row r="26" spans="1:20" ht="15" customHeight="1" thickBot="1">
      <c r="A26" s="1680"/>
      <c r="C26" s="1682">
        <v>4</v>
      </c>
      <c r="D26" s="1683">
        <f>1.75+0.25*0</f>
        <v>1.75</v>
      </c>
      <c r="E26" s="1684">
        <f>SUMIFS(Cdlac[Quantity],Cdlac[Bedrooms],C26)</f>
        <v>3</v>
      </c>
      <c r="F26" s="1682">
        <f>MIN(E26,ROUNDDOWN(E27*10%,0))</f>
        <v>3</v>
      </c>
      <c r="G26" s="1684">
        <f t="shared" si="0"/>
        <v>5.25</v>
      </c>
      <c r="H26" s="1680"/>
      <c r="I26" s="1680"/>
      <c r="L26" s="1624">
        <f>IFERROR(MIN(4,MATCH(Application!B734,UnitSizes,0)-1),"")</f>
        <v>1</v>
      </c>
      <c r="M26" s="1669">
        <f>Application!G734</f>
        <v>1</v>
      </c>
      <c r="N26" s="1542">
        <f>Application!AC734</f>
        <v>0.3</v>
      </c>
      <c r="O26" s="1542">
        <f>IF(Cdlac[[#This Row],[Quantity]]&gt;0,IF(Cdlac[[#This Row],[Federal]],30%,IF($G$36,40%,Cdlac[[#This Row],[iAMI]])),"")</f>
        <v>0.4</v>
      </c>
      <c r="P26" s="1669" cm="1">
        <f t="array" ref="P26">IF(Cdlac[[#This Row],[Quantity]]&gt;0,INDEX(TcacRents,$P$18,Cdlac[[#This Row],[Bedrooms]]+1)*Cdlac[[#This Row],[AMI]],"")</f>
        <v>1398.4</v>
      </c>
      <c r="Q26" s="1669" cm="1">
        <f t="array" ref="Q26">IF(Cdlac[[#This Row],[Quantity]]&gt;0,INDEX(HudFmrs,$P$18,Cdlac[[#This Row],[Bedrooms]]+1),"")</f>
        <v>2631</v>
      </c>
      <c r="R26" s="1669">
        <f>IF(Cdlac[[#This Row],[Quantity]]&gt;0,MAX(0,Cdlac[[#This Row],[Fair Market Rent]]-Cdlac[[#This Row],[Restricted Rent]]),"")</f>
        <v>1232.5999999999999</v>
      </c>
      <c r="S26" s="1624">
        <f>IF(Cdlac[[#This Row],[Quantity]]&gt;0,AND(Application!AK734&lt;&gt;"N/A",Application!AK734&lt;&gt;"")*Cdlac[[#This Row],[Quantity]],"")</f>
        <v>0</v>
      </c>
      <c r="T26" s="1624" t="b">
        <f>AND('Subsidy Contract Calculation'!F10&gt;0,'Subsidy Contract Calculation'!C10="Federal",Cdlac[[#This Row],[Quantity]]&gt;0)</f>
        <v>0</v>
      </c>
    </row>
    <row r="27" spans="1:20" ht="15" customHeight="1">
      <c r="A27" s="1680"/>
      <c r="C27" s="3131" t="s">
        <v>1785</v>
      </c>
      <c r="D27" s="3132"/>
      <c r="E27" s="1685">
        <f>SUM(E22:E26)</f>
        <v>72</v>
      </c>
      <c r="F27" s="1685">
        <f>SUM(F22:F26)</f>
        <v>72</v>
      </c>
      <c r="G27" s="1686">
        <f>SUMPRODUCT(D22:D26,F22:F26)</f>
        <v>89.6</v>
      </c>
      <c r="H27" s="1680"/>
      <c r="I27" s="1680"/>
      <c r="L27" s="1624">
        <f>IFERROR(MIN(4,MATCH(Application!B735,UnitSizes,0)-1),"")</f>
        <v>2</v>
      </c>
      <c r="M27" s="1669">
        <f>Application!G735</f>
        <v>3</v>
      </c>
      <c r="N27" s="1542">
        <f>Application!AC735</f>
        <v>0.3</v>
      </c>
      <c r="O27" s="1542">
        <f>IF(Cdlac[[#This Row],[Quantity]]&gt;0,IF(Cdlac[[#This Row],[Federal]],30%,IF($G$36,40%,Cdlac[[#This Row],[iAMI]])),"")</f>
        <v>0.4</v>
      </c>
      <c r="P27" s="1669" cm="1">
        <f t="array" ref="P27">IF(Cdlac[[#This Row],[Quantity]]&gt;0,INDEX(TcacRents,$P$18,Cdlac[[#This Row],[Bedrooms]]+1)*Cdlac[[#This Row],[AMI]],"")</f>
        <v>1677.6000000000001</v>
      </c>
      <c r="Q27" s="1669" cm="1">
        <f t="array" ref="Q27">IF(Cdlac[[#This Row],[Quantity]]&gt;0,INDEX(HudFmrs,$P$18,Cdlac[[#This Row],[Bedrooms]]+1),"")</f>
        <v>3198</v>
      </c>
      <c r="R27" s="1669">
        <f>IF(Cdlac[[#This Row],[Quantity]]&gt;0,MAX(0,Cdlac[[#This Row],[Fair Market Rent]]-Cdlac[[#This Row],[Restricted Rent]]),"")</f>
        <v>1520.3999999999999</v>
      </c>
      <c r="S27" s="1624">
        <f>IF(Cdlac[[#This Row],[Quantity]]&gt;0,AND(Application!AK735&lt;&gt;"N/A",Application!AK735&lt;&gt;"")*Cdlac[[#This Row],[Quantity]],"")</f>
        <v>0</v>
      </c>
      <c r="T27" s="1624" t="b">
        <f>AND('Subsidy Contract Calculation'!F11&gt;0,'Subsidy Contract Calculation'!C11="Federal",Cdlac[[#This Row],[Quantity]]&gt;0)</f>
        <v>0</v>
      </c>
    </row>
    <row r="28" spans="1:20" ht="15" customHeight="1">
      <c r="A28" s="1680"/>
      <c r="C28" s="1680"/>
      <c r="D28" s="1680"/>
      <c r="E28" s="1680"/>
      <c r="F28" s="1680"/>
      <c r="G28" s="1680"/>
      <c r="H28" s="1680"/>
      <c r="I28" s="1680"/>
      <c r="L28" s="1624">
        <f>IFERROR(MIN(4,MATCH(Application!B736,UnitSizes,0)-1),"")</f>
        <v>3</v>
      </c>
      <c r="M28" s="1669">
        <f>Application!G736</f>
        <v>4</v>
      </c>
      <c r="N28" s="1542">
        <f>Application!AC736</f>
        <v>0.3</v>
      </c>
      <c r="O28" s="1542">
        <f>IF(Cdlac[[#This Row],[Quantity]]&gt;0,IF(Cdlac[[#This Row],[Federal]],30%,IF($G$36,40%,Cdlac[[#This Row],[iAMI]])),"")</f>
        <v>0.4</v>
      </c>
      <c r="P28" s="1669" cm="1">
        <f t="array" ref="P28">IF(Cdlac[[#This Row],[Quantity]]&gt;0,INDEX(TcacRents,$P$18,Cdlac[[#This Row],[Bedrooms]]+1)*Cdlac[[#This Row],[AMI]],"")</f>
        <v>1938.4</v>
      </c>
      <c r="Q28" s="1669" cm="1">
        <f t="array" ref="Q28">IF(Cdlac[[#This Row],[Quantity]]&gt;0,INDEX(HudFmrs,$P$18,Cdlac[[#This Row],[Bedrooms]]+1),"")</f>
        <v>4111</v>
      </c>
      <c r="R28" s="1669">
        <f>IF(Cdlac[[#This Row],[Quantity]]&gt;0,MAX(0,Cdlac[[#This Row],[Fair Market Rent]]-Cdlac[[#This Row],[Restricted Rent]]),"")</f>
        <v>2172.6</v>
      </c>
      <c r="S28" s="1624">
        <f>IF(Cdlac[[#This Row],[Quantity]]&gt;0,AND(Application!AK736&lt;&gt;"N/A",Application!AK736&lt;&gt;"")*Cdlac[[#This Row],[Quantity]],"")</f>
        <v>0</v>
      </c>
      <c r="T28" s="1624" t="b">
        <f>AND('Subsidy Contract Calculation'!F12&gt;0,'Subsidy Contract Calculation'!C12="Federal",Cdlac[[#This Row],[Quantity]]&gt;0)</f>
        <v>0</v>
      </c>
    </row>
    <row r="29" spans="1:20" ht="15" customHeight="1">
      <c r="A29" s="1680"/>
      <c r="E29" s="1687" t="s">
        <v>2441</v>
      </c>
      <c r="G29" s="1688">
        <f>G27</f>
        <v>89.6</v>
      </c>
      <c r="H29" s="1680"/>
      <c r="I29" s="1680"/>
      <c r="L29" s="1624" t="str">
        <f>IFERROR(MIN(4,MATCH(Application!B737,UnitSizes,0)-1),"")</f>
        <v/>
      </c>
      <c r="M29" s="1669">
        <f>Application!G737</f>
        <v>0</v>
      </c>
      <c r="N29" s="1542">
        <f>Application!AC737</f>
        <v>0</v>
      </c>
      <c r="O29" s="1542" t="str">
        <f>IF(Cdlac[[#This Row],[Quantity]]&gt;0,IF(Cdlac[[#This Row],[Federal]],30%,IF($G$36,40%,Cdlac[[#This Row],[iAMI]])),"")</f>
        <v/>
      </c>
      <c r="P29" s="1669" t="str" cm="1">
        <f t="array" ref="P29">IF(Cdlac[[#This Row],[Quantity]]&gt;0,INDEX(TcacRents,$P$18,Cdlac[[#This Row],[Bedrooms]]+1)*Cdlac[[#This Row],[AMI]],"")</f>
        <v/>
      </c>
      <c r="Q29" s="1669" t="str" cm="1">
        <f t="array" ref="Q29">IF(Cdlac[[#This Row],[Quantity]]&gt;0,INDEX(HudFmrs,$P$18,Cdlac[[#This Row],[Bedrooms]]+1),"")</f>
        <v/>
      </c>
      <c r="R29" s="1669" t="str">
        <f>IF(Cdlac[[#This Row],[Quantity]]&gt;0,MAX(0,Cdlac[[#This Row],[Fair Market Rent]]-Cdlac[[#This Row],[Restricted Rent]]),"")</f>
        <v/>
      </c>
      <c r="S29" s="1624" t="str">
        <f>IF(Cdlac[[#This Row],[Quantity]]&gt;0,AND(Application!AK737&lt;&gt;"N/A",Application!AK737&lt;&gt;"")*Cdlac[[#This Row],[Quantity]],"")</f>
        <v/>
      </c>
      <c r="T29" s="1624" t="b">
        <f>AND('Subsidy Contract Calculation'!F13&gt;0,'Subsidy Contract Calculation'!C13="Federal",Cdlac[[#This Row],[Quantity]]&gt;0)</f>
        <v>0</v>
      </c>
    </row>
    <row r="30" spans="1:20" ht="15" customHeight="1">
      <c r="A30" s="1680"/>
      <c r="E30" s="1687" t="s">
        <v>2391</v>
      </c>
      <c r="F30" s="1689" t="s">
        <v>2450</v>
      </c>
      <c r="G30" s="1543">
        <v>50000</v>
      </c>
      <c r="H30" s="1680"/>
      <c r="I30" s="1680"/>
      <c r="L30" s="1624" t="str">
        <f>IFERROR(MIN(4,MATCH(Application!B738,UnitSizes,0)-1),"")</f>
        <v/>
      </c>
      <c r="M30" s="1669">
        <f>Application!G738</f>
        <v>0</v>
      </c>
      <c r="N30" s="1542">
        <f>Application!AC738</f>
        <v>0</v>
      </c>
      <c r="O30" s="1542" t="str">
        <f>IF(Cdlac[[#This Row],[Quantity]]&gt;0,IF(Cdlac[[#This Row],[Federal]],30%,IF($G$36,40%,Cdlac[[#This Row],[iAMI]])),"")</f>
        <v/>
      </c>
      <c r="P30" s="1669" t="str" cm="1">
        <f t="array" ref="P30">IF(Cdlac[[#This Row],[Quantity]]&gt;0,INDEX(TcacRents,$P$18,Cdlac[[#This Row],[Bedrooms]]+1)*Cdlac[[#This Row],[AMI]],"")</f>
        <v/>
      </c>
      <c r="Q30" s="1669" t="str" cm="1">
        <f t="array" ref="Q30">IF(Cdlac[[#This Row],[Quantity]]&gt;0,INDEX(HudFmrs,$P$18,Cdlac[[#This Row],[Bedrooms]]+1),"")</f>
        <v/>
      </c>
      <c r="R30" s="1669" t="str">
        <f>IF(Cdlac[[#This Row],[Quantity]]&gt;0,MAX(0,Cdlac[[#This Row],[Fair Market Rent]]-Cdlac[[#This Row],[Restricted Rent]]),"")</f>
        <v/>
      </c>
      <c r="S30" s="1624" t="str">
        <f>IF(Cdlac[[#This Row],[Quantity]]&gt;0,AND(Application!AK738&lt;&gt;"N/A",Application!AK738&lt;&gt;"")*Cdlac[[#This Row],[Quantity]],"")</f>
        <v/>
      </c>
      <c r="T30" s="1624" t="b">
        <f>AND('Subsidy Contract Calculation'!F14&gt;0,'Subsidy Contract Calculation'!C14="Federal",Cdlac[[#This Row],[Quantity]]&gt;0)</f>
        <v>0</v>
      </c>
    </row>
    <row r="31" spans="1:20" ht="15" customHeight="1">
      <c r="A31" s="1680"/>
      <c r="E31" s="1690" t="s">
        <v>2434</v>
      </c>
      <c r="F31" s="1625"/>
      <c r="G31" s="1544">
        <f>G30*G29</f>
        <v>4480000</v>
      </c>
      <c r="H31" s="1680"/>
      <c r="I31" s="1680"/>
      <c r="L31" s="1624" t="str">
        <f>IFERROR(MIN(4,MATCH(Application!B739,UnitSizes,0)-1),"")</f>
        <v/>
      </c>
      <c r="M31" s="1669">
        <f>Application!G739</f>
        <v>0</v>
      </c>
      <c r="N31" s="1542">
        <f>Application!AC739</f>
        <v>0</v>
      </c>
      <c r="O31" s="1542" t="str">
        <f>IF(Cdlac[[#This Row],[Quantity]]&gt;0,IF(Cdlac[[#This Row],[Federal]],30%,IF($G$36,40%,Cdlac[[#This Row],[iAMI]])),"")</f>
        <v/>
      </c>
      <c r="P31" s="1669" t="str" cm="1">
        <f t="array" ref="P31">IF(Cdlac[[#This Row],[Quantity]]&gt;0,INDEX(TcacRents,$P$18,Cdlac[[#This Row],[Bedrooms]]+1)*Cdlac[[#This Row],[AMI]],"")</f>
        <v/>
      </c>
      <c r="Q31" s="1669" t="str" cm="1">
        <f t="array" ref="Q31">IF(Cdlac[[#This Row],[Quantity]]&gt;0,INDEX(HudFmrs,$P$18,Cdlac[[#This Row],[Bedrooms]]+1),"")</f>
        <v/>
      </c>
      <c r="R31" s="1669" t="str">
        <f>IF(Cdlac[[#This Row],[Quantity]]&gt;0,MAX(0,Cdlac[[#This Row],[Fair Market Rent]]-Cdlac[[#This Row],[Restricted Rent]]),"")</f>
        <v/>
      </c>
      <c r="S31" s="1624" t="str">
        <f>IF(Cdlac[[#This Row],[Quantity]]&gt;0,AND(Application!AK739&lt;&gt;"N/A",Application!AK739&lt;&gt;"")*Cdlac[[#This Row],[Quantity]],"")</f>
        <v/>
      </c>
      <c r="T31" s="1624" t="b">
        <f>AND('Subsidy Contract Calculation'!F15&gt;0,'Subsidy Contract Calculation'!C15="Federal",Cdlac[[#This Row],[Quantity]]&gt;0)</f>
        <v>0</v>
      </c>
    </row>
    <row r="32" spans="1:20" ht="15" customHeight="1">
      <c r="A32" s="1680"/>
      <c r="B32" s="1680"/>
      <c r="C32" s="1680"/>
      <c r="D32" s="1680"/>
      <c r="E32" s="1680"/>
      <c r="F32" s="1680"/>
      <c r="G32" s="1680"/>
      <c r="H32" s="1680"/>
      <c r="I32" s="1680"/>
      <c r="L32" s="1624" t="str">
        <f>IFERROR(MIN(4,MATCH(Application!B740,UnitSizes,0)-1),"")</f>
        <v/>
      </c>
      <c r="M32" s="1669">
        <f>Application!G740</f>
        <v>0</v>
      </c>
      <c r="N32" s="1542">
        <f>Application!AC740</f>
        <v>0</v>
      </c>
      <c r="O32" s="1542" t="str">
        <f>IF(Cdlac[[#This Row],[Quantity]]&gt;0,IF(Cdlac[[#This Row],[Federal]],30%,IF($G$36,40%,Cdlac[[#This Row],[iAMI]])),"")</f>
        <v/>
      </c>
      <c r="P32" s="1669" t="str" cm="1">
        <f t="array" ref="P32">IF(Cdlac[[#This Row],[Quantity]]&gt;0,INDEX(TcacRents,$P$18,Cdlac[[#This Row],[Bedrooms]]+1)*Cdlac[[#This Row],[AMI]],"")</f>
        <v/>
      </c>
      <c r="Q32" s="1669" t="str" cm="1">
        <f t="array" ref="Q32">IF(Cdlac[[#This Row],[Quantity]]&gt;0,INDEX(HudFmrs,$P$18,Cdlac[[#This Row],[Bedrooms]]+1),"")</f>
        <v/>
      </c>
      <c r="R32" s="1669" t="str">
        <f>IF(Cdlac[[#This Row],[Quantity]]&gt;0,MAX(0,Cdlac[[#This Row],[Fair Market Rent]]-Cdlac[[#This Row],[Restricted Rent]]),"")</f>
        <v/>
      </c>
      <c r="S32" s="1624" t="str">
        <f>IF(Cdlac[[#This Row],[Quantity]]&gt;0,AND(Application!AK740&lt;&gt;"N/A",Application!AK740&lt;&gt;"")*Cdlac[[#This Row],[Quantity]],"")</f>
        <v/>
      </c>
      <c r="T32" s="1624" t="b">
        <f>AND('Subsidy Contract Calculation'!F16&gt;0,'Subsidy Contract Calculation'!C16="Federal",Cdlac[[#This Row],[Quantity]]&gt;0)</f>
        <v>0</v>
      </c>
    </row>
    <row r="33" spans="2:20" ht="15" customHeight="1">
      <c r="B33" s="1672" t="str">
        <f>B10</f>
        <v>B. Rent Savings Benefit</v>
      </c>
      <c r="C33" s="1673"/>
      <c r="D33" s="1673"/>
      <c r="E33" s="1673"/>
      <c r="F33" s="1673"/>
      <c r="G33" s="1673"/>
      <c r="H33" s="1673"/>
      <c r="I33" s="1674"/>
      <c r="L33" s="1624" t="str">
        <f>IFERROR(MIN(4,MATCH(Application!B741,UnitSizes,0)-1),"")</f>
        <v/>
      </c>
      <c r="M33" s="1669">
        <f>Application!G741</f>
        <v>0</v>
      </c>
      <c r="N33" s="1542">
        <f>Application!AC741</f>
        <v>0</v>
      </c>
      <c r="O33" s="1542" t="str">
        <f>IF(Cdlac[[#This Row],[Quantity]]&gt;0,IF(Cdlac[[#This Row],[Federal]],30%,IF($G$36,40%,Cdlac[[#This Row],[iAMI]])),"")</f>
        <v/>
      </c>
      <c r="P33" s="1669" t="str" cm="1">
        <f t="array" ref="P33">IF(Cdlac[[#This Row],[Quantity]]&gt;0,INDEX(TcacRents,$P$18,Cdlac[[#This Row],[Bedrooms]]+1)*Cdlac[[#This Row],[AMI]],"")</f>
        <v/>
      </c>
      <c r="Q33" s="1669" t="str" cm="1">
        <f t="array" ref="Q33">IF(Cdlac[[#This Row],[Quantity]]&gt;0,INDEX(HudFmrs,$P$18,Cdlac[[#This Row],[Bedrooms]]+1),"")</f>
        <v/>
      </c>
      <c r="R33" s="1669" t="str">
        <f>IF(Cdlac[[#This Row],[Quantity]]&gt;0,MAX(0,Cdlac[[#This Row],[Fair Market Rent]]-Cdlac[[#This Row],[Restricted Rent]]),"")</f>
        <v/>
      </c>
      <c r="S33" s="1624" t="str">
        <f>IF(Cdlac[[#This Row],[Quantity]]&gt;0,AND(Application!AK741&lt;&gt;"N/A",Application!AK741&lt;&gt;"")*Cdlac[[#This Row],[Quantity]],"")</f>
        <v/>
      </c>
      <c r="T33" s="1624" t="b">
        <f>AND('Subsidy Contract Calculation'!F17&gt;0,'Subsidy Contract Calculation'!C17="Federal",Cdlac[[#This Row],[Quantity]]&gt;0)</f>
        <v>0</v>
      </c>
    </row>
    <row r="34" spans="2:20" ht="15" customHeight="1">
      <c r="L34" s="1624" t="str">
        <f>IFERROR(MIN(4,MATCH(Application!B742,UnitSizes,0)-1),"")</f>
        <v/>
      </c>
      <c r="M34" s="1669">
        <f>Application!G742</f>
        <v>0</v>
      </c>
      <c r="N34" s="1542">
        <f>Application!AC742</f>
        <v>0</v>
      </c>
      <c r="O34" s="1542" t="str">
        <f>IF(Cdlac[[#This Row],[Quantity]]&gt;0,IF(Cdlac[[#This Row],[Federal]],30%,IF($G$36,40%,Cdlac[[#This Row],[iAMI]])),"")</f>
        <v/>
      </c>
      <c r="P34" s="1669" t="str" cm="1">
        <f t="array" ref="P34">IF(Cdlac[[#This Row],[Quantity]]&gt;0,INDEX(TcacRents,$P$18,Cdlac[[#This Row],[Bedrooms]]+1)*Cdlac[[#This Row],[AMI]],"")</f>
        <v/>
      </c>
      <c r="Q34" s="1669" t="str" cm="1">
        <f t="array" ref="Q34">IF(Cdlac[[#This Row],[Quantity]]&gt;0,INDEX(HudFmrs,$P$18,Cdlac[[#This Row],[Bedrooms]]+1),"")</f>
        <v/>
      </c>
      <c r="R34" s="1669" t="str">
        <f>IF(Cdlac[[#This Row],[Quantity]]&gt;0,MAX(0,Cdlac[[#This Row],[Fair Market Rent]]-Cdlac[[#This Row],[Restricted Rent]]),"")</f>
        <v/>
      </c>
      <c r="S34" s="1624" t="str">
        <f>IF(Cdlac[[#This Row],[Quantity]]&gt;0,AND(Application!AK742&lt;&gt;"N/A",Application!AK742&lt;&gt;"")*Cdlac[[#This Row],[Quantity]],"")</f>
        <v/>
      </c>
      <c r="T34" s="1624" t="b">
        <f>AND('Subsidy Contract Calculation'!F18&gt;0,'Subsidy Contract Calculation'!C18="Federal",Cdlac[[#This Row],[Quantity]]&gt;0)</f>
        <v>0</v>
      </c>
    </row>
    <row r="35" spans="2:20" ht="15" customHeight="1">
      <c r="E35" s="1675" t="s">
        <v>2461</v>
      </c>
      <c r="G35" s="1545" cm="1">
        <f t="array" ref="G35">SUMPRODUCT(Cdlac[Quantity],Cdlac[iAMI],IF(Cdlac[Federal],0,1))/SUMIFS(Cdlac[Quantity],Cdlac[Federal],FALSE)</f>
        <v>0.3888888888888889</v>
      </c>
      <c r="L35" s="1624" t="str">
        <f>IFERROR(MIN(4,MATCH(Application!B743,UnitSizes,0)-1),"")</f>
        <v/>
      </c>
      <c r="M35" s="1669">
        <f>Application!G743</f>
        <v>0</v>
      </c>
      <c r="N35" s="1542">
        <f>Application!AC743</f>
        <v>0</v>
      </c>
      <c r="O35" s="1542" t="str">
        <f>IF(Cdlac[[#This Row],[Quantity]]&gt;0,IF(Cdlac[[#This Row],[Federal]],30%,IF($G$36,40%,Cdlac[[#This Row],[iAMI]])),"")</f>
        <v/>
      </c>
      <c r="P35" s="1669" t="str" cm="1">
        <f t="array" ref="P35">IF(Cdlac[[#This Row],[Quantity]]&gt;0,INDEX(TcacRents,$P$18,Cdlac[[#This Row],[Bedrooms]]+1)*Cdlac[[#This Row],[AMI]],"")</f>
        <v/>
      </c>
      <c r="Q35" s="1669" t="str" cm="1">
        <f t="array" ref="Q35">IF(Cdlac[[#This Row],[Quantity]]&gt;0,INDEX(HudFmrs,$P$18,Cdlac[[#This Row],[Bedrooms]]+1),"")</f>
        <v/>
      </c>
      <c r="R35" s="1669" t="str">
        <f>IF(Cdlac[[#This Row],[Quantity]]&gt;0,MAX(0,Cdlac[[#This Row],[Fair Market Rent]]-Cdlac[[#This Row],[Restricted Rent]]),"")</f>
        <v/>
      </c>
      <c r="S35" s="1624" t="str">
        <f>IF(Cdlac[[#This Row],[Quantity]]&gt;0,AND(Application!AK743&lt;&gt;"N/A",Application!AK743&lt;&gt;"")*Cdlac[[#This Row],[Quantity]],"")</f>
        <v/>
      </c>
      <c r="T35" s="1624" t="b">
        <f>AND('Subsidy Contract Calculation'!F19&gt;0,'Subsidy Contract Calculation'!C19="Federal",Cdlac[[#This Row],[Quantity]]&gt;0)</f>
        <v>0</v>
      </c>
    </row>
    <row r="36" spans="2:20" ht="15" customHeight="1">
      <c r="E36" s="1675" t="s">
        <v>2456</v>
      </c>
      <c r="G36" s="1691" t="b">
        <f>G35&lt;40%</f>
        <v>1</v>
      </c>
      <c r="L36" s="1624" t="str">
        <f>IFERROR(MIN(4,MATCH(Application!B744,UnitSizes,0)-1),"")</f>
        <v/>
      </c>
      <c r="M36" s="1669">
        <f>Application!G744</f>
        <v>0</v>
      </c>
      <c r="N36" s="1542">
        <f>Application!AC744</f>
        <v>0</v>
      </c>
      <c r="O36" s="1542" t="str">
        <f>IF(Cdlac[[#This Row],[Quantity]]&gt;0,IF(Cdlac[[#This Row],[Federal]],30%,IF($G$36,40%,Cdlac[[#This Row],[iAMI]])),"")</f>
        <v/>
      </c>
      <c r="P36" s="1669" t="str" cm="1">
        <f t="array" ref="P36">IF(Cdlac[[#This Row],[Quantity]]&gt;0,INDEX(TcacRents,$P$18,Cdlac[[#This Row],[Bedrooms]]+1)*Cdlac[[#This Row],[AMI]],"")</f>
        <v/>
      </c>
      <c r="Q36" s="1669" t="str" cm="1">
        <f t="array" ref="Q36">IF(Cdlac[[#This Row],[Quantity]]&gt;0,INDEX(HudFmrs,$P$18,Cdlac[[#This Row],[Bedrooms]]+1),"")</f>
        <v/>
      </c>
      <c r="R36" s="1669" t="str">
        <f>IF(Cdlac[[#This Row],[Quantity]]&gt;0,MAX(0,Cdlac[[#This Row],[Fair Market Rent]]-Cdlac[[#This Row],[Restricted Rent]]),"")</f>
        <v/>
      </c>
      <c r="S36" s="1624" t="str">
        <f>IF(Cdlac[[#This Row],[Quantity]]&gt;0,AND(Application!AK744&lt;&gt;"N/A",Application!AK744&lt;&gt;"")*Cdlac[[#This Row],[Quantity]],"")</f>
        <v/>
      </c>
      <c r="T36" s="1624" t="b">
        <f>AND('Subsidy Contract Calculation'!F20&gt;0,'Subsidy Contract Calculation'!C20="Federal",Cdlac[[#This Row],[Quantity]]&gt;0)</f>
        <v>0</v>
      </c>
    </row>
    <row r="37" spans="2:20" ht="15" customHeight="1">
      <c r="L37" s="1624" t="str">
        <f>IFERROR(MIN(4,MATCH(Application!B745,UnitSizes,0)-1),"")</f>
        <v/>
      </c>
      <c r="M37" s="1669">
        <f>Application!G745</f>
        <v>0</v>
      </c>
      <c r="N37" s="1542">
        <f>Application!AC745</f>
        <v>0</v>
      </c>
      <c r="O37" s="1542" t="str">
        <f>IF(Cdlac[[#This Row],[Quantity]]&gt;0,IF(Cdlac[[#This Row],[Federal]],30%,IF($G$36,40%,Cdlac[[#This Row],[iAMI]])),"")</f>
        <v/>
      </c>
      <c r="P37" s="1669" t="str" cm="1">
        <f t="array" ref="P37">IF(Cdlac[[#This Row],[Quantity]]&gt;0,INDEX(TcacRents,$P$18,Cdlac[[#This Row],[Bedrooms]]+1)*Cdlac[[#This Row],[AMI]],"")</f>
        <v/>
      </c>
      <c r="Q37" s="1669" t="str" cm="1">
        <f t="array" ref="Q37">IF(Cdlac[[#This Row],[Quantity]]&gt;0,INDEX(HudFmrs,$P$18,Cdlac[[#This Row],[Bedrooms]]+1),"")</f>
        <v/>
      </c>
      <c r="R37" s="1669" t="str">
        <f>IF(Cdlac[[#This Row],[Quantity]]&gt;0,MAX(0,Cdlac[[#This Row],[Fair Market Rent]]-Cdlac[[#This Row],[Restricted Rent]]),"")</f>
        <v/>
      </c>
      <c r="S37" s="1624" t="str">
        <f>IF(Cdlac[[#This Row],[Quantity]]&gt;0,AND(Application!AK745&lt;&gt;"N/A",Application!AK745&lt;&gt;"")*Cdlac[[#This Row],[Quantity]],"")</f>
        <v/>
      </c>
      <c r="T37" s="1624" t="b">
        <f>AND('Subsidy Contract Calculation'!F21&gt;0,'Subsidy Contract Calculation'!C21="Federal",Cdlac[[#This Row],[Quantity]]&gt;0)</f>
        <v>0</v>
      </c>
    </row>
    <row r="38" spans="2:20" ht="15" customHeight="1">
      <c r="E38" s="1675" t="s">
        <v>2395</v>
      </c>
      <c r="G38" s="1692">
        <f>SUMPRODUCT(Cdlac[Quantity],Cdlac[Delta])</f>
        <v>114253.4</v>
      </c>
      <c r="L38" s="1624" t="str">
        <f>IFERROR(MIN(4,MATCH(Application!B746,UnitSizes,0)-1),"")</f>
        <v/>
      </c>
      <c r="M38" s="1669">
        <f>Application!G746</f>
        <v>0</v>
      </c>
      <c r="N38" s="1542">
        <f>Application!AC746</f>
        <v>0</v>
      </c>
      <c r="O38" s="1542" t="str">
        <f>IF(Cdlac[[#This Row],[Quantity]]&gt;0,IF(Cdlac[[#This Row],[Federal]],30%,IF($G$36,40%,Cdlac[[#This Row],[iAMI]])),"")</f>
        <v/>
      </c>
      <c r="P38" s="1669" t="str" cm="1">
        <f t="array" ref="P38">IF(Cdlac[[#This Row],[Quantity]]&gt;0,INDEX(TcacRents,$P$18,Cdlac[[#This Row],[Bedrooms]]+1)*Cdlac[[#This Row],[AMI]],"")</f>
        <v/>
      </c>
      <c r="Q38" s="1669" t="str" cm="1">
        <f t="array" ref="Q38">IF(Cdlac[[#This Row],[Quantity]]&gt;0,INDEX(HudFmrs,$P$18,Cdlac[[#This Row],[Bedrooms]]+1),"")</f>
        <v/>
      </c>
      <c r="R38" s="1669" t="str">
        <f>IF(Cdlac[[#This Row],[Quantity]]&gt;0,MAX(0,Cdlac[[#This Row],[Fair Market Rent]]-Cdlac[[#This Row],[Restricted Rent]]),"")</f>
        <v/>
      </c>
      <c r="S38" s="1624" t="str">
        <f>IF(Cdlac[[#This Row],[Quantity]]&gt;0,AND(Application!AK746&lt;&gt;"N/A",Application!AK746&lt;&gt;"")*Cdlac[[#This Row],[Quantity]],"")</f>
        <v/>
      </c>
      <c r="T38" s="1624" t="b">
        <f>AND('Subsidy Contract Calculation'!F22&gt;0,'Subsidy Contract Calculation'!C22="Federal",Cdlac[[#This Row],[Quantity]]&gt;0)</f>
        <v>0</v>
      </c>
    </row>
    <row r="39" spans="2:20" ht="15" customHeight="1">
      <c r="E39" s="1687" t="s">
        <v>2462</v>
      </c>
      <c r="F39" s="1689" t="s">
        <v>2450</v>
      </c>
      <c r="G39" s="1693">
        <f>12*15</f>
        <v>180</v>
      </c>
      <c r="L39" s="1624" t="str">
        <f>IFERROR(MIN(4,MATCH(Application!B747,UnitSizes,0)-1),"")</f>
        <v/>
      </c>
      <c r="M39" s="1669">
        <f>Application!G747</f>
        <v>0</v>
      </c>
      <c r="N39" s="1542">
        <f>Application!AC747</f>
        <v>0</v>
      </c>
      <c r="O39" s="1542" t="str">
        <f>IF(Cdlac[[#This Row],[Quantity]]&gt;0,IF(Cdlac[[#This Row],[Federal]],30%,IF($G$36,40%,Cdlac[[#This Row],[iAMI]])),"")</f>
        <v/>
      </c>
      <c r="P39" s="1669" t="str" cm="1">
        <f t="array" ref="P39">IF(Cdlac[[#This Row],[Quantity]]&gt;0,INDEX(TcacRents,$P$18,Cdlac[[#This Row],[Bedrooms]]+1)*Cdlac[[#This Row],[AMI]],"")</f>
        <v/>
      </c>
      <c r="Q39" s="1669" t="str" cm="1">
        <f t="array" ref="Q39">IF(Cdlac[[#This Row],[Quantity]]&gt;0,INDEX(HudFmrs,$P$18,Cdlac[[#This Row],[Bedrooms]]+1),"")</f>
        <v/>
      </c>
      <c r="R39" s="1669" t="str">
        <f>IF(Cdlac[[#This Row],[Quantity]]&gt;0,MAX(0,Cdlac[[#This Row],[Fair Market Rent]]-Cdlac[[#This Row],[Restricted Rent]]),"")</f>
        <v/>
      </c>
      <c r="S39" s="1624" t="str">
        <f>IF(Cdlac[[#This Row],[Quantity]]&gt;0,AND(Application!AK747&lt;&gt;"N/A",Application!AK747&lt;&gt;"")*Cdlac[[#This Row],[Quantity]],"")</f>
        <v/>
      </c>
      <c r="T39" s="1624" t="b">
        <f>AND('Subsidy Contract Calculation'!F23&gt;0,'Subsidy Contract Calculation'!C23="Federal",Cdlac[[#This Row],[Quantity]]&gt;0)</f>
        <v>0</v>
      </c>
    </row>
    <row r="40" spans="2:20" ht="15" customHeight="1">
      <c r="E40" s="1694" t="s">
        <v>2388</v>
      </c>
      <c r="F40" s="1625"/>
      <c r="G40" s="1695">
        <f>G38*G39</f>
        <v>20565612</v>
      </c>
      <c r="L40" s="1624" t="str">
        <f>IFERROR(MIN(4,MATCH(Application!B748,UnitSizes,0)-1),"")</f>
        <v/>
      </c>
      <c r="M40" s="1669">
        <f>Application!G748</f>
        <v>0</v>
      </c>
      <c r="N40" s="1542">
        <f>Application!AC748</f>
        <v>0</v>
      </c>
      <c r="O40" s="1542" t="str">
        <f>IF(Cdlac[[#This Row],[Quantity]]&gt;0,IF(Cdlac[[#This Row],[Federal]],30%,IF($G$36,40%,Cdlac[[#This Row],[iAMI]])),"")</f>
        <v/>
      </c>
      <c r="P40" s="1669" t="str" cm="1">
        <f t="array" ref="P40">IF(Cdlac[[#This Row],[Quantity]]&gt;0,INDEX(TcacRents,$P$18,Cdlac[[#This Row],[Bedrooms]]+1)*Cdlac[[#This Row],[AMI]],"")</f>
        <v/>
      </c>
      <c r="Q40" s="1669" t="str" cm="1">
        <f t="array" ref="Q40">IF(Cdlac[[#This Row],[Quantity]]&gt;0,INDEX(HudFmrs,$P$18,Cdlac[[#This Row],[Bedrooms]]+1),"")</f>
        <v/>
      </c>
      <c r="R40" s="1669" t="str">
        <f>IF(Cdlac[[#This Row],[Quantity]]&gt;0,MAX(0,Cdlac[[#This Row],[Fair Market Rent]]-Cdlac[[#This Row],[Restricted Rent]]),"")</f>
        <v/>
      </c>
      <c r="S40" s="1624" t="str">
        <f>IF(Cdlac[[#This Row],[Quantity]]&gt;0,AND(Application!AK748&lt;&gt;"N/A",Application!AK748&lt;&gt;"")*Cdlac[[#This Row],[Quantity]],"")</f>
        <v/>
      </c>
      <c r="T40" s="1624" t="b">
        <f>AND('Subsidy Contract Calculation'!F24&gt;0,'Subsidy Contract Calculation'!C24="Federal",Cdlac[[#This Row],[Quantity]]&gt;0)</f>
        <v>0</v>
      </c>
    </row>
    <row r="41" spans="2:20" ht="15" customHeight="1">
      <c r="L41" s="1624" t="str">
        <f>IFERROR(MIN(4,MATCH(Application!B749,UnitSizes,0)-1),"")</f>
        <v/>
      </c>
      <c r="M41" s="1669">
        <f>Application!G749</f>
        <v>0</v>
      </c>
      <c r="N41" s="1542">
        <f>Application!AC749</f>
        <v>0</v>
      </c>
      <c r="O41" s="1542" t="str">
        <f>IF(Cdlac[[#This Row],[Quantity]]&gt;0,IF(Cdlac[[#This Row],[Federal]],30%,IF($G$36,40%,Cdlac[[#This Row],[iAMI]])),"")</f>
        <v/>
      </c>
      <c r="P41" s="1669" t="str" cm="1">
        <f t="array" ref="P41">IF(Cdlac[[#This Row],[Quantity]]&gt;0,INDEX(TcacRents,$P$18,Cdlac[[#This Row],[Bedrooms]]+1)*Cdlac[[#This Row],[AMI]],"")</f>
        <v/>
      </c>
      <c r="Q41" s="1669" t="str" cm="1">
        <f t="array" ref="Q41">IF(Cdlac[[#This Row],[Quantity]]&gt;0,INDEX(HudFmrs,$P$18,Cdlac[[#This Row],[Bedrooms]]+1),"")</f>
        <v/>
      </c>
      <c r="R41" s="1669" t="str">
        <f>IF(Cdlac[[#This Row],[Quantity]]&gt;0,MAX(0,Cdlac[[#This Row],[Fair Market Rent]]-Cdlac[[#This Row],[Restricted Rent]]),"")</f>
        <v/>
      </c>
      <c r="S41" s="1624" t="str">
        <f>IF(Cdlac[[#This Row],[Quantity]]&gt;0,AND(Application!AK749&lt;&gt;"N/A",Application!AK749&lt;&gt;"")*Cdlac[[#This Row],[Quantity]],"")</f>
        <v/>
      </c>
      <c r="T41" s="1624" t="b">
        <f>AND('Subsidy Contract Calculation'!F25&gt;0,'Subsidy Contract Calculation'!C25="Federal",Cdlac[[#This Row],[Quantity]]&gt;0)</f>
        <v>0</v>
      </c>
    </row>
    <row r="42" spans="2:20" ht="15" customHeight="1">
      <c r="B42" s="1672" t="str">
        <f>B11</f>
        <v>C. Special Needs Population Benefit</v>
      </c>
      <c r="C42" s="1673"/>
      <c r="D42" s="1673"/>
      <c r="E42" s="1673"/>
      <c r="F42" s="1673"/>
      <c r="G42" s="1673"/>
      <c r="H42" s="1673"/>
      <c r="I42" s="1674"/>
      <c r="L42" s="1624" t="str">
        <f>IFERROR(MIN(4,MATCH(Application!B750,UnitSizes,0)-1),"")</f>
        <v/>
      </c>
      <c r="M42" s="1669">
        <f>Application!G750</f>
        <v>0</v>
      </c>
      <c r="N42" s="1542">
        <f>Application!AC750</f>
        <v>0</v>
      </c>
      <c r="O42" s="1542" t="str">
        <f>IF(Cdlac[[#This Row],[Quantity]]&gt;0,IF(Cdlac[[#This Row],[Federal]],30%,IF($G$36,40%,Cdlac[[#This Row],[iAMI]])),"")</f>
        <v/>
      </c>
      <c r="P42" s="1669" t="str" cm="1">
        <f t="array" ref="P42">IF(Cdlac[[#This Row],[Quantity]]&gt;0,INDEX(TcacRents,$P$18,Cdlac[[#This Row],[Bedrooms]]+1)*Cdlac[[#This Row],[AMI]],"")</f>
        <v/>
      </c>
      <c r="Q42" s="1669" t="str" cm="1">
        <f t="array" ref="Q42">IF(Cdlac[[#This Row],[Quantity]]&gt;0,INDEX(HudFmrs,$P$18,Cdlac[[#This Row],[Bedrooms]]+1),"")</f>
        <v/>
      </c>
      <c r="R42" s="1669" t="str">
        <f>IF(Cdlac[[#This Row],[Quantity]]&gt;0,MAX(0,Cdlac[[#This Row],[Fair Market Rent]]-Cdlac[[#This Row],[Restricted Rent]]),"")</f>
        <v/>
      </c>
      <c r="S42" s="1624" t="str">
        <f>IF(Cdlac[[#This Row],[Quantity]]&gt;0,AND(Application!AK750&lt;&gt;"N/A",Application!AK750&lt;&gt;"")*Cdlac[[#This Row],[Quantity]],"")</f>
        <v/>
      </c>
      <c r="T42" s="1624" t="b">
        <f>AND('Subsidy Contract Calculation'!F26&gt;0,'Subsidy Contract Calculation'!C26="Federal",Cdlac[[#This Row],[Quantity]]&gt;0)</f>
        <v>0</v>
      </c>
    </row>
    <row r="43" spans="2:20" ht="15" customHeight="1">
      <c r="L43" s="1624" t="str">
        <f>IFERROR(MIN(4,MATCH(Application!B751,UnitSizes,0)-1),"")</f>
        <v/>
      </c>
      <c r="M43" s="1669">
        <f>Application!G751</f>
        <v>0</v>
      </c>
      <c r="N43" s="1542">
        <f>Application!AC751</f>
        <v>0</v>
      </c>
      <c r="O43" s="1542" t="str">
        <f>IF(Cdlac[[#This Row],[Quantity]]&gt;0,IF(Cdlac[[#This Row],[Federal]],30%,IF($G$36,40%,Cdlac[[#This Row],[iAMI]])),"")</f>
        <v/>
      </c>
      <c r="P43" s="1669" t="str" cm="1">
        <f t="array" ref="P43">IF(Cdlac[[#This Row],[Quantity]]&gt;0,INDEX(TcacRents,$P$18,Cdlac[[#This Row],[Bedrooms]]+1)*Cdlac[[#This Row],[AMI]],"")</f>
        <v/>
      </c>
      <c r="Q43" s="1669" t="str" cm="1">
        <f t="array" ref="Q43">IF(Cdlac[[#This Row],[Quantity]]&gt;0,INDEX(HudFmrs,$P$18,Cdlac[[#This Row],[Bedrooms]]+1),"")</f>
        <v/>
      </c>
      <c r="R43" s="1669" t="str">
        <f>IF(Cdlac[[#This Row],[Quantity]]&gt;0,MAX(0,Cdlac[[#This Row],[Fair Market Rent]]-Cdlac[[#This Row],[Restricted Rent]]),"")</f>
        <v/>
      </c>
      <c r="S43" s="1624" t="str">
        <f>IF(Cdlac[[#This Row],[Quantity]]&gt;0,AND(Application!AK751&lt;&gt;"N/A",Application!AK751&lt;&gt;"")*Cdlac[[#This Row],[Quantity]],"")</f>
        <v/>
      </c>
      <c r="T43" s="1624" t="b">
        <f>AND('Subsidy Contract Calculation'!F27&gt;0,'Subsidy Contract Calculation'!C27="Federal",Cdlac[[#This Row],[Quantity]]&gt;0)</f>
        <v>0</v>
      </c>
    </row>
    <row r="44" spans="2:20" ht="15" customHeight="1">
      <c r="E44" s="1687" t="s">
        <v>2451</v>
      </c>
      <c r="G44" s="1696">
        <f>S18</f>
        <v>0</v>
      </c>
      <c r="L44" s="1624" t="str">
        <f>IFERROR(MIN(4,MATCH(Application!B752,UnitSizes,0)-1),"")</f>
        <v/>
      </c>
      <c r="M44" s="1669">
        <f>Application!G752</f>
        <v>0</v>
      </c>
      <c r="N44" s="1542">
        <f>Application!AC752</f>
        <v>0</v>
      </c>
      <c r="O44" s="1546" t="str">
        <f>IF(Cdlac[[#This Row],[Quantity]]&gt;0,IF(Cdlac[[#This Row],[Federal]],30%,IF($G$36,40%,Cdlac[[#This Row],[iAMI]])),"")</f>
        <v/>
      </c>
      <c r="P44" s="1669" t="str" cm="1">
        <f t="array" ref="P44">IF(Cdlac[[#This Row],[Quantity]]&gt;0,INDEX(TcacRents,$P$18,Cdlac[[#This Row],[Bedrooms]]+1)*Cdlac[[#This Row],[AMI]],"")</f>
        <v/>
      </c>
      <c r="Q44" s="1669" t="str" cm="1">
        <f t="array" ref="Q44">IF(Cdlac[[#This Row],[Quantity]]&gt;0,INDEX(HudFmrs,$P$18,Cdlac[[#This Row],[Bedrooms]]+1),"")</f>
        <v/>
      </c>
      <c r="R44" s="1669" t="str">
        <f>IF(Cdlac[[#This Row],[Quantity]]&gt;0,MAX(0,Cdlac[[#This Row],[Fair Market Rent]]-Cdlac[[#This Row],[Restricted Rent]]),"")</f>
        <v/>
      </c>
      <c r="S44" s="1624" t="str">
        <f>IF(Cdlac[[#This Row],[Quantity]]&gt;0,AND(Application!AK752&lt;&gt;"N/A",Application!AK752&lt;&gt;"")*Cdlac[[#This Row],[Quantity]],"")</f>
        <v/>
      </c>
      <c r="T44" s="1624" t="b">
        <f>AND('Subsidy Contract Calculation'!F28&gt;0,'Subsidy Contract Calculation'!C28="Federal",Cdlac[[#This Row],[Quantity]]&gt;0)</f>
        <v>0</v>
      </c>
    </row>
    <row r="45" spans="2:20" ht="15" customHeight="1">
      <c r="E45" s="1687" t="s">
        <v>2452</v>
      </c>
      <c r="G45" s="1696">
        <f>ROUNDDOWN(E27*50%,0)</f>
        <v>36</v>
      </c>
    </row>
    <row r="46" spans="2:20" ht="15" customHeight="1">
      <c r="E46" s="1687"/>
      <c r="G46" s="1696"/>
    </row>
    <row r="47" spans="2:20" ht="15" customHeight="1">
      <c r="E47" s="1687" t="s">
        <v>2401</v>
      </c>
      <c r="G47" s="1688">
        <f>MIN(G44:G45)</f>
        <v>0</v>
      </c>
    </row>
    <row r="48" spans="2:20" ht="15" customHeight="1">
      <c r="E48" s="1687" t="s">
        <v>2391</v>
      </c>
      <c r="F48" s="1689" t="s">
        <v>2450</v>
      </c>
      <c r="G48" s="1547">
        <v>10000</v>
      </c>
    </row>
    <row r="49" spans="2:14" ht="15" customHeight="1">
      <c r="E49" s="1690" t="s">
        <v>2433</v>
      </c>
      <c r="F49" s="1625"/>
      <c r="G49" s="1695">
        <f>G47*G48</f>
        <v>0</v>
      </c>
    </row>
    <row r="50" spans="2:14" ht="15" customHeight="1"/>
    <row r="51" spans="2:14" ht="15" customHeight="1">
      <c r="B51" s="1672" t="str">
        <f>B12</f>
        <v>D. Extremely Low Income Benefit</v>
      </c>
      <c r="C51" s="1673"/>
      <c r="D51" s="1673"/>
      <c r="E51" s="1673"/>
      <c r="F51" s="1673"/>
      <c r="G51" s="1673"/>
      <c r="H51" s="1673"/>
      <c r="I51" s="1674"/>
    </row>
    <row r="52" spans="2:14" ht="15" customHeight="1"/>
    <row r="53" spans="2:14" ht="15" customHeight="1">
      <c r="E53" s="1687" t="s">
        <v>2453</v>
      </c>
      <c r="G53" s="1697">
        <f>SUMIFS(Cdlac[Quantity],Cdlac[iAMI],"&lt;=30%")</f>
        <v>8</v>
      </c>
    </row>
    <row r="54" spans="2:14" ht="15" customHeight="1">
      <c r="E54" s="1687" t="s">
        <v>2452</v>
      </c>
      <c r="G54" s="1697">
        <f>ROUNDDOWN(E27*50%,0)</f>
        <v>36</v>
      </c>
    </row>
    <row r="55" spans="2:14" ht="15" customHeight="1">
      <c r="E55" s="1687"/>
      <c r="G55" s="1697"/>
    </row>
    <row r="56" spans="2:14" ht="15" customHeight="1">
      <c r="E56" s="1687" t="s">
        <v>2401</v>
      </c>
      <c r="G56" s="1688">
        <f>MIN(G53:G54)</f>
        <v>8</v>
      </c>
    </row>
    <row r="57" spans="2:14" ht="15" customHeight="1">
      <c r="E57" s="1687" t="s">
        <v>2391</v>
      </c>
      <c r="F57" s="1689" t="s">
        <v>2450</v>
      </c>
      <c r="G57" s="1547">
        <v>20000</v>
      </c>
    </row>
    <row r="58" spans="2:14" ht="15" customHeight="1">
      <c r="E58" s="1690" t="s">
        <v>2432</v>
      </c>
      <c r="F58" s="1625"/>
      <c r="G58" s="1695">
        <f>G56*G57</f>
        <v>160000</v>
      </c>
    </row>
    <row r="59" spans="2:14" ht="15" customHeight="1"/>
    <row r="60" spans="2:14" ht="15" customHeight="1">
      <c r="B60" s="1672" t="str">
        <f>B13</f>
        <v>E. Sustainability Benefit</v>
      </c>
      <c r="C60" s="1673"/>
      <c r="D60" s="1673"/>
      <c r="E60" s="1673"/>
      <c r="F60" s="1673"/>
      <c r="G60" s="1673"/>
      <c r="H60" s="1673"/>
      <c r="I60" s="1674"/>
    </row>
    <row r="61" spans="2:14" ht="15" customHeight="1" thickBot="1"/>
    <row r="62" spans="2:14" ht="15" customHeight="1">
      <c r="E62" s="1675" t="s">
        <v>2404</v>
      </c>
      <c r="G62" s="1688">
        <f>VLOOKUP('Points System'!$H$595,'Points System'!$AO$575:$AP$580,2,FALSE)</f>
        <v>7</v>
      </c>
      <c r="L62" s="1698" t="str">
        <f>'Points System'!H627</f>
        <v>(i)</v>
      </c>
      <c r="M62" s="3133" t="s">
        <v>1595</v>
      </c>
      <c r="N62" s="3134"/>
    </row>
    <row r="63" spans="2:14" ht="15" customHeight="1">
      <c r="E63" s="1675" t="s">
        <v>2391</v>
      </c>
      <c r="F63" s="1689" t="s">
        <v>2450</v>
      </c>
      <c r="G63" s="1548">
        <v>4000</v>
      </c>
      <c r="L63" s="1699" t="str">
        <f>'Points System'!H639</f>
        <v>N/A</v>
      </c>
      <c r="M63" s="3135" t="s">
        <v>2405</v>
      </c>
      <c r="N63" s="3136"/>
    </row>
    <row r="64" spans="2:14" ht="15" customHeight="1">
      <c r="E64" s="1675" t="s">
        <v>2454</v>
      </c>
      <c r="F64" s="1689" t="s">
        <v>2450</v>
      </c>
      <c r="G64" s="1700">
        <f>G27</f>
        <v>89.6</v>
      </c>
      <c r="L64" s="1699" t="str">
        <f>'Points System'!H674</f>
        <v>N/A</v>
      </c>
      <c r="M64" s="3135" t="s">
        <v>2406</v>
      </c>
      <c r="N64" s="3136"/>
    </row>
    <row r="65" spans="2:14" ht="15" customHeight="1">
      <c r="E65" s="1690" t="s">
        <v>2410</v>
      </c>
      <c r="F65" s="1625"/>
      <c r="G65" s="1695">
        <f>G62*G63*G64</f>
        <v>2508800</v>
      </c>
      <c r="L65" s="1699" t="str">
        <f>'Points System'!H694</f>
        <v>(i)</v>
      </c>
      <c r="M65" s="3135" t="s">
        <v>2407</v>
      </c>
      <c r="N65" s="3136"/>
    </row>
    <row r="66" spans="2:14" ht="15" customHeight="1">
      <c r="C66" s="1701"/>
      <c r="G66" s="1688"/>
      <c r="L66" s="1702" t="str">
        <f>'Points System'!H708</f>
        <v>N/A</v>
      </c>
      <c r="M66" s="3135" t="s">
        <v>1625</v>
      </c>
      <c r="N66" s="3136"/>
    </row>
    <row r="67" spans="2:14" ht="15" customHeight="1">
      <c r="E67" s="1675" t="s">
        <v>2455</v>
      </c>
      <c r="G67" s="1700">
        <f>COUNTIFS(L62:L69,"(i)")</f>
        <v>2</v>
      </c>
      <c r="L67" s="1699" t="str">
        <f>'Points System'!H720</f>
        <v>N/A</v>
      </c>
      <c r="M67" s="3135" t="s">
        <v>2408</v>
      </c>
      <c r="N67" s="3136"/>
    </row>
    <row r="68" spans="2:14" ht="15" customHeight="1">
      <c r="E68" s="1675" t="s">
        <v>2391</v>
      </c>
      <c r="F68" s="1689" t="s">
        <v>2450</v>
      </c>
      <c r="G68" s="1547">
        <v>4000</v>
      </c>
      <c r="L68" s="1699" t="str">
        <f>'Points System'!H736</f>
        <v>N/A</v>
      </c>
      <c r="M68" s="3135" t="s">
        <v>2409</v>
      </c>
      <c r="N68" s="3136"/>
    </row>
    <row r="69" spans="2:14" ht="15" customHeight="1" thickBot="1">
      <c r="E69" s="1690" t="s">
        <v>2411</v>
      </c>
      <c r="F69" s="1625"/>
      <c r="G69" s="1695">
        <f>G64*G67*G68</f>
        <v>716800</v>
      </c>
      <c r="L69" s="1703" t="str">
        <f>'Points System'!H748</f>
        <v>N/A</v>
      </c>
      <c r="M69" s="3137" t="s">
        <v>1628</v>
      </c>
      <c r="N69" s="3138"/>
    </row>
    <row r="70" spans="2:14" ht="15" customHeight="1"/>
    <row r="71" spans="2:14" ht="15" customHeight="1">
      <c r="C71" s="1704" t="s">
        <v>2413</v>
      </c>
    </row>
    <row r="72" spans="2:14" ht="15" customHeight="1">
      <c r="C72" s="1701" t="s">
        <v>2414</v>
      </c>
      <c r="G72" s="1705"/>
    </row>
    <row r="73" spans="2:14" ht="15" customHeight="1">
      <c r="C73" s="1701" t="s">
        <v>2415</v>
      </c>
      <c r="G73" s="1705"/>
    </row>
    <row r="74" spans="2:14" ht="15" customHeight="1">
      <c r="C74" s="1701" t="s">
        <v>2416</v>
      </c>
      <c r="G74" s="1705" t="s">
        <v>568</v>
      </c>
    </row>
    <row r="75" spans="2:14" ht="15" customHeight="1">
      <c r="C75" s="1701" t="s">
        <v>2417</v>
      </c>
      <c r="G75" s="1705" t="s">
        <v>568</v>
      </c>
    </row>
    <row r="76" spans="2:14" ht="15" customHeight="1"/>
    <row r="77" spans="2:14" ht="15" customHeight="1">
      <c r="B77" s="1692"/>
      <c r="C77" s="1701"/>
      <c r="E77" s="1675" t="s">
        <v>2457</v>
      </c>
      <c r="G77" s="1697" t="b">
        <f>COUNTIFS(G72:G75,"Yes")&gt;=1</f>
        <v>1</v>
      </c>
    </row>
    <row r="78" spans="2:14" ht="15" customHeight="1">
      <c r="E78" s="1701"/>
    </row>
    <row r="79" spans="2:14" ht="15" customHeight="1">
      <c r="E79" s="1675" t="s">
        <v>2454</v>
      </c>
      <c r="F79" s="1689" t="s">
        <v>2450</v>
      </c>
      <c r="G79" s="1688">
        <f>G44</f>
        <v>0</v>
      </c>
    </row>
    <row r="80" spans="2:14" ht="15" customHeight="1">
      <c r="E80" s="1675" t="s">
        <v>2391</v>
      </c>
      <c r="F80" s="1689" t="s">
        <v>2450</v>
      </c>
      <c r="G80" s="1547">
        <v>25000</v>
      </c>
    </row>
    <row r="81" spans="2:14" ht="15" customHeight="1">
      <c r="E81" s="1690" t="s">
        <v>2412</v>
      </c>
      <c r="F81" s="1625"/>
      <c r="G81" s="1695">
        <f>G77*G80*G64</f>
        <v>2240000</v>
      </c>
    </row>
    <row r="82" spans="2:14" ht="15" customHeight="1">
      <c r="C82" s="1701"/>
      <c r="E82" s="1701"/>
    </row>
    <row r="83" spans="2:14" ht="15" customHeight="1">
      <c r="E83" s="1690" t="s">
        <v>2389</v>
      </c>
      <c r="G83" s="1695">
        <f>G81+G69+G65</f>
        <v>5465600</v>
      </c>
    </row>
    <row r="84" spans="2:14" ht="15" customHeight="1"/>
    <row r="85" spans="2:14" ht="15" customHeight="1">
      <c r="B85" s="1672" t="str">
        <f>B14</f>
        <v>F. Opportunity Benefit</v>
      </c>
      <c r="C85" s="1673"/>
      <c r="D85" s="1673"/>
      <c r="E85" s="1673"/>
      <c r="F85" s="1673"/>
      <c r="G85" s="1673"/>
      <c r="H85" s="1673"/>
      <c r="I85" s="1674"/>
    </row>
    <row r="86" spans="2:14" ht="15" customHeight="1" thickBot="1"/>
    <row r="87" spans="2:14" ht="15" customHeight="1">
      <c r="C87" s="1701" t="s">
        <v>2436</v>
      </c>
      <c r="G87" s="1705" t="s">
        <v>568</v>
      </c>
      <c r="L87" s="3139" t="s">
        <v>2420</v>
      </c>
      <c r="M87" s="3140"/>
      <c r="N87" s="1706">
        <v>30000</v>
      </c>
    </row>
    <row r="88" spans="2:14" ht="15" customHeight="1">
      <c r="C88" s="1701" t="s">
        <v>2437</v>
      </c>
      <c r="G88" s="1691" t="str">
        <f>IF(Application!D210="Large Family","Yes","No")</f>
        <v>No</v>
      </c>
      <c r="L88" s="3141" t="s">
        <v>2382</v>
      </c>
      <c r="M88" s="3142"/>
      <c r="N88" s="1707">
        <v>20000</v>
      </c>
    </row>
    <row r="89" spans="2:14" ht="15" customHeight="1" thickBot="1">
      <c r="C89" s="1701" t="s">
        <v>2418</v>
      </c>
      <c r="G89" s="1705" t="s">
        <v>693</v>
      </c>
      <c r="L89" s="3129" t="s">
        <v>2421</v>
      </c>
      <c r="M89" s="3130"/>
      <c r="N89" s="1708">
        <v>10000</v>
      </c>
    </row>
    <row r="90" spans="2:14" ht="15" customHeight="1">
      <c r="C90" s="1701" t="s">
        <v>2419</v>
      </c>
      <c r="G90" s="1624" t="str">
        <f>Application!T193</f>
        <v>Low Resource</v>
      </c>
    </row>
    <row r="91" spans="2:14" ht="15" customHeight="1">
      <c r="C91" s="1701"/>
    </row>
    <row r="92" spans="2:14" ht="15" customHeight="1">
      <c r="E92" s="1675" t="s">
        <v>2457</v>
      </c>
      <c r="G92" s="1697" t="b">
        <f>AND(COUNTIFS(G88:G89,"Yes")&gt;=1,G87="Yes")</f>
        <v>0</v>
      </c>
    </row>
    <row r="93" spans="2:14" ht="15" customHeight="1">
      <c r="E93" s="1675"/>
      <c r="G93" s="1697"/>
    </row>
    <row r="94" spans="2:14" ht="15" customHeight="1">
      <c r="E94" s="1675" t="s">
        <v>2391</v>
      </c>
      <c r="G94" s="1692">
        <f>IFERROR(INDEX(N87:N89,MATCH(LEFT(G90,17),L87:L89,0)),0)</f>
        <v>0</v>
      </c>
    </row>
    <row r="95" spans="2:14" ht="15" customHeight="1">
      <c r="E95" s="1675" t="str">
        <f>E64</f>
        <v>Bedroom-Adjusted Low-Income Units</v>
      </c>
      <c r="F95" s="1689" t="s">
        <v>2450</v>
      </c>
      <c r="G95" s="1688">
        <f>G27</f>
        <v>89.6</v>
      </c>
    </row>
    <row r="96" spans="2:14" ht="15" customHeight="1">
      <c r="D96" s="1625"/>
      <c r="E96" s="1690" t="s">
        <v>2390</v>
      </c>
      <c r="F96" s="1625"/>
      <c r="G96" s="1695">
        <f>G95*G94*G92</f>
        <v>0</v>
      </c>
    </row>
    <row r="97" spans="2:9" ht="15" customHeight="1"/>
    <row r="98" spans="2:9" ht="15" customHeight="1">
      <c r="B98" s="1672" t="s">
        <v>2403</v>
      </c>
      <c r="C98" s="1673"/>
      <c r="D98" s="1673"/>
      <c r="E98" s="1673"/>
      <c r="F98" s="1673"/>
      <c r="G98" s="1673"/>
      <c r="H98" s="1673"/>
      <c r="I98" s="1674"/>
    </row>
    <row r="99" spans="2:9" ht="15" customHeight="1"/>
    <row r="100" spans="2:9" ht="15" customHeight="1">
      <c r="F100" s="1709" t="s">
        <v>2431</v>
      </c>
      <c r="G100" s="1705" t="s">
        <v>568</v>
      </c>
    </row>
    <row r="101" spans="2:9" ht="15" customHeight="1">
      <c r="F101" s="1709"/>
    </row>
    <row r="102" spans="2:9" ht="15" customHeight="1">
      <c r="E102" s="1675" t="s">
        <v>2457</v>
      </c>
      <c r="G102" s="1697" t="b">
        <f>G100="Yes"</f>
        <v>1</v>
      </c>
    </row>
    <row r="103" spans="2:9" ht="15" customHeight="1"/>
    <row r="104" spans="2:9" ht="15" customHeight="1">
      <c r="E104" s="1675" t="str">
        <f>E64</f>
        <v>Bedroom-Adjusted Low-Income Units</v>
      </c>
      <c r="G104" s="1688">
        <f>G27</f>
        <v>89.6</v>
      </c>
    </row>
    <row r="105" spans="2:9" ht="15" customHeight="1">
      <c r="E105" s="1675" t="s">
        <v>2391</v>
      </c>
      <c r="F105" s="1689" t="s">
        <v>2450</v>
      </c>
      <c r="G105" s="1710">
        <v>20000</v>
      </c>
    </row>
    <row r="106" spans="2:9" ht="15" customHeight="1">
      <c r="E106" s="1690" t="s">
        <v>2422</v>
      </c>
      <c r="F106" s="1625"/>
      <c r="G106" s="1695">
        <f>G102*G105*G104</f>
        <v>1792000</v>
      </c>
    </row>
    <row r="107" spans="2:9" ht="15" customHeight="1"/>
    <row r="108" spans="2:9" ht="15" customHeight="1">
      <c r="B108" s="1672" t="s">
        <v>2459</v>
      </c>
      <c r="C108" s="1673"/>
      <c r="D108" s="1673"/>
      <c r="E108" s="1673"/>
      <c r="F108" s="1673"/>
      <c r="G108" s="1673"/>
      <c r="H108" s="1673"/>
      <c r="I108" s="1674"/>
    </row>
    <row r="109" spans="2:9" ht="15" customHeight="1"/>
    <row r="110" spans="2:9" ht="15" customHeight="1">
      <c r="E110" s="1675" t="s">
        <v>606</v>
      </c>
      <c r="G110" s="1624" t="str">
        <f>IF(Application!T189="","",Application!T189)</f>
        <v>San Francisco</v>
      </c>
    </row>
    <row r="111" spans="2:9" ht="15" customHeight="1">
      <c r="E111" s="1675"/>
      <c r="G111" s="1692"/>
    </row>
    <row r="112" spans="2:9" ht="15" customHeight="1">
      <c r="E112" s="1675" t="str">
        <f>"2-Bedroom "&amp;G110&amp;" County Basis Limit"</f>
        <v>2-Bedroom San Francisco County Basis Limit</v>
      </c>
      <c r="G112" s="1692">
        <f>Application!R971</f>
        <v>738400</v>
      </c>
    </row>
    <row r="113" spans="4:9" ht="15" customHeight="1">
      <c r="E113" s="1675" t="s">
        <v>2458</v>
      </c>
      <c r="G113" s="1692">
        <f>MEDIAN((Application!BR809:BR866))</f>
        <v>388000</v>
      </c>
    </row>
    <row r="114" spans="4:9" ht="15" customHeight="1">
      <c r="D114" s="1625"/>
      <c r="E114" s="1690" t="s">
        <v>2460</v>
      </c>
      <c r="F114" s="1549"/>
      <c r="G114" s="1550">
        <f>((G112-G113)/G113)*0.25</f>
        <v>0.22577319587628866</v>
      </c>
      <c r="H114" s="1551"/>
      <c r="I114" s="1551"/>
    </row>
    <row r="115" spans="4:9" ht="15" customHeight="1">
      <c r="D115" s="1623"/>
      <c r="E115" s="1623"/>
    </row>
  </sheetData>
  <sheetProtection algorithmName="SHA-512" hashValue="Oi48ugS2GID2ogKi8osSKJA5ZWKTZbmkdAlcIUUdAZyJZoSrEQLzMn/jUg7ljotv8xnOPvHodsdaLXRXE+/p+g==" saltValue="sb0GEQ8ERgzpGmn9gy6nOw=="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00000000-0002-0000-0900-000000000000}">
      <formula1>"Yes,No"</formula1>
    </dataValidation>
    <dataValidation type="list" allowBlank="1" showInputMessage="1" showErrorMessage="1" sqref="G72:G75" xr:uid="{00000000-0002-0000-0900-000001000000}">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B30" sqref="B30:AM30"/>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201" t="s">
        <v>1461</v>
      </c>
      <c r="B1" s="3201"/>
      <c r="C1" s="3201"/>
      <c r="D1" s="3201"/>
      <c r="E1" s="3201"/>
      <c r="F1" s="3201"/>
      <c r="G1" s="3201"/>
      <c r="H1" s="3201"/>
      <c r="I1" s="3201"/>
      <c r="J1" s="3201"/>
      <c r="K1" s="3201"/>
      <c r="L1" s="3201"/>
      <c r="M1" s="3201"/>
      <c r="N1" s="3201"/>
      <c r="O1" s="3201"/>
      <c r="P1" s="3201"/>
      <c r="Q1" s="3201"/>
      <c r="R1" s="3201"/>
      <c r="S1" s="3201"/>
      <c r="T1" s="3201"/>
      <c r="U1" s="3201"/>
      <c r="V1" s="3201"/>
      <c r="W1" s="3201"/>
      <c r="X1" s="3201"/>
      <c r="Y1" s="3201"/>
      <c r="Z1" s="3201"/>
      <c r="AA1" s="3201"/>
      <c r="AB1" s="3201"/>
      <c r="AC1" s="3201"/>
      <c r="AD1" s="3201"/>
      <c r="AE1" s="3201"/>
      <c r="AF1" s="3201"/>
      <c r="AG1" s="3201"/>
      <c r="AH1" s="3201"/>
      <c r="AI1" s="3201"/>
      <c r="AJ1" s="3201"/>
      <c r="AK1" s="3201"/>
      <c r="AL1" s="3201"/>
      <c r="AM1" s="3201"/>
      <c r="AN1" s="3201"/>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202"/>
      <c r="B2" s="3202"/>
      <c r="C2" s="3202"/>
      <c r="D2" s="3202"/>
      <c r="E2" s="3202"/>
      <c r="F2" s="3202"/>
      <c r="G2" s="3202"/>
      <c r="H2" s="3202"/>
      <c r="I2" s="3202"/>
      <c r="J2" s="3202"/>
      <c r="K2" s="3202"/>
      <c r="L2" s="3202"/>
      <c r="M2" s="3202"/>
      <c r="N2" s="3202"/>
      <c r="O2" s="3202"/>
      <c r="P2" s="3202"/>
      <c r="Q2" s="3202"/>
      <c r="R2" s="3202"/>
      <c r="S2" s="3202"/>
      <c r="T2" s="3202"/>
      <c r="U2" s="3202"/>
      <c r="V2" s="3202"/>
      <c r="W2" s="3202"/>
      <c r="X2" s="3202"/>
      <c r="Y2" s="3202"/>
      <c r="Z2" s="3202"/>
      <c r="AA2" s="3202"/>
      <c r="AB2" s="3202"/>
      <c r="AC2" s="3202"/>
      <c r="AD2" s="3202"/>
      <c r="AE2" s="3202"/>
      <c r="AF2" s="3202"/>
      <c r="AG2" s="3202"/>
      <c r="AH2" s="3202"/>
      <c r="AI2" s="3202"/>
      <c r="AJ2" s="3202"/>
      <c r="AK2" s="3202"/>
      <c r="AL2" s="3202"/>
      <c r="AM2" s="3202"/>
      <c r="AN2" s="3202"/>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1403</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203" t="str">
        <f xml:space="preserve"> IF(T25=100%,'Sources and Basis Breakdown'!G2,'Sources and Basis Breakdown'!F2)</f>
        <v>30% PVC for New Const/
Rehabilitation
DDA/QCT
Building(s)</v>
      </c>
      <c r="U7" s="3203"/>
      <c r="V7" s="3203"/>
      <c r="W7" s="3203"/>
      <c r="X7" s="3203"/>
      <c r="Y7" s="3203" t="str">
        <f>IF(T25=100%," ",'Sources and Basis Breakdown'!G2)</f>
        <v>30% PVC for New Const/
Rehabilitation
NON-DDA/
NON-QCT Building(s)</v>
      </c>
      <c r="Z7" s="3203"/>
      <c r="AA7" s="3203"/>
      <c r="AB7" s="3203"/>
      <c r="AC7" s="3203"/>
      <c r="AD7" s="3203" t="str">
        <f xml:space="preserve"> IF(T25=100%, 'Sources and Basis Breakdown'!J2,'Sources and Basis Breakdown'!I2)</f>
        <v>30% PVC for Acquisition
DDA/QCT Building(s)</v>
      </c>
      <c r="AE7" s="3203"/>
      <c r="AF7" s="3203"/>
      <c r="AG7" s="3203"/>
      <c r="AH7" s="3203"/>
      <c r="AI7" s="3203" t="str">
        <f>IF(T25=100%," ",'Sources and Basis Breakdown'!J2)</f>
        <v>30% PVC for Acquisition
NON-DDA/
NON-QCT Building(s)</v>
      </c>
      <c r="AJ7" s="3203"/>
      <c r="AK7" s="3203"/>
      <c r="AL7" s="3203"/>
      <c r="AM7" s="3203"/>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203"/>
      <c r="U8" s="3203"/>
      <c r="V8" s="3203"/>
      <c r="W8" s="3203"/>
      <c r="X8" s="3203"/>
      <c r="Y8" s="3203"/>
      <c r="Z8" s="3203"/>
      <c r="AA8" s="3203"/>
      <c r="AB8" s="3203"/>
      <c r="AC8" s="3203"/>
      <c r="AD8" s="3203"/>
      <c r="AE8" s="3203"/>
      <c r="AF8" s="3203"/>
      <c r="AG8" s="3203"/>
      <c r="AH8" s="3203"/>
      <c r="AI8" s="3203"/>
      <c r="AJ8" s="3203"/>
      <c r="AK8" s="3203"/>
      <c r="AL8" s="3203"/>
      <c r="AM8" s="3203"/>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203"/>
      <c r="U9" s="3203"/>
      <c r="V9" s="3203"/>
      <c r="W9" s="3203"/>
      <c r="X9" s="3203"/>
      <c r="Y9" s="3203"/>
      <c r="Z9" s="3203"/>
      <c r="AA9" s="3203"/>
      <c r="AB9" s="3203"/>
      <c r="AC9" s="3203"/>
      <c r="AD9" s="3203"/>
      <c r="AE9" s="3203"/>
      <c r="AF9" s="3203"/>
      <c r="AG9" s="3203"/>
      <c r="AH9" s="3203"/>
      <c r="AI9" s="3203"/>
      <c r="AJ9" s="3203"/>
      <c r="AK9" s="3203"/>
      <c r="AL9" s="3203"/>
      <c r="AM9" s="3203"/>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203"/>
      <c r="U10" s="3203"/>
      <c r="V10" s="3203"/>
      <c r="W10" s="3203"/>
      <c r="X10" s="3203"/>
      <c r="Y10" s="3203"/>
      <c r="Z10" s="3203"/>
      <c r="AA10" s="3203"/>
      <c r="AB10" s="3203"/>
      <c r="AC10" s="3203"/>
      <c r="AD10" s="3203"/>
      <c r="AE10" s="3203"/>
      <c r="AF10" s="3203"/>
      <c r="AG10" s="3203"/>
      <c r="AH10" s="3203"/>
      <c r="AI10" s="3203"/>
      <c r="AJ10" s="3203"/>
      <c r="AK10" s="3203"/>
      <c r="AL10" s="3203"/>
      <c r="AM10" s="3203"/>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171" t="s">
        <v>388</v>
      </c>
      <c r="C11" s="3172"/>
      <c r="D11" s="3172"/>
      <c r="E11" s="3172"/>
      <c r="F11" s="3172"/>
      <c r="G11" s="3172"/>
      <c r="H11" s="3172"/>
      <c r="I11" s="3172"/>
      <c r="J11" s="3172"/>
      <c r="K11" s="3172"/>
      <c r="L11" s="3172"/>
      <c r="M11" s="3172"/>
      <c r="N11" s="3172"/>
      <c r="O11" s="3172"/>
      <c r="P11" s="3172"/>
      <c r="Q11" s="3172"/>
      <c r="R11" s="3172"/>
      <c r="S11" s="3173"/>
      <c r="T11" s="3204">
        <f>IF('Sources and Basis Breakdown'!F107=0,'Sources and Basis Breakdown'!E107,'Sources and Basis Breakdown'!F107)</f>
        <v>65666974.930457473</v>
      </c>
      <c r="U11" s="3205"/>
      <c r="V11" s="3205"/>
      <c r="W11" s="3205"/>
      <c r="X11" s="3205"/>
      <c r="Y11" s="3204">
        <f>IF(Y7=" ",0,IF('Sources and Basis Breakdown'!G107+'Sources and Basis Breakdown'!F107='Sources and Basis Breakdown'!E107,'Sources and Basis Breakdown'!G107,0))</f>
        <v>0</v>
      </c>
      <c r="Z11" s="3205"/>
      <c r="AA11" s="3205"/>
      <c r="AB11" s="3205"/>
      <c r="AC11" s="3205"/>
      <c r="AD11" s="3205">
        <f>IF('Sources and Basis Breakdown'!I107=0,'Sources and Basis Breakdown'!H107,'Sources and Basis Breakdown'!I107)</f>
        <v>0</v>
      </c>
      <c r="AE11" s="3205"/>
      <c r="AF11" s="3205"/>
      <c r="AG11" s="3205"/>
      <c r="AH11" s="3205"/>
      <c r="AI11" s="3205">
        <f>IF(Y7=" ",0,IF('Sources and Basis Breakdown'!I107+'Sources and Basis Breakdown'!J107='Sources and Basis Breakdown'!H107,'Sources and Basis Breakdown'!J107,0))</f>
        <v>0</v>
      </c>
      <c r="AJ11" s="3205"/>
      <c r="AK11" s="3205"/>
      <c r="AL11" s="3205"/>
      <c r="AM11" s="3205"/>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196" t="s">
        <v>520</v>
      </c>
      <c r="C12" s="3197"/>
      <c r="D12" s="3197"/>
      <c r="E12" s="3197"/>
      <c r="F12" s="3197"/>
      <c r="G12" s="3197"/>
      <c r="H12" s="3197"/>
      <c r="I12" s="3197"/>
      <c r="J12" s="3197"/>
      <c r="K12" s="3197"/>
      <c r="L12" s="3197"/>
      <c r="M12" s="3197"/>
      <c r="N12" s="3197"/>
      <c r="O12" s="3197"/>
      <c r="P12" s="3197"/>
      <c r="Q12" s="3197"/>
      <c r="R12" s="3197"/>
      <c r="S12" s="3198"/>
      <c r="T12" s="3159"/>
      <c r="U12" s="3160"/>
      <c r="V12" s="3160"/>
      <c r="W12" s="3160"/>
      <c r="X12" s="3161"/>
      <c r="Y12" s="3159"/>
      <c r="Z12" s="3160"/>
      <c r="AA12" s="3160"/>
      <c r="AB12" s="3160"/>
      <c r="AC12" s="3161"/>
      <c r="AD12" s="3159"/>
      <c r="AE12" s="3160"/>
      <c r="AF12" s="3160"/>
      <c r="AG12" s="3160"/>
      <c r="AH12" s="3161"/>
      <c r="AI12" s="3159"/>
      <c r="AJ12" s="3160"/>
      <c r="AK12" s="3160"/>
      <c r="AL12" s="3160"/>
      <c r="AM12" s="3161"/>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199" t="s">
        <v>521</v>
      </c>
      <c r="D13" s="3199"/>
      <c r="E13" s="3199"/>
      <c r="F13" s="3199"/>
      <c r="G13" s="3199"/>
      <c r="H13" s="3199"/>
      <c r="I13" s="3199"/>
      <c r="J13" s="3199"/>
      <c r="K13" s="3199"/>
      <c r="L13" s="3199"/>
      <c r="M13" s="3199"/>
      <c r="N13" s="3199"/>
      <c r="O13" s="3199"/>
      <c r="P13" s="3199"/>
      <c r="Q13" s="3199"/>
      <c r="R13" s="3199"/>
      <c r="S13" s="3200"/>
      <c r="T13" s="3206"/>
      <c r="U13" s="3207"/>
      <c r="V13" s="3207"/>
      <c r="W13" s="3207"/>
      <c r="X13" s="3207"/>
      <c r="Y13" s="3206"/>
      <c r="Z13" s="3207"/>
      <c r="AA13" s="3207"/>
      <c r="AB13" s="3207"/>
      <c r="AC13" s="3207"/>
      <c r="AD13" s="3207"/>
      <c r="AE13" s="3207"/>
      <c r="AF13" s="3207"/>
      <c r="AG13" s="3207"/>
      <c r="AH13" s="3207"/>
      <c r="AI13" s="3207"/>
      <c r="AJ13" s="3207"/>
      <c r="AK13" s="3207"/>
      <c r="AL13" s="3207"/>
      <c r="AM13" s="3207"/>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199" t="s">
        <v>522</v>
      </c>
      <c r="D14" s="3199"/>
      <c r="E14" s="3199"/>
      <c r="F14" s="3199"/>
      <c r="G14" s="3199"/>
      <c r="H14" s="3199"/>
      <c r="I14" s="3199"/>
      <c r="J14" s="3199"/>
      <c r="K14" s="3199"/>
      <c r="L14" s="3199"/>
      <c r="M14" s="3199"/>
      <c r="N14" s="3199"/>
      <c r="O14" s="3199"/>
      <c r="P14" s="3199"/>
      <c r="Q14" s="3199"/>
      <c r="R14" s="3199"/>
      <c r="S14" s="3200"/>
      <c r="T14" s="3162"/>
      <c r="U14" s="3163"/>
      <c r="V14" s="3163"/>
      <c r="W14" s="3163"/>
      <c r="X14" s="3163"/>
      <c r="Y14" s="3162"/>
      <c r="Z14" s="3163"/>
      <c r="AA14" s="3163"/>
      <c r="AB14" s="3163"/>
      <c r="AC14" s="3163"/>
      <c r="AD14" s="3163"/>
      <c r="AE14" s="3163"/>
      <c r="AF14" s="3163"/>
      <c r="AG14" s="3163"/>
      <c r="AH14" s="3163"/>
      <c r="AI14" s="3163"/>
      <c r="AJ14" s="3163"/>
      <c r="AK14" s="3163"/>
      <c r="AL14" s="3163"/>
      <c r="AM14" s="3163"/>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199" t="s">
        <v>523</v>
      </c>
      <c r="D15" s="3199"/>
      <c r="E15" s="3199"/>
      <c r="F15" s="3199"/>
      <c r="G15" s="3199"/>
      <c r="H15" s="3199"/>
      <c r="I15" s="3199"/>
      <c r="J15" s="3199"/>
      <c r="K15" s="3199"/>
      <c r="L15" s="3199"/>
      <c r="M15" s="3199"/>
      <c r="N15" s="3199"/>
      <c r="O15" s="3199"/>
      <c r="P15" s="3199"/>
      <c r="Q15" s="3199"/>
      <c r="R15" s="3199"/>
      <c r="S15" s="3200"/>
      <c r="T15" s="3162"/>
      <c r="U15" s="3163"/>
      <c r="V15" s="3163"/>
      <c r="W15" s="3163"/>
      <c r="X15" s="3163"/>
      <c r="Y15" s="3162"/>
      <c r="Z15" s="3163"/>
      <c r="AA15" s="3163"/>
      <c r="AB15" s="3163"/>
      <c r="AC15" s="3163"/>
      <c r="AD15" s="3163"/>
      <c r="AE15" s="3163"/>
      <c r="AF15" s="3163"/>
      <c r="AG15" s="3163"/>
      <c r="AH15" s="3163"/>
      <c r="AI15" s="3163"/>
      <c r="AJ15" s="3163"/>
      <c r="AK15" s="3163"/>
      <c r="AL15" s="3163"/>
      <c r="AM15" s="3163"/>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199" t="s">
        <v>845</v>
      </c>
      <c r="D16" s="3199"/>
      <c r="E16" s="3199"/>
      <c r="F16" s="3199"/>
      <c r="G16" s="3199"/>
      <c r="H16" s="3199"/>
      <c r="I16" s="3199"/>
      <c r="J16" s="3199"/>
      <c r="K16" s="3199"/>
      <c r="L16" s="3199"/>
      <c r="M16" s="3199"/>
      <c r="N16" s="3199"/>
      <c r="O16" s="3199"/>
      <c r="P16" s="3199"/>
      <c r="Q16" s="3199"/>
      <c r="R16" s="3199"/>
      <c r="S16" s="3200"/>
      <c r="T16" s="3162"/>
      <c r="U16" s="3163"/>
      <c r="V16" s="3163"/>
      <c r="W16" s="3163"/>
      <c r="X16" s="3163"/>
      <c r="Y16" s="3162"/>
      <c r="Z16" s="3163"/>
      <c r="AA16" s="3163"/>
      <c r="AB16" s="3163"/>
      <c r="AC16" s="3163"/>
      <c r="AD16" s="3163"/>
      <c r="AE16" s="3163"/>
      <c r="AF16" s="3163"/>
      <c r="AG16" s="3163"/>
      <c r="AH16" s="3163"/>
      <c r="AI16" s="3163"/>
      <c r="AJ16" s="3163"/>
      <c r="AK16" s="3163"/>
      <c r="AL16" s="3163"/>
      <c r="AM16" s="3163"/>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199" t="s">
        <v>524</v>
      </c>
      <c r="D17" s="3199"/>
      <c r="E17" s="3199"/>
      <c r="F17" s="3199"/>
      <c r="G17" s="3199"/>
      <c r="H17" s="3199"/>
      <c r="I17" s="3199"/>
      <c r="J17" s="3199"/>
      <c r="K17" s="3199"/>
      <c r="L17" s="3199"/>
      <c r="M17" s="3199"/>
      <c r="N17" s="3199"/>
      <c r="O17" s="3199"/>
      <c r="P17" s="3199"/>
      <c r="Q17" s="3199"/>
      <c r="R17" s="3199"/>
      <c r="S17" s="3200"/>
      <c r="T17" s="3162"/>
      <c r="U17" s="3163"/>
      <c r="V17" s="3163"/>
      <c r="W17" s="3163"/>
      <c r="X17" s="3163"/>
      <c r="Y17" s="3162"/>
      <c r="Z17" s="3163"/>
      <c r="AA17" s="3163"/>
      <c r="AB17" s="3163"/>
      <c r="AC17" s="3163"/>
      <c r="AD17" s="3163"/>
      <c r="AE17" s="3163"/>
      <c r="AF17" s="3163"/>
      <c r="AG17" s="3163"/>
      <c r="AH17" s="3163"/>
      <c r="AI17" s="3163"/>
      <c r="AJ17" s="3163"/>
      <c r="AK17" s="3163"/>
      <c r="AL17" s="3163"/>
      <c r="AM17" s="3163"/>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194" t="s">
        <v>1015</v>
      </c>
      <c r="D18" s="3194"/>
      <c r="E18" s="3194"/>
      <c r="F18" s="3194"/>
      <c r="G18" s="3194"/>
      <c r="H18" s="3194"/>
      <c r="I18" s="3194"/>
      <c r="J18" s="3194"/>
      <c r="K18" s="3194"/>
      <c r="L18" s="3194"/>
      <c r="M18" s="3194"/>
      <c r="N18" s="3194"/>
      <c r="O18" s="3194"/>
      <c r="P18" s="3194"/>
      <c r="Q18" s="3194"/>
      <c r="R18" s="3194"/>
      <c r="S18" s="3195"/>
      <c r="T18" s="3162"/>
      <c r="U18" s="3163"/>
      <c r="V18" s="3163"/>
      <c r="W18" s="3163"/>
      <c r="X18" s="3163"/>
      <c r="Y18" s="3162"/>
      <c r="Z18" s="3163"/>
      <c r="AA18" s="3163"/>
      <c r="AB18" s="3163"/>
      <c r="AC18" s="3163"/>
      <c r="AD18" s="3163"/>
      <c r="AE18" s="3163"/>
      <c r="AF18" s="3163"/>
      <c r="AG18" s="3163"/>
      <c r="AH18" s="3163"/>
      <c r="AI18" s="3163"/>
      <c r="AJ18" s="3163"/>
      <c r="AK18" s="3163"/>
      <c r="AL18" s="3163"/>
      <c r="AM18" s="3163"/>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194" t="s">
        <v>1015</v>
      </c>
      <c r="D19" s="3194"/>
      <c r="E19" s="3194"/>
      <c r="F19" s="3194"/>
      <c r="G19" s="3194"/>
      <c r="H19" s="3194"/>
      <c r="I19" s="3194"/>
      <c r="J19" s="3194"/>
      <c r="K19" s="3194"/>
      <c r="L19" s="3194"/>
      <c r="M19" s="3194"/>
      <c r="N19" s="3194"/>
      <c r="O19" s="3194"/>
      <c r="P19" s="3194"/>
      <c r="Q19" s="3194"/>
      <c r="R19" s="3194"/>
      <c r="S19" s="3195"/>
      <c r="T19" s="3162"/>
      <c r="U19" s="3163"/>
      <c r="V19" s="3163"/>
      <c r="W19" s="3163"/>
      <c r="X19" s="3163"/>
      <c r="Y19" s="3162"/>
      <c r="Z19" s="3163"/>
      <c r="AA19" s="3163"/>
      <c r="AB19" s="3163"/>
      <c r="AC19" s="3163"/>
      <c r="AD19" s="3163"/>
      <c r="AE19" s="3163"/>
      <c r="AF19" s="3163"/>
      <c r="AG19" s="3163"/>
      <c r="AH19" s="3163"/>
      <c r="AI19" s="3163"/>
      <c r="AJ19" s="3163"/>
      <c r="AK19" s="3163"/>
      <c r="AL19" s="3163"/>
      <c r="AM19" s="3163"/>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171" t="s">
        <v>525</v>
      </c>
      <c r="C20" s="3172"/>
      <c r="D20" s="3172"/>
      <c r="E20" s="3172"/>
      <c r="F20" s="3172"/>
      <c r="G20" s="3172"/>
      <c r="H20" s="3172"/>
      <c r="I20" s="3172"/>
      <c r="J20" s="3172"/>
      <c r="K20" s="3172"/>
      <c r="L20" s="3172"/>
      <c r="M20" s="3172"/>
      <c r="N20" s="3172"/>
      <c r="O20" s="3172"/>
      <c r="P20" s="3172"/>
      <c r="Q20" s="3172"/>
      <c r="R20" s="3172"/>
      <c r="S20" s="3173"/>
      <c r="T20" s="3164">
        <f>SUM(T13:X19)</f>
        <v>0</v>
      </c>
      <c r="U20" s="3165"/>
      <c r="V20" s="3165"/>
      <c r="W20" s="3165"/>
      <c r="X20" s="3165"/>
      <c r="Y20" s="3164">
        <f>SUM(Y13:AC19)</f>
        <v>0</v>
      </c>
      <c r="Z20" s="3165"/>
      <c r="AA20" s="3165"/>
      <c r="AB20" s="3165"/>
      <c r="AC20" s="3165"/>
      <c r="AD20" s="3166">
        <f>SUM(AD13:AH19)</f>
        <v>0</v>
      </c>
      <c r="AE20" s="3167"/>
      <c r="AF20" s="3167"/>
      <c r="AG20" s="3167"/>
      <c r="AH20" s="3164"/>
      <c r="AI20" s="3166">
        <f>SUM(AI13:AM19)</f>
        <v>0</v>
      </c>
      <c r="AJ20" s="3167"/>
      <c r="AK20" s="3167"/>
      <c r="AL20" s="3167"/>
      <c r="AM20" s="3164"/>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171" t="s">
        <v>1438</v>
      </c>
      <c r="C21" s="3172"/>
      <c r="D21" s="3172"/>
      <c r="E21" s="3172"/>
      <c r="F21" s="3172"/>
      <c r="G21" s="3172"/>
      <c r="H21" s="3172"/>
      <c r="I21" s="3172"/>
      <c r="J21" s="3172"/>
      <c r="K21" s="3172"/>
      <c r="L21" s="3172"/>
      <c r="M21" s="3172"/>
      <c r="N21" s="3172"/>
      <c r="O21" s="3172"/>
      <c r="P21" s="3172"/>
      <c r="Q21" s="3172"/>
      <c r="R21" s="3172"/>
      <c r="S21" s="3173"/>
      <c r="T21" s="3162"/>
      <c r="U21" s="3163"/>
      <c r="V21" s="3163"/>
      <c r="W21" s="3163"/>
      <c r="X21" s="3163"/>
      <c r="Y21" s="3162"/>
      <c r="Z21" s="3163"/>
      <c r="AA21" s="3163"/>
      <c r="AB21" s="3163"/>
      <c r="AC21" s="3163"/>
      <c r="AD21" s="3159"/>
      <c r="AE21" s="3160"/>
      <c r="AF21" s="3160"/>
      <c r="AG21" s="3160"/>
      <c r="AH21" s="3161"/>
      <c r="AI21" s="3159"/>
      <c r="AJ21" s="3160"/>
      <c r="AK21" s="3160"/>
      <c r="AL21" s="3160"/>
      <c r="AM21" s="3161"/>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171" t="s">
        <v>526</v>
      </c>
      <c r="C22" s="3172"/>
      <c r="D22" s="3172"/>
      <c r="E22" s="3172"/>
      <c r="F22" s="3172"/>
      <c r="G22" s="3172"/>
      <c r="H22" s="3172"/>
      <c r="I22" s="3172"/>
      <c r="J22" s="3172"/>
      <c r="K22" s="3172"/>
      <c r="L22" s="3172"/>
      <c r="M22" s="3172"/>
      <c r="N22" s="3172"/>
      <c r="O22" s="3172"/>
      <c r="P22" s="3172"/>
      <c r="Q22" s="3172"/>
      <c r="R22" s="3172"/>
      <c r="S22" s="3173"/>
      <c r="T22" s="3208">
        <f>(T20+T21)*-1</f>
        <v>0</v>
      </c>
      <c r="U22" s="3209"/>
      <c r="V22" s="3209"/>
      <c r="W22" s="3209"/>
      <c r="X22" s="3209"/>
      <c r="Y22" s="3208">
        <f>(Y20+Y21)*-1</f>
        <v>0</v>
      </c>
      <c r="Z22" s="3209"/>
      <c r="AA22" s="3209"/>
      <c r="AB22" s="3209"/>
      <c r="AC22" s="3209"/>
      <c r="AD22" s="3210">
        <f>(AD20)*-1</f>
        <v>0</v>
      </c>
      <c r="AE22" s="3211"/>
      <c r="AF22" s="3211"/>
      <c r="AG22" s="3211"/>
      <c r="AH22" s="3208"/>
      <c r="AI22" s="3210">
        <f>(AI20)*-1</f>
        <v>0</v>
      </c>
      <c r="AJ22" s="3211"/>
      <c r="AK22" s="3211"/>
      <c r="AL22" s="3211"/>
      <c r="AM22" s="3208"/>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174" t="s">
        <v>527</v>
      </c>
      <c r="C23" s="3175"/>
      <c r="D23" s="3175"/>
      <c r="E23" s="3175"/>
      <c r="F23" s="3175"/>
      <c r="G23" s="3175"/>
      <c r="H23" s="3175"/>
      <c r="I23" s="3175"/>
      <c r="J23" s="3175"/>
      <c r="K23" s="3175"/>
      <c r="L23" s="3175"/>
      <c r="M23" s="3175"/>
      <c r="N23" s="3175"/>
      <c r="O23" s="3175"/>
      <c r="P23" s="3175"/>
      <c r="Q23" s="3175"/>
      <c r="R23" s="3175"/>
      <c r="S23" s="3176"/>
      <c r="T23" s="3164">
        <f>T11+T22</f>
        <v>65666974.930457473</v>
      </c>
      <c r="U23" s="3165"/>
      <c r="V23" s="3165"/>
      <c r="W23" s="3165"/>
      <c r="X23" s="3165"/>
      <c r="Y23" s="3164">
        <f>Y11+Y22</f>
        <v>0</v>
      </c>
      <c r="Z23" s="3165"/>
      <c r="AA23" s="3165"/>
      <c r="AB23" s="3165"/>
      <c r="AC23" s="3165"/>
      <c r="AD23" s="3164">
        <f>AD11+AD22</f>
        <v>0</v>
      </c>
      <c r="AE23" s="3165"/>
      <c r="AF23" s="3165"/>
      <c r="AG23" s="3165"/>
      <c r="AH23" s="3165"/>
      <c r="AI23" s="3164">
        <f>AI11+AI22</f>
        <v>0</v>
      </c>
      <c r="AJ23" s="3165"/>
      <c r="AK23" s="3165"/>
      <c r="AL23" s="3165"/>
      <c r="AM23" s="3165"/>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171" t="s">
        <v>1016</v>
      </c>
      <c r="C24" s="3172"/>
      <c r="D24" s="3172"/>
      <c r="E24" s="3172"/>
      <c r="F24" s="3172"/>
      <c r="G24" s="3172"/>
      <c r="H24" s="3172"/>
      <c r="I24" s="3172"/>
      <c r="J24" s="3172"/>
      <c r="K24" s="3172"/>
      <c r="L24" s="3172"/>
      <c r="M24" s="3172"/>
      <c r="N24" s="3172"/>
      <c r="O24" s="3172"/>
      <c r="P24" s="3172"/>
      <c r="Q24" s="3172"/>
      <c r="R24" s="3172"/>
      <c r="S24" s="3173"/>
      <c r="T24" s="3166">
        <f>Application!AJ1032</f>
        <v>137630395.79999998</v>
      </c>
      <c r="U24" s="3167"/>
      <c r="V24" s="3167"/>
      <c r="W24" s="3167"/>
      <c r="X24" s="3167"/>
      <c r="Y24" s="3167"/>
      <c r="Z24" s="3167"/>
      <c r="AA24" s="3167"/>
      <c r="AB24" s="3167"/>
      <c r="AC24" s="3167"/>
      <c r="AD24" s="3167"/>
      <c r="AE24" s="3167"/>
      <c r="AF24" s="3167"/>
      <c r="AG24" s="3167"/>
      <c r="AH24" s="3167"/>
      <c r="AI24" s="3167"/>
      <c r="AJ24" s="3167"/>
      <c r="AK24" s="3167"/>
      <c r="AL24" s="3167"/>
      <c r="AM24" s="3164"/>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178" t="s">
        <v>1439</v>
      </c>
      <c r="C25" s="3179"/>
      <c r="D25" s="3179"/>
      <c r="E25" s="3179"/>
      <c r="F25" s="3179"/>
      <c r="G25" s="3179"/>
      <c r="H25" s="3179"/>
      <c r="I25" s="3179"/>
      <c r="J25" s="3179"/>
      <c r="K25" s="3179"/>
      <c r="L25" s="3179"/>
      <c r="M25" s="3179"/>
      <c r="N25" s="3179"/>
      <c r="O25" s="3179"/>
      <c r="P25" s="3179"/>
      <c r="Q25" s="3179"/>
      <c r="R25" s="3179"/>
      <c r="S25" s="3180"/>
      <c r="T25" s="3212">
        <f>IF(OR(Application!T195="yes",Application!T194="yes"),1.3,1)</f>
        <v>1.3</v>
      </c>
      <c r="U25" s="3213"/>
      <c r="V25" s="3213"/>
      <c r="W25" s="3213"/>
      <c r="X25" s="3213"/>
      <c r="Y25" s="3212">
        <v>1</v>
      </c>
      <c r="Z25" s="3213"/>
      <c r="AA25" s="3213"/>
      <c r="AB25" s="3213"/>
      <c r="AC25" s="3213"/>
      <c r="AD25" s="3212">
        <v>1</v>
      </c>
      <c r="AE25" s="3213"/>
      <c r="AF25" s="3213"/>
      <c r="AG25" s="3213"/>
      <c r="AH25" s="3214"/>
      <c r="AI25" s="3212">
        <v>1</v>
      </c>
      <c r="AJ25" s="3213"/>
      <c r="AK25" s="3213"/>
      <c r="AL25" s="3213"/>
      <c r="AM25" s="3214"/>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171" t="s">
        <v>528</v>
      </c>
      <c r="C26" s="3172"/>
      <c r="D26" s="3172"/>
      <c r="E26" s="3172"/>
      <c r="F26" s="3172"/>
      <c r="G26" s="3172"/>
      <c r="H26" s="3172"/>
      <c r="I26" s="3172"/>
      <c r="J26" s="3172"/>
      <c r="K26" s="3172"/>
      <c r="L26" s="3172"/>
      <c r="M26" s="3172"/>
      <c r="N26" s="3172"/>
      <c r="O26" s="3172"/>
      <c r="P26" s="3172"/>
      <c r="Q26" s="3172"/>
      <c r="R26" s="3172"/>
      <c r="S26" s="3173"/>
      <c r="T26" s="3215">
        <f>T23*T25</f>
        <v>85367067.409594715</v>
      </c>
      <c r="U26" s="3216"/>
      <c r="V26" s="3216"/>
      <c r="W26" s="3216"/>
      <c r="X26" s="3216"/>
      <c r="Y26" s="3215">
        <f>Y23*Y25</f>
        <v>0</v>
      </c>
      <c r="Z26" s="3216"/>
      <c r="AA26" s="3216"/>
      <c r="AB26" s="3216"/>
      <c r="AC26" s="3216"/>
      <c r="AD26" s="3215">
        <f>AD23*AD25</f>
        <v>0</v>
      </c>
      <c r="AE26" s="3216"/>
      <c r="AF26" s="3216"/>
      <c r="AG26" s="3216"/>
      <c r="AH26" s="3216"/>
      <c r="AI26" s="3215">
        <f>AI23*AI25</f>
        <v>0</v>
      </c>
      <c r="AJ26" s="3216"/>
      <c r="AK26" s="3216"/>
      <c r="AL26" s="3216"/>
      <c r="AM26" s="3216"/>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181" t="s">
        <v>441</v>
      </c>
      <c r="C27" s="3182"/>
      <c r="D27" s="3182"/>
      <c r="E27" s="3182"/>
      <c r="F27" s="3182"/>
      <c r="G27" s="3182"/>
      <c r="H27" s="3182"/>
      <c r="I27" s="3182"/>
      <c r="J27" s="3182"/>
      <c r="K27" s="3182"/>
      <c r="L27" s="3182"/>
      <c r="M27" s="3182"/>
      <c r="N27" s="3182"/>
      <c r="O27" s="3182"/>
      <c r="P27" s="3182"/>
      <c r="Q27" s="3182"/>
      <c r="R27" s="3182"/>
      <c r="S27" s="3183"/>
      <c r="T27" s="3192">
        <f>Application!$AG$444</f>
        <v>1</v>
      </c>
      <c r="U27" s="3193"/>
      <c r="V27" s="3193"/>
      <c r="W27" s="3193"/>
      <c r="X27" s="3193"/>
      <c r="Y27" s="3192">
        <f>Application!$AG$444</f>
        <v>1</v>
      </c>
      <c r="Z27" s="3193"/>
      <c r="AA27" s="3193"/>
      <c r="AB27" s="3193"/>
      <c r="AC27" s="3193"/>
      <c r="AD27" s="3192">
        <f>Application!$AG$444</f>
        <v>1</v>
      </c>
      <c r="AE27" s="3193"/>
      <c r="AF27" s="3193"/>
      <c r="AG27" s="3193"/>
      <c r="AH27" s="3193"/>
      <c r="AI27" s="3192">
        <f>Application!$AG$444</f>
        <v>1</v>
      </c>
      <c r="AJ27" s="3193"/>
      <c r="AK27" s="3193"/>
      <c r="AL27" s="3193"/>
      <c r="AM27" s="3193"/>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1" t="s">
        <v>529</v>
      </c>
      <c r="C28" s="3172"/>
      <c r="D28" s="3172"/>
      <c r="E28" s="3172"/>
      <c r="F28" s="3172"/>
      <c r="G28" s="3172"/>
      <c r="H28" s="3172"/>
      <c r="I28" s="3172"/>
      <c r="J28" s="3172"/>
      <c r="K28" s="3172"/>
      <c r="L28" s="3172"/>
      <c r="M28" s="3172"/>
      <c r="N28" s="3172"/>
      <c r="O28" s="3172"/>
      <c r="P28" s="3172"/>
      <c r="Q28" s="3172"/>
      <c r="R28" s="3172"/>
      <c r="S28" s="3173"/>
      <c r="T28" s="3184">
        <f>IF(ISERROR((T26*T27)),0,(T26*T27))</f>
        <v>85367067.409594715</v>
      </c>
      <c r="U28" s="3185"/>
      <c r="V28" s="3185"/>
      <c r="W28" s="3185"/>
      <c r="X28" s="3185"/>
      <c r="Y28" s="3184">
        <f>IF(ISERROR((Y26*Y27)),0,(Y26*Y27))</f>
        <v>0</v>
      </c>
      <c r="Z28" s="3185"/>
      <c r="AA28" s="3185"/>
      <c r="AB28" s="3185"/>
      <c r="AC28" s="3185"/>
      <c r="AD28" s="3184">
        <f>IF(ISERROR((AD26*AD27)),0,(AD26*AD27))</f>
        <v>0</v>
      </c>
      <c r="AE28" s="3185"/>
      <c r="AF28" s="3185"/>
      <c r="AG28" s="3185"/>
      <c r="AH28" s="3185"/>
      <c r="AI28" s="3184">
        <f>IF(ISERROR((AI26*AI27)),0,(AI26*AI27))</f>
        <v>0</v>
      </c>
      <c r="AJ28" s="3185"/>
      <c r="AK28" s="3185"/>
      <c r="AL28" s="3185"/>
      <c r="AM28" s="3185"/>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171" t="s">
        <v>546</v>
      </c>
      <c r="C29" s="3172"/>
      <c r="D29" s="3172"/>
      <c r="E29" s="3172"/>
      <c r="F29" s="3172"/>
      <c r="G29" s="3172"/>
      <c r="H29" s="3172"/>
      <c r="I29" s="3172"/>
      <c r="J29" s="3172"/>
      <c r="K29" s="3172"/>
      <c r="L29" s="3172"/>
      <c r="M29" s="3172"/>
      <c r="N29" s="3172"/>
      <c r="O29" s="3172"/>
      <c r="P29" s="3172"/>
      <c r="Q29" s="3172"/>
      <c r="R29" s="3172"/>
      <c r="S29" s="3173"/>
      <c r="T29" s="3166">
        <f>T28+Y28+AD28+AI28</f>
        <v>85367067.409594715</v>
      </c>
      <c r="U29" s="3167"/>
      <c r="V29" s="3167"/>
      <c r="W29" s="3167"/>
      <c r="X29" s="3167"/>
      <c r="Y29" s="3167"/>
      <c r="Z29" s="3167"/>
      <c r="AA29" s="3167"/>
      <c r="AB29" s="3167"/>
      <c r="AC29" s="3167"/>
      <c r="AD29" s="3167"/>
      <c r="AE29" s="3167"/>
      <c r="AF29" s="3167"/>
      <c r="AG29" s="3167"/>
      <c r="AH29" s="3167"/>
      <c r="AI29" s="3167"/>
      <c r="AJ29" s="3167"/>
      <c r="AK29" s="3167"/>
      <c r="AL29" s="3167"/>
      <c r="AM29" s="3164"/>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77" t="s">
        <v>1441</v>
      </c>
      <c r="C30" s="3177"/>
      <c r="D30" s="3177"/>
      <c r="E30" s="3177"/>
      <c r="F30" s="3177"/>
      <c r="G30" s="3177"/>
      <c r="H30" s="3177"/>
      <c r="I30" s="3177"/>
      <c r="J30" s="3177"/>
      <c r="K30" s="3177"/>
      <c r="L30" s="3177"/>
      <c r="M30" s="317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7"/>
      <c r="AK30" s="3177"/>
      <c r="AL30" s="3177"/>
      <c r="AM30" s="3177"/>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77" t="s">
        <v>1440</v>
      </c>
      <c r="C31" s="3177"/>
      <c r="D31" s="3177"/>
      <c r="E31" s="3177"/>
      <c r="F31" s="3177"/>
      <c r="G31" s="3177"/>
      <c r="H31" s="3177"/>
      <c r="I31" s="3177"/>
      <c r="J31" s="3177"/>
      <c r="K31" s="3177"/>
      <c r="L31" s="3177"/>
      <c r="M31" s="3177"/>
      <c r="N31" s="3177"/>
      <c r="O31" s="3177"/>
      <c r="P31" s="3177"/>
      <c r="Q31" s="3177"/>
      <c r="R31" s="3177"/>
      <c r="S31" s="3177"/>
      <c r="T31" s="3177"/>
      <c r="U31" s="3177"/>
      <c r="V31" s="3177"/>
      <c r="W31" s="3177"/>
      <c r="X31" s="3177"/>
      <c r="Y31" s="3177"/>
      <c r="Z31" s="3177"/>
      <c r="AA31" s="3177"/>
      <c r="AB31" s="3177"/>
      <c r="AC31" s="3177"/>
      <c r="AD31" s="3177"/>
      <c r="AE31" s="3177"/>
      <c r="AF31" s="3177"/>
      <c r="AG31" s="3177"/>
      <c r="AH31" s="3177"/>
      <c r="AI31" s="3177"/>
      <c r="AJ31" s="3177"/>
      <c r="AK31" s="3177"/>
      <c r="AL31" s="3177"/>
      <c r="AM31" s="3177"/>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400</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600</v>
      </c>
      <c r="B34" s="610"/>
      <c r="C34" s="615" t="s">
        <v>591</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203" t="s">
        <v>1310</v>
      </c>
      <c r="Z35" s="3203"/>
      <c r="AA35" s="3203"/>
      <c r="AB35" s="3203"/>
      <c r="AC35" s="3203"/>
      <c r="AD35" s="3229" t="s">
        <v>375</v>
      </c>
      <c r="AE35" s="3229"/>
      <c r="AF35" s="3229"/>
      <c r="AG35" s="3229"/>
      <c r="AH35" s="3229"/>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203"/>
      <c r="Z36" s="3203"/>
      <c r="AA36" s="3203"/>
      <c r="AB36" s="3203"/>
      <c r="AC36" s="3203"/>
      <c r="AD36" s="3229"/>
      <c r="AE36" s="3229"/>
      <c r="AF36" s="3229"/>
      <c r="AG36" s="3229"/>
      <c r="AH36" s="3229"/>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203"/>
      <c r="Z37" s="3203"/>
      <c r="AA37" s="3203"/>
      <c r="AB37" s="3203"/>
      <c r="AC37" s="3203"/>
      <c r="AD37" s="3229"/>
      <c r="AE37" s="3229"/>
      <c r="AF37" s="3229"/>
      <c r="AG37" s="3229"/>
      <c r="AH37" s="3229"/>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1" t="s">
        <v>529</v>
      </c>
      <c r="C38" s="3172"/>
      <c r="D38" s="3172"/>
      <c r="E38" s="3172"/>
      <c r="F38" s="3172"/>
      <c r="G38" s="3172"/>
      <c r="H38" s="3172"/>
      <c r="I38" s="3172"/>
      <c r="J38" s="3172"/>
      <c r="K38" s="3172"/>
      <c r="L38" s="3172"/>
      <c r="M38" s="3172"/>
      <c r="N38" s="3172"/>
      <c r="O38" s="3172"/>
      <c r="P38" s="3172"/>
      <c r="Q38" s="3172"/>
      <c r="R38" s="3172"/>
      <c r="S38" s="3172"/>
      <c r="T38" s="3172"/>
      <c r="U38" s="3172"/>
      <c r="V38" s="3172"/>
      <c r="W38" s="3172"/>
      <c r="X38" s="3173"/>
      <c r="Y38" s="3165">
        <f>IF(T24&gt;=(T23+Y23+AD23+AI23),T28+Y28,0)</f>
        <v>85367067.409594715</v>
      </c>
      <c r="Z38" s="3165"/>
      <c r="AA38" s="3165"/>
      <c r="AB38" s="3165"/>
      <c r="AC38" s="3165"/>
      <c r="AD38" s="3165">
        <f>IF(T24&gt;=(T23+Y23+AD23+AI23),AD28+AI28,0)</f>
        <v>0</v>
      </c>
      <c r="AE38" s="3165"/>
      <c r="AF38" s="3165"/>
      <c r="AG38" s="3165"/>
      <c r="AH38" s="3165"/>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171" t="s">
        <v>1998</v>
      </c>
      <c r="C39" s="3172"/>
      <c r="D39" s="3172"/>
      <c r="E39" s="3172"/>
      <c r="F39" s="3172"/>
      <c r="G39" s="3172"/>
      <c r="H39" s="3172"/>
      <c r="I39" s="3172"/>
      <c r="J39" s="3172"/>
      <c r="K39" s="3172"/>
      <c r="L39" s="3172"/>
      <c r="M39" s="3172"/>
      <c r="N39" s="3172"/>
      <c r="O39" s="3172"/>
      <c r="P39" s="3172"/>
      <c r="Q39" s="3172"/>
      <c r="R39" s="3172"/>
      <c r="S39" s="3172"/>
      <c r="T39" s="3172"/>
      <c r="U39" s="3172"/>
      <c r="V39" s="3172"/>
      <c r="W39" s="3172"/>
      <c r="X39" s="3173"/>
      <c r="Y39" s="3230">
        <v>0.04</v>
      </c>
      <c r="Z39" s="3230"/>
      <c r="AA39" s="3230"/>
      <c r="AB39" s="3230"/>
      <c r="AC39" s="3230"/>
      <c r="AD39" s="3230">
        <v>0.04</v>
      </c>
      <c r="AE39" s="3230"/>
      <c r="AF39" s="3230"/>
      <c r="AG39" s="3230"/>
      <c r="AH39" s="3230"/>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1" t="s">
        <v>666</v>
      </c>
      <c r="C40" s="3172"/>
      <c r="D40" s="3172"/>
      <c r="E40" s="3172"/>
      <c r="F40" s="3172"/>
      <c r="G40" s="3172"/>
      <c r="H40" s="3172"/>
      <c r="I40" s="3172"/>
      <c r="J40" s="3172"/>
      <c r="K40" s="3172"/>
      <c r="L40" s="3172"/>
      <c r="M40" s="3172"/>
      <c r="N40" s="3172"/>
      <c r="O40" s="3172"/>
      <c r="P40" s="3172"/>
      <c r="Q40" s="3172"/>
      <c r="R40" s="3172"/>
      <c r="S40" s="3172"/>
      <c r="T40" s="3172"/>
      <c r="U40" s="3172"/>
      <c r="V40" s="3172"/>
      <c r="W40" s="3172"/>
      <c r="X40" s="3173"/>
      <c r="Y40" s="3165">
        <f>ROUND(Y38*Y39,0)</f>
        <v>3414683</v>
      </c>
      <c r="Z40" s="3165"/>
      <c r="AA40" s="3165"/>
      <c r="AB40" s="3165"/>
      <c r="AC40" s="3165"/>
      <c r="AD40" s="3164">
        <f>ROUND(AD38*AD39,0)</f>
        <v>0</v>
      </c>
      <c r="AE40" s="3165"/>
      <c r="AF40" s="3165"/>
      <c r="AG40" s="3165"/>
      <c r="AH40" s="3165"/>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171" t="s">
        <v>667</v>
      </c>
      <c r="C41" s="3172"/>
      <c r="D41" s="3172"/>
      <c r="E41" s="3172"/>
      <c r="F41" s="3172"/>
      <c r="G41" s="3172"/>
      <c r="H41" s="3172"/>
      <c r="I41" s="3172"/>
      <c r="J41" s="3172"/>
      <c r="K41" s="3172"/>
      <c r="L41" s="3172"/>
      <c r="M41" s="3172"/>
      <c r="N41" s="3172"/>
      <c r="O41" s="3172"/>
      <c r="P41" s="3172"/>
      <c r="Q41" s="3172"/>
      <c r="R41" s="3172"/>
      <c r="S41" s="3172"/>
      <c r="T41" s="3172"/>
      <c r="U41" s="3172"/>
      <c r="V41" s="3172"/>
      <c r="W41" s="3172"/>
      <c r="X41" s="3173"/>
      <c r="Y41" s="3186">
        <f>Y40+AD40</f>
        <v>3414683</v>
      </c>
      <c r="Z41" s="3187"/>
      <c r="AA41" s="3187"/>
      <c r="AB41" s="3187"/>
      <c r="AC41" s="3187"/>
      <c r="AD41" s="3187"/>
      <c r="AE41" s="3187"/>
      <c r="AF41" s="3187"/>
      <c r="AG41" s="3187"/>
      <c r="AH41" s="3188"/>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169" t="s">
        <v>1451</v>
      </c>
      <c r="B44" s="3169"/>
      <c r="C44" s="3169"/>
      <c r="D44" s="3169"/>
      <c r="E44" s="3169"/>
      <c r="F44" s="3169"/>
      <c r="G44" s="3169"/>
      <c r="H44" s="3169"/>
      <c r="I44" s="3169"/>
      <c r="J44" s="3169"/>
      <c r="K44" s="3169"/>
      <c r="L44" s="3169"/>
      <c r="M44" s="3169"/>
      <c r="N44" s="3169"/>
      <c r="O44" s="3169"/>
      <c r="P44" s="3169"/>
      <c r="Q44" s="3169"/>
      <c r="R44" s="3169"/>
      <c r="S44" s="3169"/>
      <c r="T44" s="3169"/>
      <c r="U44" s="3169"/>
      <c r="V44" s="3169"/>
      <c r="W44" s="3169"/>
      <c r="X44" s="3169"/>
      <c r="Y44" s="3169"/>
      <c r="Z44" s="3169"/>
      <c r="AA44" s="3169"/>
      <c r="AB44" s="3169"/>
      <c r="AC44" s="3169"/>
      <c r="AD44" s="3169"/>
      <c r="AE44" s="3169"/>
      <c r="AF44" s="3169"/>
      <c r="AG44" s="3169"/>
      <c r="AH44" s="3169"/>
      <c r="AI44" s="3169"/>
      <c r="AJ44" s="3169"/>
      <c r="AK44" s="3169"/>
      <c r="AL44" s="3169"/>
      <c r="AM44" s="3169"/>
      <c r="AN44" s="3169"/>
      <c r="AO44" s="3169"/>
      <c r="AP44" s="3169"/>
      <c r="AQ44" s="3169"/>
      <c r="AR44" s="3169"/>
      <c r="AS44" s="3169"/>
      <c r="AT44" s="3169"/>
      <c r="AU44" s="3169"/>
      <c r="AV44" s="3169"/>
      <c r="AW44" s="3169"/>
      <c r="AX44" s="3169"/>
      <c r="AY44" s="3169"/>
      <c r="AZ44" s="3169"/>
      <c r="BA44" s="3169"/>
      <c r="BB44" s="3169"/>
      <c r="BC44" s="3169"/>
      <c r="BD44" s="3169"/>
      <c r="BE44" s="3169"/>
      <c r="BF44" s="3169"/>
      <c r="BG44" s="3169"/>
      <c r="BH44" s="3169"/>
      <c r="BI44" s="3169"/>
      <c r="BJ44" s="3169"/>
      <c r="BK44" s="3169"/>
      <c r="BL44" s="3169"/>
      <c r="BM44" s="3169"/>
      <c r="BN44" s="3169"/>
      <c r="BO44" s="3169"/>
      <c r="BP44" s="3169"/>
      <c r="BQ44" s="3169"/>
      <c r="BR44" s="3169"/>
      <c r="BS44" s="3169"/>
      <c r="BT44" s="3169"/>
      <c r="BU44" s="3169"/>
      <c r="BV44" s="3169"/>
      <c r="BW44" s="3169"/>
      <c r="BX44" s="316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610</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89">
        <f>'Sources and Uses Budget'!B105-MAX(IF('Sources and Uses Budget'!B15="",0,'Sources and Uses Budget'!B15),IF(Application!AG393="",0,Application!AG393))</f>
        <v>68883892.600918442</v>
      </c>
      <c r="AC47" s="3190"/>
      <c r="AD47" s="3190"/>
      <c r="AE47" s="3190"/>
      <c r="AF47" s="3191"/>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89">
        <f>Application!AO649-MAX(IF('Sources and Uses Budget'!B15="",0,'Sources and Uses Budget'!B15),IF(Application!AG393="",0,Application!AG393))</f>
        <v>37000875.254910827</v>
      </c>
      <c r="AC48" s="3190"/>
      <c r="AD48" s="3190"/>
      <c r="AE48" s="3190"/>
      <c r="AF48" s="3191"/>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89">
        <f>AB47-AB48</f>
        <v>31883017.346007615</v>
      </c>
      <c r="AC49" s="3190"/>
      <c r="AD49" s="3190"/>
      <c r="AE49" s="3190"/>
      <c r="AF49" s="3191"/>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222">
        <f>Application!AO650/(Y40*10)</f>
        <v>0.93370357793117587</v>
      </c>
      <c r="AC50" s="3223"/>
      <c r="AD50" s="3223"/>
      <c r="AE50" s="3223"/>
      <c r="AF50" s="3224"/>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225" t="s">
        <v>2161</v>
      </c>
      <c r="F51" s="3225"/>
      <c r="G51" s="3225"/>
      <c r="H51" s="3225"/>
      <c r="I51" s="3225"/>
      <c r="J51" s="3225"/>
      <c r="K51" s="3225"/>
      <c r="L51" s="3225"/>
      <c r="M51" s="3225"/>
      <c r="N51" s="3225"/>
      <c r="O51" s="3225"/>
      <c r="P51" s="3225"/>
      <c r="Q51" s="3225"/>
      <c r="R51" s="3225"/>
      <c r="S51" s="3225"/>
      <c r="T51" s="3225"/>
      <c r="U51" s="3225"/>
      <c r="V51" s="3225"/>
      <c r="W51" s="3225"/>
      <c r="X51" s="3225"/>
      <c r="Y51" s="3225"/>
      <c r="Z51" s="3225"/>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225"/>
      <c r="F52" s="3225"/>
      <c r="G52" s="3225"/>
      <c r="H52" s="3225"/>
      <c r="I52" s="3225"/>
      <c r="J52" s="3225"/>
      <c r="K52" s="3225"/>
      <c r="L52" s="3225"/>
      <c r="M52" s="3225"/>
      <c r="N52" s="3225"/>
      <c r="O52" s="3225"/>
      <c r="P52" s="3225"/>
      <c r="Q52" s="3225"/>
      <c r="R52" s="3225"/>
      <c r="S52" s="3225"/>
      <c r="T52" s="3225"/>
      <c r="U52" s="3225"/>
      <c r="V52" s="3225"/>
      <c r="W52" s="3225"/>
      <c r="X52" s="3225"/>
      <c r="Y52" s="3225"/>
      <c r="Z52" s="3225"/>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89">
        <f>ROUND(IF(ISERROR((AB49/AB50)),0,(AB49/AB50)),0)</f>
        <v>34146830</v>
      </c>
      <c r="AC54" s="3190"/>
      <c r="AD54" s="3190"/>
      <c r="AE54" s="3190"/>
      <c r="AF54" s="3191"/>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89">
        <f>(AB54/10)</f>
        <v>3414683</v>
      </c>
      <c r="AC55" s="3190"/>
      <c r="AD55" s="3190"/>
      <c r="AE55" s="3190"/>
      <c r="AF55" s="3191"/>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226">
        <f>(IF((Y41&lt;AB55),Y41,AB55))</f>
        <v>3414683</v>
      </c>
      <c r="AC56" s="3227"/>
      <c r="AD56" s="3227"/>
      <c r="AE56" s="3227"/>
      <c r="AF56" s="3228"/>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89">
        <f>ROUND((10*AB56*AB50),0)</f>
        <v>31883017</v>
      </c>
      <c r="AC57" s="3190"/>
      <c r="AD57" s="3190"/>
      <c r="AE57" s="3190"/>
      <c r="AF57" s="3191"/>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217">
        <f>AB49-AB57</f>
        <v>0.34600761532783508</v>
      </c>
      <c r="AC59" s="3217"/>
      <c r="AD59" s="3217"/>
      <c r="AE59" s="3217"/>
      <c r="AF59" s="3217"/>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169" t="str">
        <f>IF(Application!AP204="yes","Farmworker State Credit", "State Credit" )</f>
        <v>State Credit</v>
      </c>
      <c r="B61" s="3169"/>
      <c r="C61" s="3169"/>
      <c r="D61" s="3169"/>
      <c r="E61" s="3169"/>
      <c r="F61" s="3169"/>
      <c r="G61" s="3169"/>
      <c r="H61" s="3169"/>
      <c r="I61" s="3169"/>
      <c r="J61" s="3169"/>
      <c r="K61" s="3169"/>
      <c r="L61" s="3169"/>
      <c r="M61" s="3169"/>
      <c r="N61" s="3169"/>
      <c r="O61" s="3169"/>
      <c r="P61" s="3169"/>
      <c r="Q61" s="3169"/>
      <c r="R61" s="3169"/>
      <c r="S61" s="3169"/>
      <c r="T61" s="3169"/>
      <c r="U61" s="3169"/>
      <c r="V61" s="3169"/>
      <c r="W61" s="3169"/>
      <c r="X61" s="3169"/>
      <c r="Y61" s="3169"/>
      <c r="Z61" s="3169"/>
      <c r="AA61" s="3169"/>
      <c r="AB61" s="3169"/>
      <c r="AC61" s="3169"/>
      <c r="AD61" s="3169"/>
      <c r="AE61" s="3169"/>
      <c r="AF61" s="3169"/>
      <c r="AG61" s="3169"/>
      <c r="AH61" s="3169"/>
      <c r="AI61" s="3169"/>
      <c r="AJ61" s="3169"/>
      <c r="AK61" s="3169"/>
      <c r="AL61" s="3169"/>
      <c r="AM61" s="3169"/>
      <c r="AN61" s="3169"/>
      <c r="AO61" s="3169"/>
      <c r="AP61" s="3169"/>
      <c r="AQ61" s="3169"/>
      <c r="AR61" s="3169"/>
      <c r="AS61" s="3169"/>
      <c r="AT61" s="3169"/>
      <c r="AU61" s="3169"/>
      <c r="AV61" s="3169"/>
      <c r="AW61" s="3169"/>
      <c r="AX61" s="3169"/>
      <c r="AY61" s="3169"/>
      <c r="AZ61" s="3169"/>
      <c r="BA61" s="3169"/>
      <c r="BB61" s="3169"/>
      <c r="BC61" s="3169"/>
      <c r="BD61" s="3169"/>
      <c r="BE61" s="3169"/>
      <c r="BF61" s="3169"/>
      <c r="BG61" s="3169"/>
      <c r="BH61" s="3169"/>
      <c r="BI61" s="3169"/>
      <c r="BJ61" s="3169"/>
      <c r="BK61" s="3169"/>
      <c r="BL61" s="3169"/>
      <c r="BM61" s="3169"/>
      <c r="BN61" s="3169"/>
      <c r="BO61" s="3169"/>
      <c r="BP61" s="3169"/>
      <c r="BQ61" s="3169"/>
      <c r="BR61" s="3169"/>
      <c r="BS61" s="3169"/>
      <c r="BT61" s="3169"/>
      <c r="BU61" s="3169"/>
      <c r="BV61" s="3169"/>
      <c r="BW61" s="3169"/>
      <c r="BX61" s="316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613</v>
      </c>
      <c r="B63" s="610"/>
      <c r="C63" s="326" t="s">
        <v>1422</v>
      </c>
      <c r="D63" s="610"/>
      <c r="E63" s="610"/>
      <c r="F63" s="610"/>
      <c r="G63" s="610"/>
      <c r="H63" s="610"/>
      <c r="I63" s="610"/>
      <c r="J63" s="610"/>
      <c r="K63" s="610"/>
      <c r="L63" s="610"/>
      <c r="M63" s="610"/>
      <c r="N63" s="610"/>
      <c r="O63" s="610"/>
      <c r="P63" s="610"/>
      <c r="Q63" s="610"/>
      <c r="R63" s="610"/>
      <c r="S63" s="610"/>
      <c r="T63" s="610"/>
      <c r="U63" s="610"/>
      <c r="V63" s="610"/>
      <c r="W63" s="610"/>
      <c r="X63" s="610"/>
      <c r="Y63" s="3218" t="s">
        <v>1039</v>
      </c>
      <c r="Z63" s="3218"/>
      <c r="AA63" s="3218"/>
      <c r="AB63" s="3218"/>
      <c r="AC63" s="3218"/>
      <c r="AD63" s="3218" t="s">
        <v>375</v>
      </c>
      <c r="AE63" s="3218"/>
      <c r="AF63" s="3218"/>
      <c r="AG63" s="3218"/>
      <c r="AH63" s="3218"/>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1423</v>
      </c>
      <c r="E64" s="637"/>
      <c r="F64" s="637"/>
      <c r="G64" s="637"/>
      <c r="H64" s="637"/>
      <c r="I64" s="637"/>
      <c r="J64" s="637"/>
      <c r="K64" s="637"/>
      <c r="L64" s="638"/>
      <c r="M64" s="638"/>
      <c r="N64" s="638"/>
      <c r="O64" s="638"/>
      <c r="P64" s="638"/>
      <c r="Q64" s="638"/>
      <c r="R64" s="638"/>
      <c r="S64" s="638"/>
      <c r="T64" s="638"/>
      <c r="U64" s="638"/>
      <c r="V64" s="638"/>
      <c r="W64" s="638"/>
      <c r="X64" s="638"/>
      <c r="Y64" s="3219">
        <f>IF(Application!Z204="(select)",0,((T23*T27)+Y28))</f>
        <v>65666974.930457473</v>
      </c>
      <c r="Z64" s="3220"/>
      <c r="AA64" s="3220"/>
      <c r="AB64" s="3220"/>
      <c r="AC64" s="3221"/>
      <c r="AD64" s="3219">
        <f>IF(AND(OR(Application!D210="At-Risk",Application!D210="At-Risk and Special Needs"),Application!M357="yes"),AD28+AI28,0)</f>
        <v>0</v>
      </c>
      <c r="AE64" s="3220"/>
      <c r="AF64" s="3220"/>
      <c r="AG64" s="3220"/>
      <c r="AH64" s="3221"/>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2159</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2160</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236">
        <f>IF(Application!AP204="yes",0.75,IF(Application!Z203="15% set-aside",0.13,IF(Application!Z203="15% set-aside with qualifying low value rehab",0.95,0.3)))</f>
        <v>0.3</v>
      </c>
      <c r="Z67" s="3236"/>
      <c r="AA67" s="3236"/>
      <c r="AB67" s="3236"/>
      <c r="AC67" s="3236"/>
      <c r="AD67" s="3236">
        <f>IF(Application!Z203="15% set-aside with qualifying low value rehab", 0.95,0.13)</f>
        <v>0.13</v>
      </c>
      <c r="AE67" s="3236"/>
      <c r="AF67" s="3236"/>
      <c r="AG67" s="3236"/>
      <c r="AH67" s="323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1424</v>
      </c>
      <c r="E68" s="610"/>
      <c r="F68" s="610"/>
      <c r="G68" s="610"/>
      <c r="H68" s="610"/>
      <c r="I68" s="610"/>
      <c r="J68" s="610"/>
      <c r="K68" s="610"/>
      <c r="L68" s="610"/>
      <c r="M68" s="610"/>
      <c r="N68" s="610"/>
      <c r="O68" s="610"/>
      <c r="P68" s="610"/>
      <c r="Q68" s="610"/>
      <c r="R68" s="610"/>
      <c r="S68" s="610"/>
      <c r="T68" s="610"/>
      <c r="U68" s="610"/>
      <c r="V68" s="610"/>
      <c r="W68" s="610"/>
      <c r="X68" s="610"/>
      <c r="Y68" s="3237">
        <f>ROUND(Y64*Y67,0)</f>
        <v>19700092</v>
      </c>
      <c r="Z68" s="3238"/>
      <c r="AA68" s="3238"/>
      <c r="AB68" s="3238"/>
      <c r="AC68" s="3238"/>
      <c r="AD68" s="3237">
        <f>ROUND(AD64*AD67,0)</f>
        <v>0</v>
      </c>
      <c r="AE68" s="3238"/>
      <c r="AF68" s="3238"/>
      <c r="AG68" s="3238"/>
      <c r="AH68" s="323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614</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1425</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222"/>
      <c r="AC71" s="3223"/>
      <c r="AD71" s="3223"/>
      <c r="AE71" s="3223"/>
      <c r="AF71" s="3224"/>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239" t="s">
        <v>1426</v>
      </c>
      <c r="F72" s="3239"/>
      <c r="G72" s="3239"/>
      <c r="H72" s="3239"/>
      <c r="I72" s="3239"/>
      <c r="J72" s="3239"/>
      <c r="K72" s="3239"/>
      <c r="L72" s="3239"/>
      <c r="M72" s="3239"/>
      <c r="N72" s="3239"/>
      <c r="O72" s="3239"/>
      <c r="P72" s="3239"/>
      <c r="Q72" s="3239"/>
      <c r="R72" s="3239"/>
      <c r="S72" s="3239"/>
      <c r="T72" s="3239"/>
      <c r="U72" s="3239"/>
      <c r="V72" s="3239"/>
      <c r="W72" s="3239"/>
      <c r="X72" s="3239"/>
      <c r="Y72" s="3239"/>
      <c r="Z72" s="3239"/>
      <c r="AA72" s="3239"/>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239"/>
      <c r="F73" s="3239"/>
      <c r="G73" s="3239"/>
      <c r="H73" s="3239"/>
      <c r="I73" s="3239"/>
      <c r="J73" s="3239"/>
      <c r="K73" s="3239"/>
      <c r="L73" s="3239"/>
      <c r="M73" s="3239"/>
      <c r="N73" s="3239"/>
      <c r="O73" s="3239"/>
      <c r="P73" s="3239"/>
      <c r="Q73" s="3239"/>
      <c r="R73" s="3239"/>
      <c r="S73" s="3239"/>
      <c r="T73" s="3239"/>
      <c r="U73" s="3239"/>
      <c r="V73" s="3239"/>
      <c r="W73" s="3239"/>
      <c r="X73" s="3239"/>
      <c r="Y73" s="3239"/>
      <c r="Z73" s="3239"/>
      <c r="AA73" s="3239"/>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239"/>
      <c r="F74" s="3239"/>
      <c r="G74" s="3239"/>
      <c r="H74" s="3239"/>
      <c r="I74" s="3239"/>
      <c r="J74" s="3239"/>
      <c r="K74" s="3239"/>
      <c r="L74" s="3239"/>
      <c r="M74" s="3239"/>
      <c r="N74" s="3239"/>
      <c r="O74" s="3239"/>
      <c r="P74" s="3239"/>
      <c r="Q74" s="3239"/>
      <c r="R74" s="3239"/>
      <c r="S74" s="3239"/>
      <c r="T74" s="3239"/>
      <c r="U74" s="3239"/>
      <c r="V74" s="3239"/>
      <c r="W74" s="3239"/>
      <c r="X74" s="3239"/>
      <c r="Y74" s="3239"/>
      <c r="Z74" s="3239"/>
      <c r="AA74" s="3239"/>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1427</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231">
        <f>ROUND(IF(ISERROR((AB59/AB71)),0,(AB59/AB71)),0)</f>
        <v>0</v>
      </c>
      <c r="AC76" s="3231"/>
      <c r="AD76" s="3231"/>
      <c r="AE76" s="3231"/>
      <c r="AF76" s="3231"/>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1428</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232">
        <f>IF((Y68+AD68&lt;AB76),Y68+AD68,AB76)</f>
        <v>0</v>
      </c>
      <c r="AC77" s="3233"/>
      <c r="AD77" s="3233"/>
      <c r="AE77" s="3233"/>
      <c r="AF77" s="3234"/>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1429</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235">
        <f>AB77*AB71</f>
        <v>0</v>
      </c>
      <c r="AC78" s="3235"/>
      <c r="AD78" s="3235"/>
      <c r="AE78" s="3235"/>
      <c r="AF78" s="3235"/>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217">
        <f>AB49-(AB57+AB78)</f>
        <v>0.34600761532783508</v>
      </c>
      <c r="AC80" s="3217"/>
      <c r="AD80" s="3217"/>
      <c r="AE80" s="3217"/>
      <c r="AF80" s="3217"/>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169"/>
      <c r="B83" s="3169"/>
      <c r="C83" s="3169"/>
      <c r="D83" s="3169"/>
      <c r="E83" s="3169"/>
      <c r="F83" s="3169"/>
      <c r="G83" s="3169"/>
      <c r="H83" s="3169"/>
      <c r="I83" s="3169"/>
      <c r="J83" s="3169"/>
      <c r="K83" s="3169"/>
      <c r="L83" s="3169"/>
      <c r="M83" s="3169"/>
      <c r="N83" s="3169"/>
      <c r="O83" s="3169"/>
      <c r="P83" s="3169"/>
      <c r="Q83" s="3169"/>
      <c r="R83" s="3169"/>
      <c r="S83" s="3169"/>
      <c r="T83" s="3169"/>
      <c r="U83" s="3169"/>
      <c r="V83" s="3169"/>
      <c r="W83" s="3169"/>
      <c r="X83" s="3169"/>
      <c r="Y83" s="3169"/>
      <c r="Z83" s="3169"/>
      <c r="AA83" s="3169"/>
      <c r="AB83" s="3169"/>
      <c r="AC83" s="3169"/>
      <c r="AD83" s="3169"/>
      <c r="AE83" s="3169"/>
      <c r="AF83" s="3169"/>
      <c r="AG83" s="3169"/>
      <c r="AH83" s="3169"/>
      <c r="AI83" s="3169"/>
      <c r="AJ83" s="3169"/>
      <c r="AK83" s="3169"/>
      <c r="AL83" s="3169"/>
      <c r="AM83" s="3169"/>
      <c r="AN83" s="3169"/>
      <c r="AO83" s="3169"/>
      <c r="AP83" s="3169"/>
      <c r="AQ83" s="3169"/>
      <c r="AR83" s="3169"/>
      <c r="AS83" s="3169"/>
      <c r="AT83" s="3169"/>
      <c r="AU83" s="3169"/>
      <c r="AV83" s="3169"/>
      <c r="AW83" s="3169"/>
      <c r="AX83" s="3169"/>
      <c r="AY83" s="3169"/>
      <c r="AZ83" s="3169"/>
      <c r="BA83" s="3169"/>
      <c r="BB83" s="3169"/>
      <c r="BC83" s="3169"/>
      <c r="BD83" s="3169"/>
      <c r="BE83" s="3169"/>
      <c r="BF83" s="3169"/>
      <c r="BG83" s="3169"/>
      <c r="BH83" s="3169"/>
      <c r="BI83" s="3169"/>
      <c r="BJ83" s="3169"/>
      <c r="BK83" s="3169"/>
      <c r="BL83" s="3169"/>
      <c r="BM83" s="3169"/>
      <c r="BN83" s="3169"/>
      <c r="BO83" s="3169"/>
      <c r="BP83" s="3169"/>
      <c r="BQ83" s="3169"/>
      <c r="BR83" s="3169"/>
      <c r="BS83" s="3169"/>
      <c r="BT83" s="3169"/>
      <c r="BU83" s="3169"/>
      <c r="BV83" s="3169"/>
      <c r="BW83" s="3169"/>
      <c r="BX83" s="3169"/>
    </row>
    <row r="84" spans="1:98" ht="13.8" thickTop="1"/>
    <row r="85" spans="1:98" ht="13.2">
      <c r="A85" s="786"/>
      <c r="C85" s="334"/>
      <c r="Z85" s="612"/>
      <c r="AA85" s="612"/>
      <c r="AB85" s="612"/>
      <c r="AC85" s="612"/>
      <c r="AD85" s="612"/>
      <c r="AE85" s="612"/>
      <c r="AF85" s="612"/>
      <c r="AG85" s="612"/>
      <c r="AH85" s="612"/>
    </row>
    <row r="86" spans="1:98" ht="13.2">
      <c r="D86" s="334"/>
      <c r="Z86" s="612"/>
      <c r="AA86" s="612"/>
      <c r="AB86" s="3170"/>
      <c r="AC86" s="3170"/>
      <c r="AD86" s="3170"/>
      <c r="AE86" s="3170"/>
      <c r="AF86" s="3170"/>
      <c r="AG86" s="612"/>
      <c r="AH86" s="612"/>
    </row>
    <row r="87" spans="1:98" ht="13.8" thickBot="1">
      <c r="D87" s="334"/>
      <c r="Z87" s="612"/>
      <c r="AA87" s="612"/>
      <c r="AB87" s="3168"/>
      <c r="AC87" s="3168"/>
      <c r="AD87" s="3168"/>
      <c r="AE87" s="3168"/>
      <c r="AF87" s="3168"/>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7"/>
  <sheetViews>
    <sheetView topLeftCell="A28" zoomScale="80" zoomScaleNormal="80" zoomScaleSheetLayoutView="100" workbookViewId="0">
      <selection activeCell="E49" sqref="E49"/>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2746</v>
      </c>
      <c r="B1" s="340"/>
    </row>
    <row r="2" spans="1:34"/>
    <row r="3" spans="1:34" ht="15.6">
      <c r="A3" s="341" t="s">
        <v>863</v>
      </c>
      <c r="B3" s="341"/>
      <c r="C3" s="368" t="s">
        <v>864</v>
      </c>
      <c r="D3" s="343"/>
      <c r="E3" s="369" t="s">
        <v>865</v>
      </c>
      <c r="F3" s="324"/>
      <c r="G3" s="369" t="s">
        <v>866</v>
      </c>
      <c r="H3" s="324"/>
      <c r="I3" s="369" t="s">
        <v>867</v>
      </c>
      <c r="J3" s="324"/>
      <c r="K3" s="369" t="s">
        <v>868</v>
      </c>
      <c r="L3" s="324"/>
      <c r="M3" s="369" t="s">
        <v>869</v>
      </c>
      <c r="N3" s="324"/>
      <c r="O3" s="369" t="s">
        <v>870</v>
      </c>
      <c r="P3" s="324"/>
      <c r="Q3" s="369" t="s">
        <v>871</v>
      </c>
      <c r="R3" s="324"/>
      <c r="S3" s="369" t="s">
        <v>872</v>
      </c>
      <c r="T3" s="324"/>
      <c r="U3" s="369" t="s">
        <v>873</v>
      </c>
      <c r="V3" s="324"/>
      <c r="W3" s="369" t="s">
        <v>874</v>
      </c>
      <c r="X3" s="324"/>
      <c r="Y3" s="369" t="s">
        <v>875</v>
      </c>
      <c r="Z3" s="324"/>
      <c r="AA3" s="369" t="s">
        <v>876</v>
      </c>
      <c r="AB3" s="324"/>
      <c r="AC3" s="369" t="s">
        <v>877</v>
      </c>
      <c r="AD3" s="324"/>
      <c r="AE3" s="369" t="s">
        <v>878</v>
      </c>
      <c r="AF3" s="324"/>
      <c r="AG3" s="369" t="s">
        <v>879</v>
      </c>
      <c r="AH3" s="343"/>
    </row>
    <row r="4" spans="1:34" s="351" customFormat="1" ht="13.8">
      <c r="A4" s="351" t="s">
        <v>881</v>
      </c>
      <c r="C4" s="371">
        <v>1.0249999999999999</v>
      </c>
      <c r="E4" s="351">
        <f>Application!Y799</f>
        <v>1256831.0399999998</v>
      </c>
      <c r="G4" s="351">
        <f>E4*$C$4</f>
        <v>1288251.8159999996</v>
      </c>
      <c r="I4" s="351">
        <f>G4*$C$4</f>
        <v>1320458.1113999996</v>
      </c>
      <c r="K4" s="351">
        <f>I4*$C$4</f>
        <v>1353469.5641849996</v>
      </c>
      <c r="M4" s="351">
        <f>K4*$C$4</f>
        <v>1387306.3032896244</v>
      </c>
      <c r="O4" s="351">
        <f>M4*$C$4</f>
        <v>1421988.9608718648</v>
      </c>
      <c r="Q4" s="351">
        <f>O4*$C$4</f>
        <v>1457538.6848936614</v>
      </c>
      <c r="S4" s="351">
        <f>Q4*$C$4</f>
        <v>1493977.1520160029</v>
      </c>
      <c r="U4" s="351">
        <f>S4*$C$4</f>
        <v>1531326.5808164028</v>
      </c>
      <c r="W4" s="351">
        <f>U4*$C$4</f>
        <v>1569609.7453368127</v>
      </c>
      <c r="Y4" s="351">
        <f>W4*$C$4</f>
        <v>1608849.9889702329</v>
      </c>
      <c r="AA4" s="351">
        <f>Y4*$C$4</f>
        <v>1649071.2386944885</v>
      </c>
      <c r="AC4" s="351">
        <f>AA4*$C$4</f>
        <v>1690298.0196618505</v>
      </c>
      <c r="AE4" s="351">
        <f>AC4*$C$4</f>
        <v>1732555.4701533967</v>
      </c>
      <c r="AG4" s="351">
        <f>AE4*$C$4</f>
        <v>1775869.3569072315</v>
      </c>
    </row>
    <row r="5" spans="1:34" s="339" customFormat="1" ht="13.8">
      <c r="B5" s="339" t="s">
        <v>882</v>
      </c>
      <c r="C5" s="372">
        <f>IF(Application!$D$210="Special Needs",0.1,0.05)</f>
        <v>0.05</v>
      </c>
      <c r="E5" s="353">
        <f>-E4*$C$5</f>
        <v>-62841.551999999996</v>
      </c>
      <c r="F5" s="353"/>
      <c r="G5" s="353">
        <f>-G4*$C$5</f>
        <v>-64412.590799999984</v>
      </c>
      <c r="H5" s="353"/>
      <c r="I5" s="353">
        <f>-I4*$C$5</f>
        <v>-66022.905569999988</v>
      </c>
      <c r="J5" s="353"/>
      <c r="K5" s="353">
        <f>-K4*$C$5</f>
        <v>-67673.478209249981</v>
      </c>
      <c r="L5" s="353"/>
      <c r="M5" s="353">
        <f>-M4*$C$5</f>
        <v>-69365.315164481217</v>
      </c>
      <c r="N5" s="353"/>
      <c r="O5" s="353">
        <f>-O4*$C$5</f>
        <v>-71099.448043593249</v>
      </c>
      <c r="P5" s="353"/>
      <c r="Q5" s="353">
        <f>-Q4*$C$5</f>
        <v>-72876.934244683071</v>
      </c>
      <c r="R5" s="353"/>
      <c r="S5" s="353">
        <f>-S4*$C$5</f>
        <v>-74698.857600800155</v>
      </c>
      <c r="T5" s="353"/>
      <c r="U5" s="353">
        <f>-U4*$C$5</f>
        <v>-76566.329040820143</v>
      </c>
      <c r="V5" s="353"/>
      <c r="W5" s="353">
        <f>-W4*$C$5</f>
        <v>-78480.487266840631</v>
      </c>
      <c r="X5" s="353"/>
      <c r="Y5" s="353">
        <f>-Y4*$C$5</f>
        <v>-80442.499448511648</v>
      </c>
      <c r="Z5" s="353"/>
      <c r="AA5" s="353">
        <f>-AA4*$C$5</f>
        <v>-82453.561934724436</v>
      </c>
      <c r="AB5" s="353"/>
      <c r="AC5" s="353">
        <f>-AC4*$C$5</f>
        <v>-84514.900983092535</v>
      </c>
      <c r="AD5" s="353"/>
      <c r="AE5" s="353">
        <f>-AE4*$C$5</f>
        <v>-86627.773507669845</v>
      </c>
      <c r="AF5" s="353"/>
      <c r="AG5" s="353">
        <f>-AG4*$C$5</f>
        <v>-88793.467845361578</v>
      </c>
    </row>
    <row r="6" spans="1:34" s="339" customFormat="1" ht="13.8">
      <c r="A6" s="339" t="s">
        <v>880</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3.8">
      <c r="B7" s="339" t="s">
        <v>882</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3.8">
      <c r="A8" s="339" t="s">
        <v>2748</v>
      </c>
      <c r="C8" s="372"/>
      <c r="E8" s="354">
        <f>IF((SUM(E4:E7,E9:E10)-E35)&lt;0,-(SUM(E4:E7,E9:E10)-E35),0)</f>
        <v>0</v>
      </c>
      <c r="F8" s="353"/>
      <c r="G8" s="354">
        <f t="shared" ref="G8" si="0">IF((SUM(G4:G7,G9:G10)-G35)&lt;0,-(SUM(G4:G7,G9:G10)-G35),0)</f>
        <v>0</v>
      </c>
      <c r="H8" s="353"/>
      <c r="I8" s="354">
        <f t="shared" ref="I8" si="1">IF((SUM(I4:I7,I9:I10)-I35)&lt;0,-(SUM(I4:I7,I9:I10)-I35),0)</f>
        <v>0</v>
      </c>
      <c r="J8" s="353"/>
      <c r="K8" s="354">
        <f t="shared" ref="K8" si="2">IF((SUM(K4:K7,K9:K10)-K35)&lt;0,-(SUM(K4:K7,K9:K10)-K35),0)</f>
        <v>0</v>
      </c>
      <c r="L8" s="353"/>
      <c r="M8" s="354">
        <f t="shared" ref="M8" si="3">IF((SUM(M4:M7,M9:M10)-M35)&lt;0,-(SUM(M4:M7,M9:M10)-M35),0)</f>
        <v>0</v>
      </c>
      <c r="N8" s="353"/>
      <c r="O8" s="354">
        <f t="shared" ref="O8" si="4">IF((SUM(O4:O7,O9:O10)-O35)&lt;0,-(SUM(O4:O7,O9:O10)-O35),0)</f>
        <v>0</v>
      </c>
      <c r="P8" s="353"/>
      <c r="Q8" s="354">
        <f t="shared" ref="Q8" si="5">IF((SUM(Q4:Q7,Q9:Q10)-Q35)&lt;0,-(SUM(Q4:Q7,Q9:Q10)-Q35),0)</f>
        <v>0</v>
      </c>
      <c r="R8" s="353"/>
      <c r="S8" s="354">
        <f t="shared" ref="S8" si="6">IF((SUM(S4:S7,S9:S10)-S35)&lt;0,-(SUM(S4:S7,S9:S10)-S35),0)</f>
        <v>0</v>
      </c>
      <c r="T8" s="353"/>
      <c r="U8" s="354">
        <f t="shared" ref="U8" si="7">IF((SUM(U4:U7,U9:U10)-U35)&lt;0,-(SUM(U4:U7,U9:U10)-U35),0)</f>
        <v>0</v>
      </c>
      <c r="V8" s="353"/>
      <c r="W8" s="354">
        <f t="shared" ref="W8" si="8">IF((SUM(W4:W7,W9:W10)-W35)&lt;0,-(SUM(W4:W7,W9:W10)-W35),0)</f>
        <v>0</v>
      </c>
      <c r="X8" s="353"/>
      <c r="Y8" s="354">
        <f t="shared" ref="Y8" si="9">IF((SUM(Y4:Y7,Y9:Y10)-Y35)&lt;0,-(SUM(Y4:Y7,Y9:Y10)-Y35),0)</f>
        <v>0</v>
      </c>
      <c r="Z8" s="353"/>
      <c r="AA8" s="354">
        <f t="shared" ref="AA8" si="10">IF((SUM(AA4:AA7,AA9:AA10)-AA35)&lt;0,-(SUM(AA4:AA7,AA9:AA10)-AA35),0)</f>
        <v>0</v>
      </c>
      <c r="AB8" s="353"/>
      <c r="AC8" s="354">
        <f t="shared" ref="AC8" si="11">IF((SUM(AC4:AC7,AC9:AC10)-AC35)&lt;0,-(SUM(AC4:AC7,AC9:AC10)-AC35),0)</f>
        <v>401.34736542822793</v>
      </c>
      <c r="AD8" s="353"/>
      <c r="AE8" s="354">
        <f t="shared" ref="AE8" si="12">IF((SUM(AE4:AE7,AE9:AE10)-AE35)&lt;0,-(SUM(AE4:AE7,AE9:AE10)-AE35),0)</f>
        <v>14314.172456304543</v>
      </c>
      <c r="AF8" s="353"/>
      <c r="AG8" s="354">
        <f t="shared" ref="AG8" si="13">IF((SUM(AG4:AG7,AG9:AG10)-AG35)&lt;0,-(SUM(AG4:AG7,AG9:AG10)-AG35),0)</f>
        <v>29112.627149688313</v>
      </c>
      <c r="AH8" s="353"/>
    </row>
    <row r="9" spans="1:34" s="339" customFormat="1" ht="13.8">
      <c r="A9" s="339" t="s">
        <v>293</v>
      </c>
      <c r="C9" s="371">
        <v>1.0249999999999999</v>
      </c>
      <c r="E9" s="354">
        <f>Application!Z815</f>
        <v>15200</v>
      </c>
      <c r="F9" s="354"/>
      <c r="G9" s="354">
        <f>E9*$C$9</f>
        <v>15579.999999999998</v>
      </c>
      <c r="H9" s="354"/>
      <c r="I9" s="354">
        <f>G9*$C$9</f>
        <v>15969.499999999996</v>
      </c>
      <c r="J9" s="354"/>
      <c r="K9" s="354">
        <f>I9*$C$9</f>
        <v>16368.737499999996</v>
      </c>
      <c r="L9" s="354"/>
      <c r="M9" s="354">
        <f>K9*$C$9</f>
        <v>16777.955937499995</v>
      </c>
      <c r="N9" s="354"/>
      <c r="O9" s="354">
        <f>M9*$C$9</f>
        <v>17197.404835937494</v>
      </c>
      <c r="P9" s="354"/>
      <c r="Q9" s="354">
        <f>O9*$C$9</f>
        <v>17627.339956835931</v>
      </c>
      <c r="R9" s="354"/>
      <c r="S9" s="354">
        <f>Q9*$C$9</f>
        <v>18068.023455756829</v>
      </c>
      <c r="T9" s="354"/>
      <c r="U9" s="354">
        <f>S9*$C$9</f>
        <v>18519.724042150749</v>
      </c>
      <c r="V9" s="354"/>
      <c r="W9" s="354">
        <f>U9*$C$9</f>
        <v>18982.717143204514</v>
      </c>
      <c r="X9" s="354"/>
      <c r="Y9" s="354">
        <f>W9*$C$9</f>
        <v>19457.285071784627</v>
      </c>
      <c r="Z9" s="354"/>
      <c r="AA9" s="354">
        <f>Y9*$C$9</f>
        <v>19943.717198579241</v>
      </c>
      <c r="AB9" s="354"/>
      <c r="AC9" s="354">
        <f>AA9*$C$9</f>
        <v>20442.310128543719</v>
      </c>
      <c r="AD9" s="354"/>
      <c r="AE9" s="354">
        <f>AC9*$C$9</f>
        <v>20953.367881757309</v>
      </c>
      <c r="AF9" s="354"/>
      <c r="AG9" s="354">
        <f>AE9*$C$9</f>
        <v>21477.202078801241</v>
      </c>
    </row>
    <row r="10" spans="1:34" s="339" customFormat="1" ht="13.8">
      <c r="B10" s="339" t="s">
        <v>882</v>
      </c>
      <c r="C10" s="372">
        <f>IF(Application!$D$210="Special Needs",0.1,0.05)</f>
        <v>0.05</v>
      </c>
      <c r="E10" s="370">
        <f>-E9*$C$10</f>
        <v>-760</v>
      </c>
      <c r="F10" s="353"/>
      <c r="G10" s="370">
        <f>-G9*$C$10</f>
        <v>-779</v>
      </c>
      <c r="H10" s="353"/>
      <c r="I10" s="370">
        <f>-I9*$C$10</f>
        <v>-798.47499999999991</v>
      </c>
      <c r="J10" s="353"/>
      <c r="K10" s="370">
        <f>-K9*$C$10</f>
        <v>-818.43687499999987</v>
      </c>
      <c r="L10" s="353"/>
      <c r="M10" s="370">
        <f>-M9*$C$10</f>
        <v>-838.89779687499981</v>
      </c>
      <c r="N10" s="353"/>
      <c r="O10" s="370">
        <f>-O9*$C$10</f>
        <v>-859.87024179687478</v>
      </c>
      <c r="P10" s="353"/>
      <c r="Q10" s="370">
        <f>-Q9*$C$10</f>
        <v>-881.36699784179655</v>
      </c>
      <c r="R10" s="353"/>
      <c r="S10" s="370">
        <f>-S9*$C$10</f>
        <v>-903.40117278784146</v>
      </c>
      <c r="T10" s="353"/>
      <c r="U10" s="370">
        <f>-U9*$C$10</f>
        <v>-925.98620210753745</v>
      </c>
      <c r="V10" s="353"/>
      <c r="W10" s="370">
        <f>-W9*$C$10</f>
        <v>-949.13585716022578</v>
      </c>
      <c r="X10" s="353"/>
      <c r="Y10" s="370">
        <f>-Y9*$C$10</f>
        <v>-972.86425358923134</v>
      </c>
      <c r="Z10" s="353"/>
      <c r="AA10" s="370">
        <f>-AA9*$C$10</f>
        <v>-997.18585992896215</v>
      </c>
      <c r="AB10" s="353"/>
      <c r="AC10" s="370">
        <f>-AC9*$C$10</f>
        <v>-1022.115506427186</v>
      </c>
      <c r="AD10" s="353"/>
      <c r="AE10" s="370">
        <f>-AE9*$C$10</f>
        <v>-1047.6683940878654</v>
      </c>
      <c r="AF10" s="353"/>
      <c r="AG10" s="370">
        <f>-AG9*$C$10</f>
        <v>-1073.8601039400621</v>
      </c>
    </row>
    <row r="11" spans="1:34" s="355" customFormat="1" ht="13.8">
      <c r="A11" s="355" t="s">
        <v>903</v>
      </c>
      <c r="C11" s="346"/>
      <c r="E11" s="355">
        <f>SUM(E4:E10)</f>
        <v>1208429.4879999999</v>
      </c>
      <c r="G11" s="355">
        <f>SUM(G4:G10)</f>
        <v>1238640.2251999998</v>
      </c>
      <c r="I11" s="355">
        <f>SUM(I4:I10)</f>
        <v>1269606.2308299995</v>
      </c>
      <c r="K11" s="355">
        <f>SUM(K4:K10)</f>
        <v>1301346.3866007498</v>
      </c>
      <c r="M11" s="355">
        <f>SUM(M4:M10)</f>
        <v>1333880.0462657681</v>
      </c>
      <c r="O11" s="355">
        <f>SUM(O4:O10)</f>
        <v>1367227.0474224123</v>
      </c>
      <c r="Q11" s="355">
        <f>SUM(Q4:Q10)</f>
        <v>1401407.7236079725</v>
      </c>
      <c r="S11" s="355">
        <f>SUM(S4:S10)</f>
        <v>1436442.9166981715</v>
      </c>
      <c r="U11" s="355">
        <f>SUM(U4:U10)</f>
        <v>1472353.9896156257</v>
      </c>
      <c r="W11" s="355">
        <f>SUM(W4:W10)</f>
        <v>1509162.8393560164</v>
      </c>
      <c r="Y11" s="355">
        <f>SUM(Y4:Y10)</f>
        <v>1546891.9103399166</v>
      </c>
      <c r="AA11" s="355">
        <f>SUM(AA4:AA10)</f>
        <v>1585564.2080984144</v>
      </c>
      <c r="AC11" s="355">
        <f>SUM(AC4:AC10)</f>
        <v>1625604.6606663028</v>
      </c>
      <c r="AE11" s="355">
        <f>SUM(AE4:AE10)</f>
        <v>1680147.5685897009</v>
      </c>
      <c r="AG11" s="355">
        <f>SUM(AG4:AG10)</f>
        <v>1736591.8581864194</v>
      </c>
    </row>
    <row r="12" spans="1:34">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ht="15.6">
      <c r="A13" s="341" t="s">
        <v>883</v>
      </c>
      <c r="C13" s="365"/>
      <c r="E13" s="345"/>
      <c r="F13" s="345"/>
      <c r="G13" s="345"/>
      <c r="H13" s="345"/>
      <c r="I13" s="345"/>
      <c r="J13" s="345"/>
      <c r="K13" s="345"/>
      <c r="L13" s="345"/>
      <c r="M13" s="345"/>
      <c r="N13" s="345"/>
      <c r="O13" s="345"/>
      <c r="P13" s="345"/>
      <c r="Q13" s="345"/>
      <c r="R13" s="345"/>
      <c r="S13" s="345"/>
      <c r="T13" s="345"/>
      <c r="U13" s="345"/>
      <c r="V13" s="345"/>
      <c r="W13" s="345"/>
      <c r="X13" s="345"/>
      <c r="Y13" s="345"/>
      <c r="Z13" s="345"/>
      <c r="AA13" s="345"/>
      <c r="AB13" s="345"/>
      <c r="AC13" s="345"/>
      <c r="AD13" s="345"/>
      <c r="AE13" s="345"/>
      <c r="AF13" s="345"/>
      <c r="AG13" s="345"/>
    </row>
    <row r="14" spans="1:34" s="339" customFormat="1" ht="13.8">
      <c r="A14" s="339" t="s">
        <v>884</v>
      </c>
      <c r="C14" s="371">
        <v>1.0349999999999999</v>
      </c>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row>
    <row r="15" spans="1:34" s="351" customFormat="1" ht="13.8">
      <c r="A15" s="351" t="s">
        <v>885</v>
      </c>
      <c r="C15" s="366"/>
      <c r="E15" s="351">
        <f>Application!W845</f>
        <v>50936</v>
      </c>
      <c r="G15" s="351">
        <f>E15*$C$14</f>
        <v>52718.759999999995</v>
      </c>
      <c r="I15" s="351">
        <f>G15*$C$14</f>
        <v>54563.91659999999</v>
      </c>
      <c r="K15" s="351">
        <f>I15*$C$14</f>
        <v>56473.653680999982</v>
      </c>
      <c r="M15" s="351">
        <f>K15*$C$14</f>
        <v>58450.231559834974</v>
      </c>
      <c r="O15" s="351">
        <f>M15*$C$14</f>
        <v>60495.989664429195</v>
      </c>
      <c r="Q15" s="351">
        <f>O15*$C$14</f>
        <v>62613.349302684212</v>
      </c>
      <c r="S15" s="351">
        <f>Q15*$C$14</f>
        <v>64804.816528278156</v>
      </c>
      <c r="U15" s="351">
        <f>S15*$C$14</f>
        <v>67072.985106767883</v>
      </c>
      <c r="W15" s="351">
        <f>U15*$C$14</f>
        <v>69420.539585504754</v>
      </c>
      <c r="Y15" s="351">
        <f>W15*$C$14</f>
        <v>71850.258470997418</v>
      </c>
      <c r="AA15" s="351">
        <f>Y15*$C$14</f>
        <v>74365.017517482323</v>
      </c>
      <c r="AC15" s="351">
        <f>AA15*$C$14</f>
        <v>76967.793130594204</v>
      </c>
      <c r="AE15" s="351">
        <f>AC15*$C$14</f>
        <v>79661.665890164993</v>
      </c>
      <c r="AG15" s="351">
        <f>AE15*$C$14</f>
        <v>82449.824196320755</v>
      </c>
    </row>
    <row r="16" spans="1:34" s="339" customFormat="1" ht="13.8">
      <c r="A16" s="339" t="s">
        <v>349</v>
      </c>
      <c r="C16" s="365"/>
      <c r="E16" s="354">
        <f>Application!W847</f>
        <v>80400</v>
      </c>
      <c r="F16" s="354"/>
      <c r="G16" s="354">
        <f t="shared" ref="G16:AG21" si="14">E16*$C$14</f>
        <v>83214</v>
      </c>
      <c r="H16" s="354"/>
      <c r="I16" s="354">
        <f t="shared" si="14"/>
        <v>86126.489999999991</v>
      </c>
      <c r="J16" s="354"/>
      <c r="K16" s="354">
        <f t="shared" si="14"/>
        <v>89140.917149999979</v>
      </c>
      <c r="L16" s="354"/>
      <c r="M16" s="354">
        <f t="shared" si="14"/>
        <v>92260.849250249972</v>
      </c>
      <c r="N16" s="354"/>
      <c r="O16" s="354">
        <f t="shared" si="14"/>
        <v>95489.978974008714</v>
      </c>
      <c r="P16" s="354"/>
      <c r="Q16" s="354">
        <f t="shared" si="14"/>
        <v>98832.128238099016</v>
      </c>
      <c r="R16" s="354"/>
      <c r="S16" s="354">
        <f t="shared" si="14"/>
        <v>102291.25272643247</v>
      </c>
      <c r="T16" s="354"/>
      <c r="U16" s="354">
        <f t="shared" si="14"/>
        <v>105871.4465718576</v>
      </c>
      <c r="V16" s="354"/>
      <c r="W16" s="354">
        <f t="shared" si="14"/>
        <v>109576.94720187261</v>
      </c>
      <c r="X16" s="354"/>
      <c r="Y16" s="354">
        <f t="shared" si="14"/>
        <v>113412.14035393814</v>
      </c>
      <c r="Z16" s="354"/>
      <c r="AA16" s="354">
        <f t="shared" si="14"/>
        <v>117381.56526632597</v>
      </c>
      <c r="AB16" s="354"/>
      <c r="AC16" s="354">
        <f t="shared" si="14"/>
        <v>121489.92005064737</v>
      </c>
      <c r="AD16" s="354"/>
      <c r="AE16" s="354">
        <f t="shared" si="14"/>
        <v>125742.06725242002</v>
      </c>
      <c r="AF16" s="354"/>
      <c r="AG16" s="354">
        <f t="shared" si="14"/>
        <v>130143.03960625471</v>
      </c>
    </row>
    <row r="17" spans="1:33" s="339" customFormat="1" ht="13.8">
      <c r="A17" s="339" t="s">
        <v>584</v>
      </c>
      <c r="C17" s="365"/>
      <c r="E17" s="354">
        <f>Application!W853</f>
        <v>139984</v>
      </c>
      <c r="F17" s="354"/>
      <c r="G17" s="354">
        <f t="shared" si="14"/>
        <v>144883.44</v>
      </c>
      <c r="H17" s="354"/>
      <c r="I17" s="354">
        <f t="shared" si="14"/>
        <v>149954.36040000001</v>
      </c>
      <c r="J17" s="354"/>
      <c r="K17" s="354">
        <f t="shared" si="14"/>
        <v>155202.763014</v>
      </c>
      <c r="L17" s="354"/>
      <c r="M17" s="354">
        <f t="shared" si="14"/>
        <v>160634.85971948999</v>
      </c>
      <c r="N17" s="354"/>
      <c r="O17" s="354">
        <f t="shared" si="14"/>
        <v>166257.07980967214</v>
      </c>
      <c r="P17" s="354"/>
      <c r="Q17" s="354">
        <f t="shared" si="14"/>
        <v>172076.07760301066</v>
      </c>
      <c r="R17" s="354"/>
      <c r="S17" s="354">
        <f t="shared" si="14"/>
        <v>178098.74031911601</v>
      </c>
      <c r="T17" s="354"/>
      <c r="U17" s="354">
        <f t="shared" si="14"/>
        <v>184332.19623028504</v>
      </c>
      <c r="V17" s="354"/>
      <c r="W17" s="354">
        <f t="shared" si="14"/>
        <v>190783.82309834502</v>
      </c>
      <c r="X17" s="354"/>
      <c r="Y17" s="354">
        <f t="shared" si="14"/>
        <v>197461.25690678708</v>
      </c>
      <c r="Z17" s="354"/>
      <c r="AA17" s="354">
        <f t="shared" si="14"/>
        <v>204372.40089852462</v>
      </c>
      <c r="AB17" s="354"/>
      <c r="AC17" s="354">
        <f t="shared" si="14"/>
        <v>211525.43492997295</v>
      </c>
      <c r="AD17" s="354"/>
      <c r="AE17" s="354">
        <f t="shared" si="14"/>
        <v>218928.82515252198</v>
      </c>
      <c r="AF17" s="354"/>
      <c r="AG17" s="354">
        <f t="shared" si="14"/>
        <v>226591.33403286024</v>
      </c>
    </row>
    <row r="18" spans="1:33" s="339" customFormat="1" ht="13.8">
      <c r="A18" s="339" t="s">
        <v>886</v>
      </c>
      <c r="C18" s="365"/>
      <c r="E18" s="354">
        <f>Application!W860</f>
        <v>392478</v>
      </c>
      <c r="F18" s="354"/>
      <c r="G18" s="354">
        <f t="shared" si="14"/>
        <v>406214.73</v>
      </c>
      <c r="H18" s="354"/>
      <c r="I18" s="354">
        <f t="shared" si="14"/>
        <v>420432.24554999993</v>
      </c>
      <c r="J18" s="354"/>
      <c r="K18" s="354">
        <f t="shared" si="14"/>
        <v>435147.37414424989</v>
      </c>
      <c r="L18" s="354"/>
      <c r="M18" s="354">
        <f t="shared" si="14"/>
        <v>450377.53223929857</v>
      </c>
      <c r="N18" s="354"/>
      <c r="O18" s="354">
        <f t="shared" si="14"/>
        <v>466140.74586767401</v>
      </c>
      <c r="P18" s="354"/>
      <c r="Q18" s="354">
        <f t="shared" si="14"/>
        <v>482455.67197304254</v>
      </c>
      <c r="R18" s="354"/>
      <c r="S18" s="354">
        <f t="shared" si="14"/>
        <v>499341.62049209897</v>
      </c>
      <c r="T18" s="354"/>
      <c r="U18" s="354">
        <f t="shared" si="14"/>
        <v>516818.57720932242</v>
      </c>
      <c r="V18" s="354"/>
      <c r="W18" s="354">
        <f t="shared" si="14"/>
        <v>534907.22741164861</v>
      </c>
      <c r="X18" s="354"/>
      <c r="Y18" s="354">
        <f t="shared" si="14"/>
        <v>553628.98037105624</v>
      </c>
      <c r="Z18" s="354"/>
      <c r="AA18" s="354">
        <f t="shared" si="14"/>
        <v>573005.99468404311</v>
      </c>
      <c r="AB18" s="354"/>
      <c r="AC18" s="354">
        <f t="shared" si="14"/>
        <v>593061.20449798461</v>
      </c>
      <c r="AD18" s="354"/>
      <c r="AE18" s="354">
        <f t="shared" si="14"/>
        <v>613818.34665541397</v>
      </c>
      <c r="AF18" s="354"/>
      <c r="AG18" s="354">
        <f t="shared" si="14"/>
        <v>635301.9887883534</v>
      </c>
    </row>
    <row r="19" spans="1:33" s="339" customFormat="1" ht="13.8">
      <c r="A19" s="339" t="s">
        <v>160</v>
      </c>
      <c r="C19" s="365"/>
      <c r="E19" s="354">
        <f>Application!W861</f>
        <v>140000</v>
      </c>
      <c r="F19" s="354"/>
      <c r="G19" s="354">
        <f t="shared" si="14"/>
        <v>144900</v>
      </c>
      <c r="H19" s="354"/>
      <c r="I19" s="354">
        <f t="shared" si="14"/>
        <v>149971.5</v>
      </c>
      <c r="J19" s="354"/>
      <c r="K19" s="354">
        <f t="shared" si="14"/>
        <v>155220.5025</v>
      </c>
      <c r="L19" s="354"/>
      <c r="M19" s="354">
        <f t="shared" si="14"/>
        <v>160653.2200875</v>
      </c>
      <c r="N19" s="354"/>
      <c r="O19" s="354">
        <f t="shared" si="14"/>
        <v>166276.08279056248</v>
      </c>
      <c r="P19" s="354"/>
      <c r="Q19" s="354">
        <f t="shared" si="14"/>
        <v>172095.74568823216</v>
      </c>
      <c r="R19" s="354"/>
      <c r="S19" s="354">
        <f t="shared" si="14"/>
        <v>178119.09678732028</v>
      </c>
      <c r="T19" s="354"/>
      <c r="U19" s="354">
        <f t="shared" si="14"/>
        <v>184353.26517487646</v>
      </c>
      <c r="V19" s="354"/>
      <c r="W19" s="354">
        <f t="shared" si="14"/>
        <v>190805.62945599711</v>
      </c>
      <c r="X19" s="354"/>
      <c r="Y19" s="354">
        <f t="shared" si="14"/>
        <v>197483.826486957</v>
      </c>
      <c r="Z19" s="354"/>
      <c r="AA19" s="354">
        <f t="shared" si="14"/>
        <v>204395.76041400048</v>
      </c>
      <c r="AB19" s="354"/>
      <c r="AC19" s="354">
        <f t="shared" si="14"/>
        <v>211549.61202849049</v>
      </c>
      <c r="AD19" s="354"/>
      <c r="AE19" s="354">
        <f t="shared" si="14"/>
        <v>218953.84844948765</v>
      </c>
      <c r="AF19" s="354"/>
      <c r="AG19" s="354">
        <f t="shared" si="14"/>
        <v>226617.23314521971</v>
      </c>
    </row>
    <row r="20" spans="1:33" s="339" customFormat="1" ht="13.8">
      <c r="A20" s="339" t="s">
        <v>403</v>
      </c>
      <c r="C20" s="365"/>
      <c r="E20" s="354">
        <f>Application!W870</f>
        <v>130464</v>
      </c>
      <c r="F20" s="354"/>
      <c r="G20" s="354">
        <f t="shared" si="14"/>
        <v>135030.24</v>
      </c>
      <c r="H20" s="354"/>
      <c r="I20" s="354">
        <f t="shared" si="14"/>
        <v>139756.29839999997</v>
      </c>
      <c r="J20" s="354"/>
      <c r="K20" s="354">
        <f t="shared" si="14"/>
        <v>144647.76884399995</v>
      </c>
      <c r="L20" s="354"/>
      <c r="M20" s="354">
        <f t="shared" si="14"/>
        <v>149710.44075353994</v>
      </c>
      <c r="N20" s="354"/>
      <c r="O20" s="354">
        <f t="shared" si="14"/>
        <v>154950.30617991381</v>
      </c>
      <c r="P20" s="354"/>
      <c r="Q20" s="354">
        <f t="shared" si="14"/>
        <v>160373.56689621077</v>
      </c>
      <c r="R20" s="354"/>
      <c r="S20" s="354">
        <f t="shared" si="14"/>
        <v>165986.64173757815</v>
      </c>
      <c r="T20" s="354"/>
      <c r="U20" s="354">
        <f t="shared" si="14"/>
        <v>171796.17419839336</v>
      </c>
      <c r="V20" s="354"/>
      <c r="W20" s="354">
        <f t="shared" si="14"/>
        <v>177809.04029533712</v>
      </c>
      <c r="X20" s="354"/>
      <c r="Y20" s="354">
        <f t="shared" si="14"/>
        <v>184032.35670567391</v>
      </c>
      <c r="Z20" s="354"/>
      <c r="AA20" s="354">
        <f t="shared" si="14"/>
        <v>190473.48919037249</v>
      </c>
      <c r="AB20" s="354"/>
      <c r="AC20" s="354">
        <f t="shared" si="14"/>
        <v>197140.06131203551</v>
      </c>
      <c r="AD20" s="354"/>
      <c r="AE20" s="354">
        <f t="shared" si="14"/>
        <v>204039.96345795674</v>
      </c>
      <c r="AF20" s="354"/>
      <c r="AG20" s="354">
        <f t="shared" si="14"/>
        <v>211181.3621789852</v>
      </c>
    </row>
    <row r="21" spans="1:33" s="339" customFormat="1" ht="13.8">
      <c r="A21" s="358" t="s">
        <v>1017</v>
      </c>
      <c r="B21" s="358"/>
      <c r="C21" s="365"/>
      <c r="E21" s="364">
        <f>Application!W877</f>
        <v>8150</v>
      </c>
      <c r="F21" s="354"/>
      <c r="G21" s="364">
        <f t="shared" si="14"/>
        <v>8435.25</v>
      </c>
      <c r="H21" s="354"/>
      <c r="I21" s="364">
        <f t="shared" si="14"/>
        <v>8730.4837499999994</v>
      </c>
      <c r="J21" s="354"/>
      <c r="K21" s="364">
        <f t="shared" si="14"/>
        <v>9036.0506812499989</v>
      </c>
      <c r="L21" s="354"/>
      <c r="M21" s="364">
        <f t="shared" si="14"/>
        <v>9352.3124550937482</v>
      </c>
      <c r="N21" s="354"/>
      <c r="O21" s="364">
        <f t="shared" si="14"/>
        <v>9679.6433910220294</v>
      </c>
      <c r="P21" s="354"/>
      <c r="Q21" s="364">
        <f t="shared" si="14"/>
        <v>10018.4309097078</v>
      </c>
      <c r="R21" s="354"/>
      <c r="S21" s="364">
        <f t="shared" si="14"/>
        <v>10369.075991547572</v>
      </c>
      <c r="T21" s="354"/>
      <c r="U21" s="364">
        <f t="shared" si="14"/>
        <v>10731.993651251736</v>
      </c>
      <c r="V21" s="354"/>
      <c r="W21" s="364">
        <f t="shared" si="14"/>
        <v>11107.613429045547</v>
      </c>
      <c r="X21" s="354"/>
      <c r="Y21" s="364">
        <f t="shared" si="14"/>
        <v>11496.37989906214</v>
      </c>
      <c r="Z21" s="354"/>
      <c r="AA21" s="364">
        <f t="shared" si="14"/>
        <v>11898.753195529314</v>
      </c>
      <c r="AB21" s="354"/>
      <c r="AC21" s="364">
        <f t="shared" si="14"/>
        <v>12315.20955737284</v>
      </c>
      <c r="AD21" s="354"/>
      <c r="AE21" s="364">
        <f t="shared" si="14"/>
        <v>12746.241891880889</v>
      </c>
      <c r="AF21" s="354"/>
      <c r="AG21" s="364">
        <f t="shared" si="14"/>
        <v>13192.360358096719</v>
      </c>
    </row>
    <row r="22" spans="1:33" s="355" customFormat="1" ht="13.8">
      <c r="A22" s="355" t="s">
        <v>887</v>
      </c>
      <c r="C22" s="365"/>
      <c r="E22" s="355">
        <f>SUM(E15:E21)</f>
        <v>942412</v>
      </c>
      <c r="G22" s="355">
        <f>SUM(G15:G21)</f>
        <v>975396.41999999993</v>
      </c>
      <c r="I22" s="355">
        <f>SUM(I15:I21)</f>
        <v>1009535.2946999999</v>
      </c>
      <c r="K22" s="355">
        <f>SUM(K15:K21)</f>
        <v>1044869.0300144998</v>
      </c>
      <c r="M22" s="355">
        <f>SUM(M15:M21)</f>
        <v>1081439.4460650072</v>
      </c>
      <c r="O22" s="355">
        <f>SUM(O15:O21)</f>
        <v>1119289.8266772823</v>
      </c>
      <c r="Q22" s="355">
        <f>SUM(Q15:Q21)</f>
        <v>1158464.9706109872</v>
      </c>
      <c r="S22" s="355">
        <f>SUM(S15:S21)</f>
        <v>1199011.2445823718</v>
      </c>
      <c r="U22" s="355">
        <f>SUM(U15:U21)</f>
        <v>1240976.6381427543</v>
      </c>
      <c r="W22" s="355">
        <f>SUM(W15:W21)</f>
        <v>1284410.8204777506</v>
      </c>
      <c r="Y22" s="355">
        <f>SUM(Y15:Y21)</f>
        <v>1329365.1991944721</v>
      </c>
      <c r="AA22" s="355">
        <f>SUM(AA15:AA21)</f>
        <v>1375892.9811662782</v>
      </c>
      <c r="AC22" s="355">
        <f>SUM(AC15:AC21)</f>
        <v>1424049.2355070978</v>
      </c>
      <c r="AE22" s="355">
        <f>SUM(AE15:AE21)</f>
        <v>1473890.9587498463</v>
      </c>
      <c r="AG22" s="355">
        <f>SUM(AG15:AG21)</f>
        <v>1525477.1423060908</v>
      </c>
    </row>
    <row r="23" spans="1:33" s="339" customFormat="1" ht="13.8">
      <c r="C23" s="365"/>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row>
    <row r="24" spans="1:33" s="339" customFormat="1" ht="13.8">
      <c r="A24" s="339" t="s">
        <v>1988</v>
      </c>
      <c r="C24" s="365"/>
      <c r="E24" s="970"/>
      <c r="F24" s="354"/>
      <c r="G24" s="354">
        <f>E24*$C$24</f>
        <v>0</v>
      </c>
      <c r="H24" s="354"/>
      <c r="I24" s="354">
        <f>G24*$C$24</f>
        <v>0</v>
      </c>
      <c r="J24" s="354"/>
      <c r="K24" s="354">
        <f>I24*$C$24</f>
        <v>0</v>
      </c>
      <c r="L24" s="354"/>
      <c r="M24" s="354">
        <f>K24*$C$24</f>
        <v>0</v>
      </c>
      <c r="N24" s="354"/>
      <c r="O24" s="354">
        <f>M24*$C$24</f>
        <v>0</v>
      </c>
      <c r="P24" s="354"/>
      <c r="Q24" s="354">
        <f>O24*$C$24</f>
        <v>0</v>
      </c>
      <c r="R24" s="354"/>
      <c r="S24" s="354">
        <f>Q24*$C$24</f>
        <v>0</v>
      </c>
      <c r="T24" s="354"/>
      <c r="U24" s="354">
        <f>S24*$C$24</f>
        <v>0</v>
      </c>
      <c r="V24" s="354"/>
      <c r="W24" s="354">
        <f>U24*$C$24</f>
        <v>0</v>
      </c>
      <c r="X24" s="354"/>
      <c r="Y24" s="354">
        <f>W24*$C$24</f>
        <v>0</v>
      </c>
      <c r="Z24" s="354"/>
      <c r="AA24" s="354">
        <f>Y24*$C$24</f>
        <v>0</v>
      </c>
      <c r="AB24" s="354"/>
      <c r="AC24" s="354">
        <f>AA24*$C$24</f>
        <v>0</v>
      </c>
      <c r="AD24" s="354"/>
      <c r="AE24" s="354">
        <f>AC24*$C$24</f>
        <v>0</v>
      </c>
      <c r="AF24" s="354"/>
      <c r="AG24" s="354">
        <f>AE24*$C$24</f>
        <v>0</v>
      </c>
    </row>
    <row r="25" spans="1:33" s="339" customFormat="1" ht="13.8">
      <c r="C25" s="365"/>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row>
    <row r="26" spans="1:33" s="339" customFormat="1" ht="13.8">
      <c r="A26" s="339" t="s">
        <v>1318</v>
      </c>
      <c r="C26" s="373">
        <v>1.0349999999999999</v>
      </c>
      <c r="E26" s="354">
        <f>Application!AC885</f>
        <v>0</v>
      </c>
      <c r="F26" s="354"/>
      <c r="G26" s="354">
        <f>E26*$C$26</f>
        <v>0</v>
      </c>
      <c r="H26" s="354"/>
      <c r="I26" s="354">
        <f>G26*$C$26</f>
        <v>0</v>
      </c>
      <c r="J26" s="354"/>
      <c r="K26" s="354">
        <f>I26*$C$26</f>
        <v>0</v>
      </c>
      <c r="L26" s="354"/>
      <c r="M26" s="354">
        <f>K26*$C$26</f>
        <v>0</v>
      </c>
      <c r="N26" s="354"/>
      <c r="O26" s="354">
        <f>M26*$C$26</f>
        <v>0</v>
      </c>
      <c r="P26" s="354"/>
      <c r="Q26" s="354">
        <f>O26*$C$26</f>
        <v>0</v>
      </c>
      <c r="R26" s="354"/>
      <c r="S26" s="354">
        <f>Q26*$C$26</f>
        <v>0</v>
      </c>
      <c r="T26" s="354"/>
      <c r="U26" s="354">
        <f>S26*$C$26</f>
        <v>0</v>
      </c>
      <c r="V26" s="354"/>
      <c r="W26" s="354">
        <f>U26*$C$26</f>
        <v>0</v>
      </c>
      <c r="X26" s="354"/>
      <c r="Y26" s="354">
        <f>W26*$C$26</f>
        <v>0</v>
      </c>
      <c r="Z26" s="354"/>
      <c r="AA26" s="354">
        <f>Y26*$C$26</f>
        <v>0</v>
      </c>
      <c r="AB26" s="354"/>
      <c r="AC26" s="354">
        <f>AA26*$C$26</f>
        <v>0</v>
      </c>
      <c r="AD26" s="354"/>
      <c r="AE26" s="354">
        <f>AC26*$C$26</f>
        <v>0</v>
      </c>
      <c r="AF26" s="354"/>
      <c r="AG26" s="354">
        <f>AE26*$C$26</f>
        <v>0</v>
      </c>
    </row>
    <row r="27" spans="1:33" s="339" customFormat="1" ht="13.8">
      <c r="A27" s="339" t="s">
        <v>889</v>
      </c>
      <c r="C27" s="373">
        <v>1.0349999999999999</v>
      </c>
      <c r="E27" s="354">
        <f>Application!AC886</f>
        <v>79285</v>
      </c>
      <c r="F27" s="354"/>
      <c r="G27" s="354">
        <f>E27*$C$27</f>
        <v>82059.974999999991</v>
      </c>
      <c r="H27" s="354"/>
      <c r="I27" s="354">
        <f>G27*$C$27</f>
        <v>84932.074124999985</v>
      </c>
      <c r="J27" s="354"/>
      <c r="K27" s="354">
        <f>I27*$C$27</f>
        <v>87904.696719374973</v>
      </c>
      <c r="L27" s="354"/>
      <c r="M27" s="354">
        <f>K27*$C$27</f>
        <v>90981.361104553085</v>
      </c>
      <c r="N27" s="354"/>
      <c r="O27" s="354">
        <f>M27*$C$27</f>
        <v>94165.708743212439</v>
      </c>
      <c r="P27" s="354"/>
      <c r="Q27" s="354">
        <f>O27*$C$27</f>
        <v>97461.508549224862</v>
      </c>
      <c r="R27" s="354"/>
      <c r="S27" s="354">
        <f>Q27*$C$27</f>
        <v>100872.66134844773</v>
      </c>
      <c r="T27" s="354"/>
      <c r="U27" s="354">
        <f>S27*$C$27</f>
        <v>104403.2044956434</v>
      </c>
      <c r="V27" s="354"/>
      <c r="W27" s="354">
        <f>U27*$C$27</f>
        <v>108057.31665299091</v>
      </c>
      <c r="X27" s="354"/>
      <c r="Y27" s="354">
        <f>W27*$C$27</f>
        <v>111839.32273584558</v>
      </c>
      <c r="Z27" s="354"/>
      <c r="AA27" s="354">
        <f>Y27*$C$27</f>
        <v>115753.69903160016</v>
      </c>
      <c r="AB27" s="354"/>
      <c r="AC27" s="354">
        <f>AA27*$C$27</f>
        <v>119805.07849770616</v>
      </c>
      <c r="AD27" s="354"/>
      <c r="AE27" s="354">
        <f>AC27*$C$27</f>
        <v>123998.25624512586</v>
      </c>
      <c r="AF27" s="354"/>
      <c r="AG27" s="354">
        <f>AE27*$C$27</f>
        <v>128338.19521370526</v>
      </c>
    </row>
    <row r="28" spans="1:33" s="339" customFormat="1" ht="13.8">
      <c r="A28" s="339" t="s">
        <v>890</v>
      </c>
      <c r="C28" s="373"/>
      <c r="E28" s="354">
        <f>Application!AC887</f>
        <v>32850</v>
      </c>
      <c r="F28" s="354"/>
      <c r="G28" s="354">
        <f>$E$28</f>
        <v>32850</v>
      </c>
      <c r="H28" s="354"/>
      <c r="I28" s="354">
        <f>$E$28</f>
        <v>32850</v>
      </c>
      <c r="J28" s="354"/>
      <c r="K28" s="354">
        <f>$E$28</f>
        <v>32850</v>
      </c>
      <c r="L28" s="354"/>
      <c r="M28" s="354">
        <f>$E$28</f>
        <v>32850</v>
      </c>
      <c r="N28" s="354"/>
      <c r="O28" s="354">
        <f>$E$28</f>
        <v>32850</v>
      </c>
      <c r="P28" s="354"/>
      <c r="Q28" s="354">
        <f>$E$28</f>
        <v>32850</v>
      </c>
      <c r="R28" s="354"/>
      <c r="S28" s="354">
        <f>$E$28</f>
        <v>32850</v>
      </c>
      <c r="T28" s="354"/>
      <c r="U28" s="354">
        <f>$E$28</f>
        <v>32850</v>
      </c>
      <c r="V28" s="354"/>
      <c r="W28" s="354">
        <f>$E$28</f>
        <v>32850</v>
      </c>
      <c r="X28" s="354"/>
      <c r="Y28" s="354">
        <f>$E$28</f>
        <v>32850</v>
      </c>
      <c r="Z28" s="354"/>
      <c r="AA28" s="354">
        <f>$E$28</f>
        <v>32850</v>
      </c>
      <c r="AB28" s="354"/>
      <c r="AC28" s="354">
        <f>$E$28</f>
        <v>32850</v>
      </c>
      <c r="AD28" s="354"/>
      <c r="AE28" s="354">
        <f>$E$28</f>
        <v>32850</v>
      </c>
      <c r="AF28" s="354"/>
      <c r="AG28" s="354">
        <f>$E$28</f>
        <v>32850</v>
      </c>
    </row>
    <row r="29" spans="1:33" s="339" customFormat="1" ht="13.8">
      <c r="A29" s="339" t="s">
        <v>1986</v>
      </c>
      <c r="C29" s="371"/>
      <c r="E29" s="354">
        <f>Application!AC888</f>
        <v>0</v>
      </c>
      <c r="F29" s="354"/>
      <c r="G29" s="354">
        <f>$E$29</f>
        <v>0</v>
      </c>
      <c r="H29" s="354"/>
      <c r="I29" s="354">
        <f>$E$29</f>
        <v>0</v>
      </c>
      <c r="J29" s="354"/>
      <c r="K29" s="354">
        <f>$E$29</f>
        <v>0</v>
      </c>
      <c r="L29" s="354"/>
      <c r="M29" s="354">
        <f>$E$29</f>
        <v>0</v>
      </c>
      <c r="N29" s="354"/>
      <c r="O29" s="354">
        <f>$E$29</f>
        <v>0</v>
      </c>
      <c r="P29" s="354"/>
      <c r="Q29" s="354">
        <f>$E$29</f>
        <v>0</v>
      </c>
      <c r="R29" s="354"/>
      <c r="S29" s="354">
        <f>$E$29</f>
        <v>0</v>
      </c>
      <c r="T29" s="354"/>
      <c r="U29" s="354">
        <f>$E$29</f>
        <v>0</v>
      </c>
      <c r="V29" s="354"/>
      <c r="W29" s="354">
        <f>$E$29</f>
        <v>0</v>
      </c>
      <c r="X29" s="354"/>
      <c r="Y29" s="354">
        <f>$E$29</f>
        <v>0</v>
      </c>
      <c r="Z29" s="354"/>
      <c r="AA29" s="354">
        <f>$E$29</f>
        <v>0</v>
      </c>
      <c r="AB29" s="354"/>
      <c r="AC29" s="354">
        <f>$E$29</f>
        <v>0</v>
      </c>
      <c r="AD29" s="354"/>
      <c r="AE29" s="354">
        <f>$E$29</f>
        <v>0</v>
      </c>
      <c r="AF29" s="354"/>
      <c r="AG29" s="354">
        <f>$E$29</f>
        <v>0</v>
      </c>
    </row>
    <row r="30" spans="1:33" s="339" customFormat="1" ht="13.8">
      <c r="A30" s="339" t="s">
        <v>888</v>
      </c>
      <c r="C30" s="371">
        <v>1.02</v>
      </c>
      <c r="E30" s="354">
        <f>Application!AC889</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39" t="s">
        <v>1987</v>
      </c>
      <c r="C31" s="371">
        <v>1.02</v>
      </c>
      <c r="E31" s="354">
        <f>Application!AC890</f>
        <v>20028</v>
      </c>
      <c r="F31" s="354"/>
      <c r="G31" s="354">
        <f>E31*$C$31</f>
        <v>20428.560000000001</v>
      </c>
      <c r="H31" s="354"/>
      <c r="I31" s="354">
        <f>G31*$C$31</f>
        <v>20837.131200000003</v>
      </c>
      <c r="J31" s="354"/>
      <c r="K31" s="354">
        <f>I31*$C$31</f>
        <v>21253.873824000006</v>
      </c>
      <c r="L31" s="354"/>
      <c r="M31" s="354">
        <f>K31*$C$31</f>
        <v>21678.951300480006</v>
      </c>
      <c r="N31" s="354"/>
      <c r="O31" s="354">
        <f>M31*$C$31</f>
        <v>22112.530326489607</v>
      </c>
      <c r="P31" s="354"/>
      <c r="Q31" s="354">
        <f>O31*$C$31</f>
        <v>22554.7809330194</v>
      </c>
      <c r="R31" s="354"/>
      <c r="S31" s="354">
        <f>Q31*$C$31</f>
        <v>23005.876551679787</v>
      </c>
      <c r="T31" s="354"/>
      <c r="U31" s="354">
        <f>S31*$C$31</f>
        <v>23465.994082713383</v>
      </c>
      <c r="V31" s="354"/>
      <c r="W31" s="354">
        <f>U31*$C$31</f>
        <v>23935.313964367651</v>
      </c>
      <c r="X31" s="354"/>
      <c r="Y31" s="354">
        <f>W31*$C$31</f>
        <v>24414.020243655006</v>
      </c>
      <c r="Z31" s="354"/>
      <c r="AA31" s="354">
        <f>Y31*$C$31</f>
        <v>24902.300648528108</v>
      </c>
      <c r="AB31" s="354"/>
      <c r="AC31" s="354">
        <f>AA31*$C$31</f>
        <v>25400.346661498672</v>
      </c>
      <c r="AD31" s="354"/>
      <c r="AE31" s="354">
        <f>AC31*$C$31</f>
        <v>25908.353594728647</v>
      </c>
      <c r="AF31" s="354"/>
      <c r="AG31" s="354">
        <f>AE31*$C$31</f>
        <v>26426.520666623222</v>
      </c>
    </row>
    <row r="32" spans="1:33" s="339" customFormat="1" ht="13.8">
      <c r="A32" s="358" t="str">
        <f>Application!C891</f>
        <v>Other (Annual Issuer &amp; Trustee Fee):</v>
      </c>
      <c r="B32" s="358"/>
      <c r="C32" s="487">
        <v>1</v>
      </c>
      <c r="E32" s="354">
        <f>Application!AC891</f>
        <v>8500</v>
      </c>
      <c r="F32" s="354"/>
      <c r="G32" s="354">
        <f>E32*$C$32</f>
        <v>8500</v>
      </c>
      <c r="H32" s="354"/>
      <c r="I32" s="354">
        <f>G32*$C$32</f>
        <v>8500</v>
      </c>
      <c r="J32" s="354"/>
      <c r="K32" s="354">
        <f>I32*$C$32</f>
        <v>8500</v>
      </c>
      <c r="L32" s="354"/>
      <c r="M32" s="354">
        <f>K32*$C$32</f>
        <v>8500</v>
      </c>
      <c r="N32" s="354"/>
      <c r="O32" s="354">
        <f>M32*$C$32</f>
        <v>8500</v>
      </c>
      <c r="P32" s="354"/>
      <c r="Q32" s="354">
        <f>O32*$C$32</f>
        <v>8500</v>
      </c>
      <c r="R32" s="354"/>
      <c r="S32" s="354">
        <f>Q32*$C$32</f>
        <v>8500</v>
      </c>
      <c r="T32" s="354"/>
      <c r="U32" s="354">
        <f>S32*$C$32</f>
        <v>8500</v>
      </c>
      <c r="V32" s="354"/>
      <c r="W32" s="354">
        <f>U32*$C$32</f>
        <v>8500</v>
      </c>
      <c r="X32" s="354"/>
      <c r="Y32" s="354">
        <f>W32*$C$32</f>
        <v>8500</v>
      </c>
      <c r="Z32" s="354"/>
      <c r="AA32" s="354">
        <f>Y32*$C$32</f>
        <v>8500</v>
      </c>
      <c r="AB32" s="354"/>
      <c r="AC32" s="354">
        <f>AA32*$C$32</f>
        <v>8500</v>
      </c>
      <c r="AD32" s="354"/>
      <c r="AE32" s="354">
        <f>AC32*$C$32</f>
        <v>8500</v>
      </c>
      <c r="AF32" s="354"/>
      <c r="AG32" s="354">
        <f>AE32*$C$32</f>
        <v>8500</v>
      </c>
    </row>
    <row r="33" spans="1:33" s="339" customFormat="1" ht="13.8">
      <c r="A33" s="358" t="str">
        <f>Application!C892</f>
        <v>Other (Ground Lease):</v>
      </c>
      <c r="B33" s="358"/>
      <c r="C33" s="487">
        <v>1</v>
      </c>
      <c r="E33" s="354">
        <f>Application!AC892</f>
        <v>15000</v>
      </c>
      <c r="F33" s="354"/>
      <c r="G33" s="354">
        <f>E33*$C$33</f>
        <v>15000</v>
      </c>
      <c r="H33" s="354"/>
      <c r="I33" s="354">
        <f>G33*$C$33</f>
        <v>15000</v>
      </c>
      <c r="J33" s="354"/>
      <c r="K33" s="354">
        <f>I33*$C$33</f>
        <v>15000</v>
      </c>
      <c r="L33" s="354"/>
      <c r="M33" s="354">
        <f>K33*$C$33</f>
        <v>15000</v>
      </c>
      <c r="N33" s="354"/>
      <c r="O33" s="354">
        <f>M33*$C$33</f>
        <v>15000</v>
      </c>
      <c r="P33" s="354"/>
      <c r="Q33" s="354">
        <f>O33*$C$33</f>
        <v>15000</v>
      </c>
      <c r="R33" s="354"/>
      <c r="S33" s="354">
        <f>Q33*$C$33</f>
        <v>15000</v>
      </c>
      <c r="T33" s="354"/>
      <c r="U33" s="354">
        <f>S33*$C$33</f>
        <v>15000</v>
      </c>
      <c r="V33" s="354"/>
      <c r="W33" s="354">
        <f>U33*$C$33</f>
        <v>15000</v>
      </c>
      <c r="X33" s="354"/>
      <c r="Y33" s="354">
        <f>W33*$C$33</f>
        <v>15000</v>
      </c>
      <c r="Z33" s="354"/>
      <c r="AA33" s="354">
        <f>Y33*$C$33</f>
        <v>15000</v>
      </c>
      <c r="AB33" s="354"/>
      <c r="AC33" s="354">
        <f>AA33*$C$33</f>
        <v>15000</v>
      </c>
      <c r="AD33" s="354"/>
      <c r="AE33" s="354">
        <f>AC33*$C$33</f>
        <v>15000</v>
      </c>
      <c r="AF33" s="354"/>
      <c r="AG33" s="354">
        <f>AE33*$C$33</f>
        <v>15000</v>
      </c>
    </row>
    <row r="34" spans="1:33" s="339" customFormat="1" ht="13.8">
      <c r="C34" s="352"/>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row>
    <row r="35" spans="1:33" s="355" customFormat="1" ht="13.8">
      <c r="A35" s="355" t="s">
        <v>182</v>
      </c>
      <c r="C35" s="356"/>
      <c r="E35" s="355">
        <f>SUM(E22:E33)</f>
        <v>1098075</v>
      </c>
      <c r="G35" s="355">
        <f>SUM(G22:G33)</f>
        <v>1134234.9550000001</v>
      </c>
      <c r="I35" s="355">
        <f>SUM(I22:I33)</f>
        <v>1171654.5000249997</v>
      </c>
      <c r="K35" s="355">
        <f>SUM(K22:K33)</f>
        <v>1210377.6005578747</v>
      </c>
      <c r="M35" s="355">
        <f>SUM(M22:M33)</f>
        <v>1250449.7584700403</v>
      </c>
      <c r="O35" s="355">
        <f>SUM(O22:O33)</f>
        <v>1291918.0657469844</v>
      </c>
      <c r="Q35" s="355">
        <f>SUM(Q22:Q33)</f>
        <v>1334831.2600932315</v>
      </c>
      <c r="S35" s="355">
        <f>SUM(S22:S33)</f>
        <v>1379239.7824824993</v>
      </c>
      <c r="U35" s="355">
        <f>SUM(U22:U33)</f>
        <v>1425195.8367211111</v>
      </c>
      <c r="W35" s="355">
        <f>SUM(W22:W33)</f>
        <v>1472753.4510951091</v>
      </c>
      <c r="Y35" s="355">
        <f>SUM(Y22:Y33)</f>
        <v>1521968.5421739726</v>
      </c>
      <c r="AA35" s="355">
        <f>SUM(AA22:AA33)</f>
        <v>1572898.9808464067</v>
      </c>
      <c r="AC35" s="355">
        <f>SUM(AC22:AC33)</f>
        <v>1625604.6606663028</v>
      </c>
      <c r="AE35" s="355">
        <f>SUM(AE22:AE33)</f>
        <v>1680147.5685897009</v>
      </c>
      <c r="AG35" s="355">
        <f>SUM(AG22:AG33)</f>
        <v>1736591.8581864194</v>
      </c>
    </row>
    <row r="36" spans="1:33" s="339" customFormat="1" ht="13.8">
      <c r="C36" s="352"/>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row>
    <row r="37" spans="1:33" s="355" customFormat="1" ht="13.8">
      <c r="A37" s="355" t="s">
        <v>891</v>
      </c>
      <c r="C37" s="356"/>
      <c r="E37" s="355">
        <f>E11-E35</f>
        <v>110354.4879999999</v>
      </c>
      <c r="G37" s="355">
        <f>G11-G35</f>
        <v>104405.27019999968</v>
      </c>
      <c r="I37" s="355">
        <f>I11-I35</f>
        <v>97951.730804999825</v>
      </c>
      <c r="K37" s="355">
        <f>K11-K35</f>
        <v>90968.786042875145</v>
      </c>
      <c r="M37" s="355">
        <f>M11-M35</f>
        <v>83430.28779572784</v>
      </c>
      <c r="O37" s="355">
        <f>O11-O35</f>
        <v>75308.981675427873</v>
      </c>
      <c r="Q37" s="355">
        <f>Q11-Q35</f>
        <v>66576.463514741044</v>
      </c>
      <c r="S37" s="355">
        <f>S11-S35</f>
        <v>57203.134215672268</v>
      </c>
      <c r="U37" s="355">
        <f>U11-U35</f>
        <v>47158.152894514613</v>
      </c>
      <c r="W37" s="355">
        <f>W11-W35</f>
        <v>36409.388260907261</v>
      </c>
      <c r="Y37" s="355">
        <f>Y11-Y35</f>
        <v>24923.368165944004</v>
      </c>
      <c r="AA37" s="355">
        <f>AA11-AA35</f>
        <v>12665.227252007695</v>
      </c>
      <c r="AC37" s="355">
        <f>AC11-AC35</f>
        <v>0</v>
      </c>
      <c r="AE37" s="355">
        <f>AE11-AE35</f>
        <v>0</v>
      </c>
      <c r="AG37" s="355">
        <f>AG11-AG35</f>
        <v>0</v>
      </c>
    </row>
    <row r="38" spans="1:33" s="339" customFormat="1" ht="13.8">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0" t="s">
        <v>904</v>
      </c>
      <c r="C39" s="352"/>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row>
    <row r="40" spans="1:33" s="339" customFormat="1" ht="13.8">
      <c r="A40" s="357"/>
      <c r="B40" s="358"/>
      <c r="C40" s="352"/>
      <c r="E40" s="354">
        <f>Application!AF637</f>
        <v>0</v>
      </c>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54"/>
      <c r="F41" s="354"/>
      <c r="G41" s="354">
        <f>$E$41</f>
        <v>0</v>
      </c>
      <c r="H41" s="354"/>
      <c r="I41" s="354">
        <f>$E$41</f>
        <v>0</v>
      </c>
      <c r="J41" s="354"/>
      <c r="K41" s="354">
        <f>$E$41</f>
        <v>0</v>
      </c>
      <c r="L41" s="354"/>
      <c r="M41" s="354">
        <f>$E$41</f>
        <v>0</v>
      </c>
      <c r="N41" s="354"/>
      <c r="O41" s="354">
        <f>$E$41</f>
        <v>0</v>
      </c>
      <c r="P41" s="354"/>
      <c r="Q41" s="354">
        <f>$E$41</f>
        <v>0</v>
      </c>
      <c r="R41" s="354"/>
      <c r="S41" s="354">
        <f>$E$41</f>
        <v>0</v>
      </c>
      <c r="T41" s="354"/>
      <c r="U41" s="354">
        <f>$E$41</f>
        <v>0</v>
      </c>
      <c r="V41" s="354"/>
      <c r="W41" s="354">
        <f>$E$41</f>
        <v>0</v>
      </c>
      <c r="X41" s="354"/>
      <c r="Y41" s="354">
        <f>$E$41</f>
        <v>0</v>
      </c>
      <c r="Z41" s="354"/>
      <c r="AA41" s="354">
        <f>$E$41</f>
        <v>0</v>
      </c>
      <c r="AB41" s="354"/>
      <c r="AC41" s="354">
        <f>$E$41</f>
        <v>0</v>
      </c>
      <c r="AD41" s="354"/>
      <c r="AE41" s="354">
        <f>$E$41</f>
        <v>0</v>
      </c>
      <c r="AF41" s="354"/>
      <c r="AG41" s="354">
        <f>$E$41</f>
        <v>0</v>
      </c>
    </row>
    <row r="42" spans="1:33" s="339" customFormat="1" ht="13.8">
      <c r="A42" s="357"/>
      <c r="B42" s="358"/>
      <c r="C42" s="352"/>
      <c r="E42" s="364"/>
      <c r="F42" s="354"/>
      <c r="G42" s="364">
        <f>$E$42</f>
        <v>0</v>
      </c>
      <c r="H42" s="354"/>
      <c r="I42" s="364">
        <f>$E$42</f>
        <v>0</v>
      </c>
      <c r="J42" s="354"/>
      <c r="K42" s="364">
        <f>$E$42</f>
        <v>0</v>
      </c>
      <c r="L42" s="354"/>
      <c r="M42" s="364">
        <f>$E$42</f>
        <v>0</v>
      </c>
      <c r="N42" s="354"/>
      <c r="O42" s="364">
        <f>$E$42</f>
        <v>0</v>
      </c>
      <c r="P42" s="354"/>
      <c r="Q42" s="364">
        <f>$E$42</f>
        <v>0</v>
      </c>
      <c r="R42" s="354"/>
      <c r="S42" s="364">
        <f>$E$42</f>
        <v>0</v>
      </c>
      <c r="T42" s="354"/>
      <c r="U42" s="364">
        <f>$E$42</f>
        <v>0</v>
      </c>
      <c r="V42" s="354"/>
      <c r="W42" s="364">
        <f>$E$42</f>
        <v>0</v>
      </c>
      <c r="X42" s="354"/>
      <c r="Y42" s="364">
        <f>$E$42</f>
        <v>0</v>
      </c>
      <c r="Z42" s="354"/>
      <c r="AA42" s="364">
        <f>$E$42</f>
        <v>0</v>
      </c>
      <c r="AB42" s="354"/>
      <c r="AC42" s="364">
        <f>$E$42</f>
        <v>0</v>
      </c>
      <c r="AD42" s="354"/>
      <c r="AE42" s="364">
        <f>$E$42</f>
        <v>0</v>
      </c>
      <c r="AF42" s="354"/>
      <c r="AG42" s="364">
        <f>$E$42</f>
        <v>0</v>
      </c>
    </row>
    <row r="43" spans="1:33" s="355" customFormat="1" ht="13.8">
      <c r="A43" s="355" t="s">
        <v>892</v>
      </c>
      <c r="C43" s="356"/>
      <c r="E43" s="355">
        <f>SUM(E40:E42)</f>
        <v>0</v>
      </c>
      <c r="G43" s="355">
        <f>SUM(G40:G42)</f>
        <v>0</v>
      </c>
      <c r="I43" s="355">
        <f>SUM(I40:I42)</f>
        <v>0</v>
      </c>
      <c r="K43" s="355">
        <f>SUM(K40:K42)</f>
        <v>0</v>
      </c>
      <c r="M43" s="355">
        <f>SUM(M40:M42)</f>
        <v>0</v>
      </c>
      <c r="O43" s="355">
        <f>SUM(O40:O42)</f>
        <v>0</v>
      </c>
      <c r="Q43" s="355">
        <f>SUM(Q40:Q42)</f>
        <v>0</v>
      </c>
      <c r="S43" s="355">
        <f>SUM(S40:S42)</f>
        <v>0</v>
      </c>
      <c r="U43" s="355">
        <f>SUM(U40:U42)</f>
        <v>0</v>
      </c>
      <c r="W43" s="355">
        <f>SUM(W40:W42)</f>
        <v>0</v>
      </c>
      <c r="Y43" s="355">
        <f>SUM(Y40:Y42)</f>
        <v>0</v>
      </c>
      <c r="AA43" s="355">
        <f>SUM(AA40:AA42)</f>
        <v>0</v>
      </c>
      <c r="AC43" s="355">
        <f>SUM(AC40:AC42)</f>
        <v>0</v>
      </c>
      <c r="AE43" s="355">
        <f>SUM(AE40:AE42)</f>
        <v>0</v>
      </c>
      <c r="AG43" s="355">
        <f>SUM(AG40:AG42)</f>
        <v>0</v>
      </c>
    </row>
    <row r="44" spans="1:33" s="339" customFormat="1" ht="13.8">
      <c r="C44" s="352"/>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row>
    <row r="45" spans="1:33" s="355" customFormat="1" ht="13.8">
      <c r="A45" s="355" t="s">
        <v>893</v>
      </c>
      <c r="C45" s="356"/>
      <c r="E45" s="355">
        <f>E37-E43</f>
        <v>110354.4879999999</v>
      </c>
      <c r="G45" s="355">
        <f>G37-G43</f>
        <v>104405.27019999968</v>
      </c>
      <c r="I45" s="355">
        <f>I37-I43</f>
        <v>97951.730804999825</v>
      </c>
      <c r="K45" s="355">
        <f>K37-K43</f>
        <v>90968.786042875145</v>
      </c>
      <c r="M45" s="355">
        <f>M37-M43</f>
        <v>83430.28779572784</v>
      </c>
      <c r="O45" s="355">
        <f>O37-O43</f>
        <v>75308.981675427873</v>
      </c>
      <c r="Q45" s="355">
        <f>Q37-Q43</f>
        <v>66576.463514741044</v>
      </c>
      <c r="S45" s="355">
        <f>S37-S43</f>
        <v>57203.134215672268</v>
      </c>
      <c r="U45" s="355">
        <f>U37-U43</f>
        <v>47158.152894514613</v>
      </c>
      <c r="W45" s="355">
        <f>W37-W43</f>
        <v>36409.388260907261</v>
      </c>
      <c r="Y45" s="355">
        <f>Y37-Y43</f>
        <v>24923.368165944004</v>
      </c>
      <c r="AA45" s="355">
        <f>AA37-AA43</f>
        <v>12665.227252007695</v>
      </c>
      <c r="AC45" s="355">
        <f>AC37-AC43</f>
        <v>0</v>
      </c>
      <c r="AE45" s="355">
        <f>AE37-AE43</f>
        <v>0</v>
      </c>
      <c r="AG45" s="355">
        <f>AG37-AG43</f>
        <v>0</v>
      </c>
    </row>
    <row r="46" spans="1:33" s="339" customFormat="1" ht="13.8">
      <c r="C46" s="352"/>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row>
    <row r="47" spans="1:33" s="359" customFormat="1" ht="13.8">
      <c r="A47" s="359" t="s">
        <v>895</v>
      </c>
      <c r="C47" s="352"/>
      <c r="E47" s="359">
        <f>E45/(E4+E6+E9)</f>
        <v>8.6754555926559715E-2</v>
      </c>
      <c r="G47" s="359">
        <f>G45/(G4+G6+G9)</f>
        <v>8.0075719060378955E-2</v>
      </c>
      <c r="I47" s="359">
        <f>I45/(I4+I6+I9)</f>
        <v>7.3293704776414087E-2</v>
      </c>
      <c r="K47" s="359">
        <f>K45/(K4+K6+K9)</f>
        <v>6.6408411803770565E-2</v>
      </c>
      <c r="M47" s="359">
        <f>M45/(M4+M6+M9)</f>
        <v>5.9419715909109244E-2</v>
      </c>
      <c r="O47" s="359">
        <f>O45/(O4+O6+O9)</f>
        <v>5.2327470208064657E-2</v>
      </c>
      <c r="Q47" s="359">
        <f>Q45/(Q4+Q6+Q9)</f>
        <v>4.5131505466639479E-2</v>
      </c>
      <c r="S47" s="359">
        <f>S45/(S4+S6+S9)</f>
        <v>3.7831630392805446E-2</v>
      </c>
      <c r="U47" s="359">
        <f>U45/(U4+U6+U9)</f>
        <v>3.0427631918520139E-2</v>
      </c>
      <c r="W47" s="359">
        <f>W45/(W4+W6+W9)</f>
        <v>2.2919275472368203E-2</v>
      </c>
      <c r="Y47" s="359">
        <f>Y45/(Y4+Y6+Y9)</f>
        <v>1.5306305243036623E-2</v>
      </c>
      <c r="AA47" s="359">
        <f>AA45/(AA4+AA6+AA9)</f>
        <v>7.5884444338191678E-3</v>
      </c>
      <c r="AC47" s="359">
        <f>AC45/(AC4+AC6+AC9)</f>
        <v>0</v>
      </c>
      <c r="AE47" s="359">
        <f>AE45/(AE4+AE6+AE9)</f>
        <v>0</v>
      </c>
      <c r="AG47" s="359">
        <f>AG45/(AG4+AG6+AG9)</f>
        <v>0</v>
      </c>
    </row>
    <row r="48" spans="1:33" s="359" customFormat="1" ht="13.8">
      <c r="A48" s="359" t="s">
        <v>896</v>
      </c>
      <c r="C48" s="352"/>
      <c r="E48" s="359" t="e">
        <f>E45/E43</f>
        <v>#DIV/0!</v>
      </c>
      <c r="G48" s="359" t="e">
        <f>G45/G43</f>
        <v>#DIV/0!</v>
      </c>
      <c r="I48" s="359" t="e">
        <f>I45/I43</f>
        <v>#DIV/0!</v>
      </c>
      <c r="K48" s="359" t="e">
        <f>K45/K43</f>
        <v>#DIV/0!</v>
      </c>
      <c r="M48" s="359" t="e">
        <f>M45/M43</f>
        <v>#DIV/0!</v>
      </c>
      <c r="O48" s="359" t="e">
        <f>O45/O43</f>
        <v>#DIV/0!</v>
      </c>
      <c r="Q48" s="359" t="e">
        <f>Q45/Q43</f>
        <v>#DIV/0!</v>
      </c>
      <c r="S48" s="359" t="e">
        <f>S45/S43</f>
        <v>#DIV/0!</v>
      </c>
      <c r="U48" s="359" t="e">
        <f>U45/U43</f>
        <v>#DIV/0!</v>
      </c>
      <c r="W48" s="359" t="e">
        <f>W45/W43</f>
        <v>#DIV/0!</v>
      </c>
      <c r="Y48" s="359" t="e">
        <f>Y45/Y43</f>
        <v>#DIV/0!</v>
      </c>
      <c r="AA48" s="359" t="e">
        <f>AA45/AA43</f>
        <v>#DIV/0!</v>
      </c>
      <c r="AC48" s="359" t="e">
        <f>AC45/AC43</f>
        <v>#DIV/0!</v>
      </c>
      <c r="AE48" s="359" t="e">
        <f>AE45/AE43</f>
        <v>#DIV/0!</v>
      </c>
      <c r="AG48" s="359" t="e">
        <f>AG45/AG43</f>
        <v>#DIV/0!</v>
      </c>
    </row>
    <row r="49" spans="1:35" s="360" customFormat="1" ht="13.8">
      <c r="A49" s="360" t="s">
        <v>894</v>
      </c>
      <c r="C49" s="361"/>
      <c r="E49" s="360" t="e">
        <f>E37/E43</f>
        <v>#DIV/0!</v>
      </c>
      <c r="G49" s="360" t="e">
        <f>G37/G43</f>
        <v>#DIV/0!</v>
      </c>
      <c r="I49" s="360" t="e">
        <f>I37/I43</f>
        <v>#DIV/0!</v>
      </c>
      <c r="K49" s="360" t="e">
        <f>K37/K43</f>
        <v>#DIV/0!</v>
      </c>
      <c r="M49" s="360" t="e">
        <f>M37/M43</f>
        <v>#DIV/0!</v>
      </c>
      <c r="O49" s="360" t="e">
        <f>O37/O43</f>
        <v>#DIV/0!</v>
      </c>
      <c r="Q49" s="360" t="e">
        <f>Q37/Q43</f>
        <v>#DIV/0!</v>
      </c>
      <c r="S49" s="360" t="e">
        <f>S37/S43</f>
        <v>#DIV/0!</v>
      </c>
      <c r="U49" s="360" t="e">
        <f>U37/U43</f>
        <v>#DIV/0!</v>
      </c>
      <c r="W49" s="360" t="e">
        <f>W37/W43</f>
        <v>#DIV/0!</v>
      </c>
      <c r="Y49" s="360" t="e">
        <f>Y37/Y43</f>
        <v>#DIV/0!</v>
      </c>
      <c r="AA49" s="360" t="e">
        <f>AA37/AA43</f>
        <v>#DIV/0!</v>
      </c>
      <c r="AC49" s="360" t="e">
        <f>AC37/AC43</f>
        <v>#DIV/0!</v>
      </c>
      <c r="AE49" s="360" t="e">
        <f>AE37/AE43</f>
        <v>#DIV/0!</v>
      </c>
      <c r="AG49" s="360" t="e">
        <f>AG37/AG43</f>
        <v>#DIV/0!</v>
      </c>
    </row>
    <row r="50" spans="1:35" s="339" customFormat="1" ht="13.8">
      <c r="A50" s="362"/>
      <c r="B50" s="362"/>
      <c r="C50" s="363"/>
      <c r="D50" s="362"/>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row>
    <row r="51" spans="1:35" s="6" customFormat="1">
      <c r="A51" s="6" t="s">
        <v>906</v>
      </c>
      <c r="C51" s="1001"/>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6" customFormat="1">
      <c r="A52" s="3242" t="s">
        <v>1344</v>
      </c>
      <c r="B52" s="3242"/>
      <c r="C52" s="3242"/>
      <c r="D52" s="1000"/>
      <c r="E52" s="1000"/>
      <c r="F52" s="1000"/>
      <c r="G52" s="1000"/>
      <c r="H52" s="1000"/>
      <c r="I52" s="1000"/>
      <c r="J52" s="1000"/>
      <c r="K52" s="1000"/>
      <c r="L52" s="1000"/>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row>
    <row r="53" spans="1:35" s="1002" customFormat="1">
      <c r="A53" s="1002" t="s">
        <v>898</v>
      </c>
      <c r="C53" s="1003"/>
      <c r="E53" s="1004"/>
      <c r="G53" s="1000">
        <f>E53*$C$53</f>
        <v>0</v>
      </c>
      <c r="I53" s="1000">
        <f>G53*$C$53</f>
        <v>0</v>
      </c>
      <c r="K53" s="1000">
        <f>I53*$C$53</f>
        <v>0</v>
      </c>
      <c r="M53" s="1000">
        <f>K53*$C$53</f>
        <v>0</v>
      </c>
      <c r="O53" s="1000">
        <f>M53*$C$53</f>
        <v>0</v>
      </c>
      <c r="Q53" s="1000">
        <f>O53*$C$53</f>
        <v>0</v>
      </c>
      <c r="S53" s="1000">
        <f>Q53*$C$53</f>
        <v>0</v>
      </c>
      <c r="U53" s="1000">
        <f>S53*$C$53</f>
        <v>0</v>
      </c>
      <c r="W53" s="1000">
        <f>U53*$C$53</f>
        <v>0</v>
      </c>
      <c r="Y53" s="1000">
        <f>W53*$C$53</f>
        <v>0</v>
      </c>
      <c r="AA53" s="1000">
        <f>Y53*$C$53</f>
        <v>0</v>
      </c>
      <c r="AC53" s="1000">
        <f>AA53*$C$53</f>
        <v>0</v>
      </c>
      <c r="AE53" s="1000">
        <f>AC53*$C$53</f>
        <v>0</v>
      </c>
      <c r="AG53" s="1000">
        <f>AE53*$C$53</f>
        <v>0</v>
      </c>
    </row>
    <row r="54" spans="1:35" s="6" customFormat="1">
      <c r="A54" s="6" t="s">
        <v>899</v>
      </c>
      <c r="C54" s="998"/>
      <c r="E54" s="1005"/>
      <c r="F54" s="1000"/>
      <c r="G54" s="1000">
        <f t="shared" ref="G54:AG57" si="15">E54*$C$53</f>
        <v>0</v>
      </c>
      <c r="H54" s="1000"/>
      <c r="I54" s="1000">
        <f t="shared" si="15"/>
        <v>0</v>
      </c>
      <c r="J54" s="1000"/>
      <c r="K54" s="1000">
        <f t="shared" si="15"/>
        <v>0</v>
      </c>
      <c r="L54" s="1000"/>
      <c r="M54" s="1000">
        <f t="shared" si="15"/>
        <v>0</v>
      </c>
      <c r="N54" s="1000"/>
      <c r="O54" s="1000">
        <f t="shared" si="15"/>
        <v>0</v>
      </c>
      <c r="P54" s="1000"/>
      <c r="Q54" s="1000">
        <f t="shared" si="15"/>
        <v>0</v>
      </c>
      <c r="R54" s="1000"/>
      <c r="S54" s="1000">
        <f t="shared" si="15"/>
        <v>0</v>
      </c>
      <c r="T54" s="1000"/>
      <c r="U54" s="1000">
        <f t="shared" si="15"/>
        <v>0</v>
      </c>
      <c r="V54" s="1000"/>
      <c r="W54" s="1000">
        <f t="shared" si="15"/>
        <v>0</v>
      </c>
      <c r="X54" s="1000"/>
      <c r="Y54" s="1000">
        <f t="shared" si="15"/>
        <v>0</v>
      </c>
      <c r="Z54" s="1000"/>
      <c r="AA54" s="1000">
        <f t="shared" si="15"/>
        <v>0</v>
      </c>
      <c r="AB54" s="1000"/>
      <c r="AC54" s="1000">
        <f t="shared" si="15"/>
        <v>0</v>
      </c>
      <c r="AD54" s="1000"/>
      <c r="AE54" s="1000">
        <f t="shared" si="15"/>
        <v>0</v>
      </c>
      <c r="AF54" s="1000"/>
      <c r="AG54" s="1000">
        <f t="shared" si="15"/>
        <v>0</v>
      </c>
      <c r="AH54" s="1000"/>
      <c r="AI54" s="1000"/>
    </row>
    <row r="55" spans="1:35" s="6" customFormat="1">
      <c r="A55" s="6" t="s">
        <v>900</v>
      </c>
      <c r="C55" s="998"/>
      <c r="E55" s="1005"/>
      <c r="F55" s="1000"/>
      <c r="G55" s="1000">
        <f t="shared" si="15"/>
        <v>0</v>
      </c>
      <c r="H55" s="1000"/>
      <c r="I55" s="1000">
        <f t="shared" si="15"/>
        <v>0</v>
      </c>
      <c r="J55" s="1000"/>
      <c r="K55" s="1000">
        <f t="shared" si="15"/>
        <v>0</v>
      </c>
      <c r="L55" s="1000"/>
      <c r="M55" s="1000">
        <f t="shared" si="15"/>
        <v>0</v>
      </c>
      <c r="N55" s="1000"/>
      <c r="O55" s="1000">
        <f t="shared" si="15"/>
        <v>0</v>
      </c>
      <c r="P55" s="1000"/>
      <c r="Q55" s="1000">
        <f t="shared" si="15"/>
        <v>0</v>
      </c>
      <c r="R55" s="1000"/>
      <c r="S55" s="1000">
        <f t="shared" si="15"/>
        <v>0</v>
      </c>
      <c r="T55" s="1000"/>
      <c r="U55" s="1000">
        <f t="shared" si="15"/>
        <v>0</v>
      </c>
      <c r="V55" s="1000"/>
      <c r="W55" s="1000">
        <f t="shared" si="15"/>
        <v>0</v>
      </c>
      <c r="X55" s="1000"/>
      <c r="Y55" s="1000">
        <f t="shared" si="15"/>
        <v>0</v>
      </c>
      <c r="Z55" s="1000"/>
      <c r="AA55" s="1000">
        <f t="shared" si="15"/>
        <v>0</v>
      </c>
      <c r="AB55" s="1000"/>
      <c r="AC55" s="1000">
        <f t="shared" si="15"/>
        <v>0</v>
      </c>
      <c r="AD55" s="1000"/>
      <c r="AE55" s="1000">
        <f t="shared" si="15"/>
        <v>0</v>
      </c>
      <c r="AF55" s="1000"/>
      <c r="AG55" s="1000">
        <f t="shared" si="15"/>
        <v>0</v>
      </c>
      <c r="AH55" s="1000"/>
      <c r="AI55" s="1000"/>
    </row>
    <row r="56" spans="1:35" s="6" customFormat="1">
      <c r="A56" s="1006"/>
      <c r="B56" s="1006"/>
      <c r="C56" s="998"/>
      <c r="E56" s="1005"/>
      <c r="F56" s="1000"/>
      <c r="G56" s="1000">
        <f t="shared" si="15"/>
        <v>0</v>
      </c>
      <c r="H56" s="1000"/>
      <c r="I56" s="1000">
        <f t="shared" si="15"/>
        <v>0</v>
      </c>
      <c r="J56" s="1000"/>
      <c r="K56" s="1000">
        <f t="shared" si="15"/>
        <v>0</v>
      </c>
      <c r="L56" s="1000"/>
      <c r="M56" s="1000">
        <f t="shared" si="15"/>
        <v>0</v>
      </c>
      <c r="N56" s="1000"/>
      <c r="O56" s="1000">
        <f t="shared" si="15"/>
        <v>0</v>
      </c>
      <c r="P56" s="1000"/>
      <c r="Q56" s="1000">
        <f t="shared" si="15"/>
        <v>0</v>
      </c>
      <c r="R56" s="1000"/>
      <c r="S56" s="1000">
        <f t="shared" si="15"/>
        <v>0</v>
      </c>
      <c r="T56" s="1000"/>
      <c r="U56" s="1000">
        <f t="shared" si="15"/>
        <v>0</v>
      </c>
      <c r="V56" s="1000"/>
      <c r="W56" s="1000">
        <f t="shared" si="15"/>
        <v>0</v>
      </c>
      <c r="X56" s="1000"/>
      <c r="Y56" s="1000">
        <f t="shared" si="15"/>
        <v>0</v>
      </c>
      <c r="Z56" s="1000"/>
      <c r="AA56" s="1000">
        <f t="shared" si="15"/>
        <v>0</v>
      </c>
      <c r="AB56" s="1000"/>
      <c r="AC56" s="1000">
        <f t="shared" si="15"/>
        <v>0</v>
      </c>
      <c r="AD56" s="1000"/>
      <c r="AE56" s="1000">
        <f t="shared" si="15"/>
        <v>0</v>
      </c>
      <c r="AF56" s="1000"/>
      <c r="AG56" s="1000">
        <f t="shared" si="15"/>
        <v>0</v>
      </c>
      <c r="AH56" s="1000"/>
      <c r="AI56" s="1000"/>
    </row>
    <row r="57" spans="1:35" s="6" customFormat="1">
      <c r="A57" s="1006"/>
      <c r="B57" s="1006"/>
      <c r="C57" s="998"/>
      <c r="E57" s="1007"/>
      <c r="F57" s="1000"/>
      <c r="G57" s="1008">
        <f t="shared" si="15"/>
        <v>0</v>
      </c>
      <c r="H57" s="1000"/>
      <c r="I57" s="1008">
        <f t="shared" si="15"/>
        <v>0</v>
      </c>
      <c r="J57" s="1000"/>
      <c r="K57" s="1008">
        <f t="shared" si="15"/>
        <v>0</v>
      </c>
      <c r="L57" s="1000"/>
      <c r="M57" s="1008">
        <f t="shared" si="15"/>
        <v>0</v>
      </c>
      <c r="N57" s="1000"/>
      <c r="O57" s="1008">
        <f t="shared" si="15"/>
        <v>0</v>
      </c>
      <c r="P57" s="1000"/>
      <c r="Q57" s="1008">
        <f t="shared" si="15"/>
        <v>0</v>
      </c>
      <c r="R57" s="1000"/>
      <c r="S57" s="1008">
        <f t="shared" si="15"/>
        <v>0</v>
      </c>
      <c r="T57" s="1000"/>
      <c r="U57" s="1008">
        <f t="shared" si="15"/>
        <v>0</v>
      </c>
      <c r="V57" s="1000"/>
      <c r="W57" s="1008">
        <f t="shared" si="15"/>
        <v>0</v>
      </c>
      <c r="X57" s="1000"/>
      <c r="Y57" s="1008">
        <f t="shared" si="15"/>
        <v>0</v>
      </c>
      <c r="Z57" s="1000"/>
      <c r="AA57" s="1008">
        <f t="shared" si="15"/>
        <v>0</v>
      </c>
      <c r="AB57" s="1000"/>
      <c r="AC57" s="1008">
        <f t="shared" si="15"/>
        <v>0</v>
      </c>
      <c r="AD57" s="1000"/>
      <c r="AE57" s="1008">
        <f t="shared" si="15"/>
        <v>0</v>
      </c>
      <c r="AF57" s="1000"/>
      <c r="AG57" s="1008">
        <f t="shared" si="15"/>
        <v>0</v>
      </c>
      <c r="AH57" s="1000"/>
      <c r="AI57" s="1000"/>
    </row>
    <row r="58" spans="1:35" s="6" customFormat="1">
      <c r="A58" s="1002" t="s">
        <v>897</v>
      </c>
      <c r="C58" s="1001"/>
      <c r="E58" s="1000">
        <f>SUM(E53:E57)</f>
        <v>0</v>
      </c>
      <c r="F58" s="1000"/>
      <c r="G58" s="1000">
        <f>SUM(G53:G57)</f>
        <v>0</v>
      </c>
      <c r="H58" s="1000"/>
      <c r="I58" s="1000">
        <f>SUM(I53:I57)</f>
        <v>0</v>
      </c>
      <c r="J58" s="1000"/>
      <c r="K58" s="1000">
        <f>SUM(K53:K57)</f>
        <v>0</v>
      </c>
      <c r="L58" s="1000"/>
      <c r="M58" s="1000">
        <f>SUM(M53:M57)</f>
        <v>0</v>
      </c>
      <c r="N58" s="1000"/>
      <c r="O58" s="1000">
        <f>SUM(O53:O57)</f>
        <v>0</v>
      </c>
      <c r="P58" s="1000"/>
      <c r="Q58" s="1000">
        <f>SUM(Q53:Q57)</f>
        <v>0</v>
      </c>
      <c r="R58" s="1000"/>
      <c r="S58" s="1000">
        <f>SUM(S53:S57)</f>
        <v>0</v>
      </c>
      <c r="T58" s="1000"/>
      <c r="U58" s="1000">
        <f>SUM(U53:U57)</f>
        <v>0</v>
      </c>
      <c r="V58" s="1000"/>
      <c r="W58" s="1000">
        <f>SUM(W53:W57)</f>
        <v>0</v>
      </c>
      <c r="X58" s="1000"/>
      <c r="Y58" s="1000">
        <f>SUM(Y53:Y57)</f>
        <v>0</v>
      </c>
      <c r="Z58" s="1000"/>
      <c r="AA58" s="1000">
        <f>SUM(AA53:AA57)</f>
        <v>0</v>
      </c>
      <c r="AB58" s="1000"/>
      <c r="AC58" s="1000">
        <f>SUM(AC53:AC57)</f>
        <v>0</v>
      </c>
      <c r="AD58" s="1000"/>
      <c r="AE58" s="1000">
        <f>SUM(AE53:AE57)</f>
        <v>0</v>
      </c>
      <c r="AF58" s="1000"/>
      <c r="AG58" s="1000">
        <f>SUM(AG53:AG57)</f>
        <v>0</v>
      </c>
      <c r="AH58" s="1000"/>
      <c r="AI58" s="1000"/>
    </row>
    <row r="59" spans="1:35" s="6" customFormat="1" ht="12.75" customHeight="1">
      <c r="A59" s="1002"/>
      <c r="C59" s="1001"/>
      <c r="E59" s="1000"/>
      <c r="F59" s="1000"/>
      <c r="G59" s="1000"/>
      <c r="H59" s="1000"/>
      <c r="I59" s="1000"/>
      <c r="J59" s="1000"/>
      <c r="K59" s="1000"/>
      <c r="L59" s="1000"/>
      <c r="M59" s="1000"/>
      <c r="N59" s="1000"/>
      <c r="O59" s="1000"/>
      <c r="P59" s="1000"/>
      <c r="Q59" s="1000"/>
      <c r="R59" s="1000"/>
      <c r="S59" s="1000"/>
      <c r="T59" s="1000"/>
      <c r="U59" s="1000"/>
      <c r="V59" s="1000"/>
      <c r="W59" s="1000"/>
      <c r="X59" s="1000"/>
      <c r="Y59" s="1000"/>
      <c r="Z59" s="1000"/>
      <c r="AA59" s="1000"/>
      <c r="AB59" s="1000"/>
      <c r="AC59" s="1000"/>
      <c r="AD59" s="1000"/>
      <c r="AE59" s="1000"/>
      <c r="AF59" s="1000"/>
      <c r="AG59" s="1000"/>
      <c r="AH59" s="1000"/>
      <c r="AI59" s="1000"/>
    </row>
    <row r="60" spans="1:35" s="1002" customFormat="1">
      <c r="A60" s="1002" t="s">
        <v>902</v>
      </c>
      <c r="C60" s="1009"/>
      <c r="E60" s="1002">
        <f>E45-E58</f>
        <v>110354.4879999999</v>
      </c>
      <c r="G60" s="1002">
        <f>G45-G58</f>
        <v>104405.27019999968</v>
      </c>
      <c r="I60" s="1002">
        <f>I45-I58</f>
        <v>97951.730804999825</v>
      </c>
      <c r="K60" s="1002">
        <f>K45-K58</f>
        <v>90968.786042875145</v>
      </c>
      <c r="M60" s="1002">
        <f>M45-M58</f>
        <v>83430.28779572784</v>
      </c>
      <c r="O60" s="1002">
        <f>O45-O58</f>
        <v>75308.981675427873</v>
      </c>
      <c r="Q60" s="1002">
        <f>Q45-Q58</f>
        <v>66576.463514741044</v>
      </c>
      <c r="S60" s="1002">
        <f>S45-S58</f>
        <v>57203.134215672268</v>
      </c>
      <c r="U60" s="1002">
        <f>U45-U58</f>
        <v>47158.152894514613</v>
      </c>
      <c r="W60" s="1002">
        <f>W45-W58</f>
        <v>36409.388260907261</v>
      </c>
      <c r="Y60" s="1002">
        <f>Y45-Y58</f>
        <v>24923.368165944004</v>
      </c>
      <c r="AA60" s="1002">
        <f>AA45-AA58</f>
        <v>12665.227252007695</v>
      </c>
      <c r="AC60" s="1002">
        <f>AC45-AC58</f>
        <v>0</v>
      </c>
      <c r="AE60" s="1002">
        <f>AE45-AE58</f>
        <v>0</v>
      </c>
      <c r="AG60" s="1002">
        <f>AG45-AG58</f>
        <v>0</v>
      </c>
    </row>
    <row r="61" spans="1:35" s="6" customFormat="1" ht="8.25" customHeight="1">
      <c r="C61" s="1001"/>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row>
    <row r="62" spans="1:35" s="1002" customFormat="1">
      <c r="A62" s="1002" t="s">
        <v>901</v>
      </c>
      <c r="C62" s="999">
        <v>0</v>
      </c>
      <c r="E62" s="1004">
        <f>E60*$C$62</f>
        <v>0</v>
      </c>
      <c r="G62" s="1010">
        <f>G60*$C$62</f>
        <v>0</v>
      </c>
      <c r="H62" s="1010"/>
      <c r="I62" s="1010">
        <f>I60*$C$62</f>
        <v>0</v>
      </c>
      <c r="J62" s="1010"/>
      <c r="K62" s="1010">
        <f>K60*$C$62</f>
        <v>0</v>
      </c>
      <c r="L62" s="1010"/>
      <c r="M62" s="1010">
        <f>M60*$C$62</f>
        <v>0</v>
      </c>
      <c r="N62" s="1010"/>
      <c r="O62" s="1010">
        <f>O60*$C$62</f>
        <v>0</v>
      </c>
      <c r="P62" s="1010"/>
      <c r="Q62" s="1010">
        <f>Q60*$C$62</f>
        <v>0</v>
      </c>
      <c r="R62" s="1010"/>
      <c r="S62" s="1010">
        <f>S60*$C$62</f>
        <v>0</v>
      </c>
      <c r="T62" s="1010"/>
      <c r="U62" s="1010">
        <f>U60*$C$62</f>
        <v>0</v>
      </c>
      <c r="V62" s="1010"/>
      <c r="W62" s="1010">
        <f>W60*$C$62</f>
        <v>0</v>
      </c>
      <c r="Y62" s="1010">
        <f>Y60*$C$62</f>
        <v>0</v>
      </c>
      <c r="AA62" s="1010">
        <f>AA60*$C$62</f>
        <v>0</v>
      </c>
      <c r="AC62" s="1010">
        <f>AC60*$C$62</f>
        <v>0</v>
      </c>
      <c r="AE62" s="1010">
        <f>AE60*$C$62</f>
        <v>0</v>
      </c>
      <c r="AG62" s="1010">
        <f>AG60*$C$62</f>
        <v>0</v>
      </c>
    </row>
    <row r="63" spans="1:35" s="1010" customFormat="1">
      <c r="A63" s="3242" t="s">
        <v>1344</v>
      </c>
      <c r="B63" s="3242"/>
      <c r="C63" s="3242"/>
    </row>
    <row r="64" spans="1:35" s="6" customFormat="1" ht="8.25" customHeight="1">
      <c r="C64" s="1001"/>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5" s="6" customFormat="1">
      <c r="A65" s="6" t="s">
        <v>905</v>
      </c>
      <c r="C65" s="999">
        <v>0.25</v>
      </c>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c r="AI65" s="1000"/>
    </row>
    <row r="66" spans="1:35" s="1002" customFormat="1">
      <c r="A66" s="1004"/>
      <c r="B66" s="1004"/>
      <c r="C66" s="1003"/>
      <c r="E66" s="1004">
        <f>$E60*$C$65</f>
        <v>27588.621999999974</v>
      </c>
      <c r="G66" s="1000">
        <f>G60*$C$65</f>
        <v>26101.31754999992</v>
      </c>
      <c r="I66" s="1000">
        <f>I60*$C$65</f>
        <v>24487.932701249956</v>
      </c>
      <c r="K66" s="1000">
        <f>K60*$C$65</f>
        <v>22742.196510718786</v>
      </c>
      <c r="M66" s="1000">
        <f>M60*$C$65</f>
        <v>20857.57194893196</v>
      </c>
      <c r="O66" s="1000">
        <f>O60*$C$65</f>
        <v>18827.245418856968</v>
      </c>
      <c r="Q66" s="1000">
        <f>Q60*$C$65</f>
        <v>16644.115878685261</v>
      </c>
      <c r="S66" s="1000">
        <f>S60*$C$65</f>
        <v>14300.783553918067</v>
      </c>
      <c r="U66" s="1000">
        <f>U60*$C$65</f>
        <v>11789.538223628653</v>
      </c>
      <c r="W66" s="1000">
        <f>W60*$C$65</f>
        <v>9102.3470652268152</v>
      </c>
      <c r="Y66" s="1000">
        <f>Y60*$C$65</f>
        <v>6230.8420414860011</v>
      </c>
      <c r="AA66" s="1000">
        <f>AA60*$C$65</f>
        <v>3166.3068130019237</v>
      </c>
      <c r="AC66" s="1000">
        <f>AC60*$C$65</f>
        <v>0</v>
      </c>
      <c r="AE66" s="1000">
        <f>AE60*$C$65</f>
        <v>0</v>
      </c>
      <c r="AG66" s="1000">
        <f>AG60*$C$65</f>
        <v>0</v>
      </c>
    </row>
    <row r="67" spans="1:35" s="1000" customFormat="1">
      <c r="A67" s="1005"/>
      <c r="B67" s="1005"/>
      <c r="C67" s="1011"/>
      <c r="E67" s="1004">
        <f>$E60*$C$65</f>
        <v>27588.621999999974</v>
      </c>
      <c r="G67" s="1000">
        <f>G60*$C$65</f>
        <v>26101.31754999992</v>
      </c>
      <c r="I67" s="1000">
        <f>I60*$C$65</f>
        <v>24487.932701249956</v>
      </c>
      <c r="K67" s="1000">
        <f>K60*$C$65</f>
        <v>22742.196510718786</v>
      </c>
      <c r="M67" s="1000">
        <f>M60*$C$65</f>
        <v>20857.57194893196</v>
      </c>
      <c r="O67" s="1000">
        <f>O60*$C$65</f>
        <v>18827.245418856968</v>
      </c>
      <c r="Q67" s="1000">
        <f>Q60*$C$65</f>
        <v>16644.115878685261</v>
      </c>
      <c r="S67" s="1000">
        <f>S60*$C$65</f>
        <v>14300.783553918067</v>
      </c>
      <c r="U67" s="1000">
        <f>U60*$C$65</f>
        <v>11789.538223628653</v>
      </c>
      <c r="W67" s="1000">
        <f>W60*$C$65</f>
        <v>9102.3470652268152</v>
      </c>
      <c r="Y67" s="1000">
        <f>Y60*$C$65</f>
        <v>6230.8420414860011</v>
      </c>
      <c r="AA67" s="1000">
        <f>AA60*$C$65</f>
        <v>3166.3068130019237</v>
      </c>
      <c r="AC67" s="1000">
        <f>AC60*$C$65</f>
        <v>0</v>
      </c>
      <c r="AE67" s="1000">
        <f>AE60*$C$65</f>
        <v>0</v>
      </c>
      <c r="AG67" s="1000">
        <f>AG60*$C$65</f>
        <v>0</v>
      </c>
    </row>
    <row r="68" spans="1:35" s="1000" customFormat="1">
      <c r="A68" s="1005"/>
      <c r="B68" s="1005"/>
      <c r="C68" s="1011"/>
      <c r="E68" s="1005"/>
      <c r="G68" s="1000">
        <f t="shared" ref="G68:AG69" si="16">E68*$C$66</f>
        <v>0</v>
      </c>
      <c r="I68" s="1000">
        <f t="shared" si="16"/>
        <v>0</v>
      </c>
      <c r="K68" s="1000">
        <f t="shared" si="16"/>
        <v>0</v>
      </c>
      <c r="M68" s="1000">
        <f t="shared" si="16"/>
        <v>0</v>
      </c>
      <c r="O68" s="1000">
        <f t="shared" si="16"/>
        <v>0</v>
      </c>
      <c r="Q68" s="1000">
        <f t="shared" si="16"/>
        <v>0</v>
      </c>
      <c r="S68" s="1000">
        <f t="shared" si="16"/>
        <v>0</v>
      </c>
      <c r="U68" s="1000">
        <f t="shared" si="16"/>
        <v>0</v>
      </c>
      <c r="W68" s="1000">
        <f t="shared" si="16"/>
        <v>0</v>
      </c>
      <c r="Y68" s="1000">
        <f t="shared" si="16"/>
        <v>0</v>
      </c>
      <c r="AA68" s="1000">
        <f t="shared" si="16"/>
        <v>0</v>
      </c>
      <c r="AC68" s="1000">
        <f t="shared" si="16"/>
        <v>0</v>
      </c>
      <c r="AE68" s="1000">
        <f t="shared" si="16"/>
        <v>0</v>
      </c>
      <c r="AG68" s="1000">
        <f t="shared" si="16"/>
        <v>0</v>
      </c>
    </row>
    <row r="69" spans="1:35" s="1000" customFormat="1">
      <c r="A69" s="1005"/>
      <c r="B69" s="1005"/>
      <c r="C69" s="1011"/>
      <c r="E69" s="1007"/>
      <c r="G69" s="1008">
        <f t="shared" si="16"/>
        <v>0</v>
      </c>
      <c r="I69" s="1008">
        <f t="shared" si="16"/>
        <v>0</v>
      </c>
      <c r="K69" s="1008">
        <f t="shared" si="16"/>
        <v>0</v>
      </c>
      <c r="M69" s="1008">
        <f t="shared" si="16"/>
        <v>0</v>
      </c>
      <c r="O69" s="1008">
        <f t="shared" si="16"/>
        <v>0</v>
      </c>
      <c r="Q69" s="1008">
        <f t="shared" si="16"/>
        <v>0</v>
      </c>
      <c r="S69" s="1008">
        <f t="shared" si="16"/>
        <v>0</v>
      </c>
      <c r="U69" s="1008">
        <f t="shared" si="16"/>
        <v>0</v>
      </c>
      <c r="W69" s="1008">
        <f t="shared" si="16"/>
        <v>0</v>
      </c>
      <c r="Y69" s="1008">
        <f t="shared" si="16"/>
        <v>0</v>
      </c>
      <c r="AA69" s="1008">
        <f t="shared" si="16"/>
        <v>0</v>
      </c>
      <c r="AC69" s="1008">
        <f t="shared" si="16"/>
        <v>0</v>
      </c>
      <c r="AE69" s="1008">
        <f t="shared" si="16"/>
        <v>0</v>
      </c>
      <c r="AG69" s="1008">
        <f t="shared" si="16"/>
        <v>0</v>
      </c>
    </row>
    <row r="70" spans="1:35" s="1012" customFormat="1">
      <c r="A70" s="1002" t="s">
        <v>897</v>
      </c>
      <c r="C70" s="1011"/>
      <c r="E70" s="1012">
        <f>SUM(E66:E69)</f>
        <v>55177.243999999948</v>
      </c>
      <c r="G70" s="1012">
        <f>SUM(G66:G69)</f>
        <v>52202.635099999839</v>
      </c>
      <c r="I70" s="1012">
        <f>SUM(I66:I69)</f>
        <v>48975.865402499912</v>
      </c>
      <c r="K70" s="1012">
        <f>SUM(K66:K69)</f>
        <v>45484.393021437572</v>
      </c>
      <c r="M70" s="1012">
        <f>SUM(M66:M69)</f>
        <v>41715.14389786392</v>
      </c>
      <c r="O70" s="1012">
        <f>SUM(O66:O69)</f>
        <v>37654.490837713936</v>
      </c>
      <c r="Q70" s="1012">
        <f>SUM(Q66:Q69)</f>
        <v>33288.231757370522</v>
      </c>
      <c r="S70" s="1012">
        <f>SUM(S66:S69)</f>
        <v>28601.567107836134</v>
      </c>
      <c r="U70" s="1012">
        <f>SUM(U66:U69)</f>
        <v>23579.076447257306</v>
      </c>
      <c r="W70" s="1012">
        <f>SUM(W66:W69)</f>
        <v>18204.69413045363</v>
      </c>
      <c r="Y70" s="1012">
        <f>SUM(Y66:Y69)</f>
        <v>12461.684082972002</v>
      </c>
      <c r="AA70" s="1012">
        <f>SUM(AA66:AA69)</f>
        <v>6332.6136260038475</v>
      </c>
      <c r="AC70" s="1012">
        <f>SUM(AC66:AC69)</f>
        <v>0</v>
      </c>
      <c r="AE70" s="1012">
        <f>SUM(AE66:AE69)</f>
        <v>0</v>
      </c>
      <c r="AG70" s="1012">
        <f>SUM(AG66:AG69)</f>
        <v>0</v>
      </c>
    </row>
    <row r="71" spans="1:35" s="1012" customFormat="1">
      <c r="A71" s="1002"/>
      <c r="C71" s="1011"/>
    </row>
    <row r="72" spans="1:35" s="1012" customFormat="1">
      <c r="A72" s="1002" t="s">
        <v>2032</v>
      </c>
      <c r="C72" s="1011"/>
      <c r="E72" s="1002">
        <f>E60-E62-E70</f>
        <v>55177.243999999948</v>
      </c>
      <c r="G72" s="1002">
        <f>G60-G62-G70</f>
        <v>52202.635099999839</v>
      </c>
      <c r="I72" s="1002">
        <f>I60-I62-I70</f>
        <v>48975.865402499912</v>
      </c>
      <c r="K72" s="1002">
        <f>K60-K62-K70</f>
        <v>45484.393021437572</v>
      </c>
      <c r="M72" s="1002">
        <f>M60-M62-M70</f>
        <v>41715.14389786392</v>
      </c>
      <c r="O72" s="1002">
        <f>O60-O62-O70</f>
        <v>37654.490837713936</v>
      </c>
      <c r="Q72" s="1002">
        <f>Q60-Q62-Q70</f>
        <v>33288.231757370522</v>
      </c>
      <c r="S72" s="1002">
        <f>S60-S62-S70</f>
        <v>28601.567107836134</v>
      </c>
      <c r="U72" s="1002">
        <f>U60-U62-U70</f>
        <v>23579.076447257306</v>
      </c>
      <c r="W72" s="1002">
        <f>W60-W62-W70</f>
        <v>18204.69413045363</v>
      </c>
      <c r="Y72" s="1002">
        <f>Y60-Y62-Y70</f>
        <v>12461.684082972002</v>
      </c>
      <c r="AA72" s="1002">
        <f>AA60-AA62-AA70</f>
        <v>6332.6136260038475</v>
      </c>
      <c r="AC72" s="1002">
        <f>AC60-AC62-AC70</f>
        <v>0</v>
      </c>
      <c r="AE72" s="1002">
        <f>AE60-AE62-AE70</f>
        <v>0</v>
      </c>
      <c r="AG72" s="1002">
        <f>AG60-AG62-AG70</f>
        <v>0</v>
      </c>
    </row>
    <row r="73" spans="1:35" s="1000" customFormat="1">
      <c r="A73" s="905"/>
      <c r="C73" s="1013"/>
    </row>
    <row r="74" spans="1:35" s="348" customFormat="1">
      <c r="A74" s="905"/>
      <c r="C74" s="349"/>
    </row>
    <row r="75" spans="1:35" s="348" customFormat="1">
      <c r="A75" s="1000" t="s">
        <v>2031</v>
      </c>
      <c r="C75" s="349"/>
    </row>
    <row r="76" spans="1:35" s="348" customFormat="1">
      <c r="C76" s="349"/>
    </row>
    <row r="77" spans="1:35" s="367" customFormat="1" ht="30" customHeight="1">
      <c r="A77" s="3240" t="s">
        <v>2030</v>
      </c>
      <c r="B77" s="3241"/>
      <c r="C77" s="3241"/>
      <c r="D77" s="3241"/>
      <c r="E77" s="3241"/>
      <c r="F77" s="3241"/>
      <c r="G77" s="3241"/>
      <c r="H77" s="3241"/>
      <c r="I77" s="3241"/>
      <c r="J77" s="3241"/>
      <c r="K77" s="3241"/>
      <c r="L77" s="3241"/>
      <c r="M77" s="3241"/>
      <c r="N77" s="3241"/>
      <c r="O77" s="3241"/>
      <c r="P77" s="3241"/>
      <c r="Q77" s="3241"/>
      <c r="R77" s="3241"/>
      <c r="S77" s="3241"/>
      <c r="T77" s="3241"/>
      <c r="U77" s="3241"/>
      <c r="V77" s="3241"/>
      <c r="W77" s="3241"/>
      <c r="X77" s="3241"/>
      <c r="Y77" s="3241"/>
      <c r="Z77" s="3241"/>
      <c r="AA77" s="3241"/>
      <c r="AB77" s="3241"/>
      <c r="AC77" s="3241"/>
      <c r="AD77" s="3241"/>
      <c r="AE77" s="3241"/>
      <c r="AF77" s="3241"/>
      <c r="AG77" s="3241"/>
    </row>
    <row r="78" spans="1:35" s="345" customFormat="1" hidden="1">
      <c r="C78" s="347"/>
    </row>
    <row r="79" spans="1:35" s="345" customFormat="1" hidden="1">
      <c r="C79" s="347"/>
    </row>
    <row r="80" spans="1:35"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90" zoomScaleNormal="90" zoomScaleSheetLayoutView="100" workbookViewId="0">
      <selection activeCell="C4" sqref="C4"/>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243" t="s">
        <v>958</v>
      </c>
      <c r="B1" s="3243"/>
      <c r="C1" s="3243"/>
      <c r="D1" s="3243"/>
      <c r="E1" s="3243"/>
      <c r="F1" s="3243"/>
      <c r="G1" s="3243"/>
      <c r="H1" s="3243"/>
      <c r="I1" s="3243"/>
      <c r="J1" s="3243"/>
      <c r="K1" s="325"/>
      <c r="L1" s="325"/>
    </row>
    <row r="2" spans="1:12">
      <c r="A2" s="648"/>
      <c r="B2" s="648"/>
      <c r="C2" s="648"/>
      <c r="D2" s="648"/>
      <c r="E2" s="648"/>
      <c r="F2" s="648"/>
      <c r="G2" s="648"/>
      <c r="H2" s="648"/>
      <c r="I2" s="648"/>
      <c r="J2" s="648"/>
    </row>
    <row r="3" spans="1:12" ht="82.8">
      <c r="A3" s="649" t="s">
        <v>959</v>
      </c>
      <c r="B3" s="649" t="s">
        <v>960</v>
      </c>
      <c r="C3" s="649" t="s">
        <v>2402</v>
      </c>
      <c r="D3" s="649" t="s">
        <v>961</v>
      </c>
      <c r="E3" s="380"/>
      <c r="F3" s="649" t="s">
        <v>962</v>
      </c>
      <c r="G3" s="649" t="s">
        <v>963</v>
      </c>
      <c r="H3" s="650"/>
      <c r="I3" s="649" t="s">
        <v>964</v>
      </c>
      <c r="J3" s="649" t="s">
        <v>965</v>
      </c>
      <c r="K3" s="325"/>
      <c r="L3" s="470"/>
    </row>
    <row r="4" spans="1:12">
      <c r="A4" s="651" t="str">
        <f>Application!B728</f>
        <v>SRO/Studio</v>
      </c>
      <c r="B4" s="1198">
        <f>Application!G728</f>
        <v>4</v>
      </c>
      <c r="C4" s="1199"/>
      <c r="D4" s="651">
        <f>Application!O728</f>
        <v>1171.1200000000001</v>
      </c>
      <c r="E4" s="652"/>
      <c r="F4" s="1200"/>
      <c r="G4" s="653">
        <f>F4*B4</f>
        <v>0</v>
      </c>
      <c r="H4" s="654"/>
      <c r="I4" s="651" t="str">
        <f>IF(F4=0," ",(F4-D4))</f>
        <v xml:space="preserve"> </v>
      </c>
      <c r="J4" s="653" t="str">
        <f>IF(F4=0," ",(I4*B4))</f>
        <v xml:space="preserve"> </v>
      </c>
      <c r="K4" s="325"/>
      <c r="L4" s="470"/>
    </row>
    <row r="5" spans="1:12">
      <c r="A5" s="651" t="str">
        <f>Application!B729</f>
        <v>1 Bedroom</v>
      </c>
      <c r="B5" s="1198">
        <f>Application!G729</f>
        <v>17</v>
      </c>
      <c r="C5" s="1199"/>
      <c r="D5" s="651">
        <f>Application!O729</f>
        <v>1337.28</v>
      </c>
      <c r="E5" s="652"/>
      <c r="F5" s="1200"/>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198">
        <f>Application!G730</f>
        <v>28</v>
      </c>
      <c r="C6" s="1199"/>
      <c r="D6" s="651">
        <f>Application!O730</f>
        <v>1494.96</v>
      </c>
      <c r="E6" s="652"/>
      <c r="F6" s="1200"/>
      <c r="G6" s="653">
        <f t="shared" si="0"/>
        <v>0</v>
      </c>
      <c r="H6" s="654"/>
      <c r="I6" s="651" t="str">
        <f t="shared" si="1"/>
        <v xml:space="preserve"> </v>
      </c>
      <c r="J6" s="653" t="str">
        <f t="shared" si="2"/>
        <v xml:space="preserve"> </v>
      </c>
      <c r="K6" s="325"/>
      <c r="L6" s="470"/>
    </row>
    <row r="7" spans="1:12">
      <c r="A7" s="651" t="str">
        <f>Application!B731</f>
        <v>3 Bedrooms</v>
      </c>
      <c r="B7" s="1198">
        <f>Application!G731</f>
        <v>12</v>
      </c>
      <c r="C7" s="1199"/>
      <c r="D7" s="651">
        <f>Application!O731</f>
        <v>1657.6000000000001</v>
      </c>
      <c r="E7" s="652"/>
      <c r="F7" s="1200"/>
      <c r="G7" s="653">
        <f t="shared" si="0"/>
        <v>0</v>
      </c>
      <c r="H7" s="654"/>
      <c r="I7" s="651" t="str">
        <f t="shared" si="1"/>
        <v xml:space="preserve"> </v>
      </c>
      <c r="J7" s="653" t="str">
        <f t="shared" si="2"/>
        <v xml:space="preserve"> </v>
      </c>
      <c r="K7" s="325"/>
      <c r="L7" s="470"/>
    </row>
    <row r="8" spans="1:12">
      <c r="A8" s="651" t="str">
        <f>Application!B732</f>
        <v>4 Bedrooms</v>
      </c>
      <c r="B8" s="1198">
        <f>Application!G732</f>
        <v>2</v>
      </c>
      <c r="C8" s="1199"/>
      <c r="D8" s="651">
        <f>Application!O732</f>
        <v>1778.92</v>
      </c>
      <c r="E8" s="652"/>
      <c r="F8" s="1200"/>
      <c r="G8" s="653">
        <f t="shared" si="0"/>
        <v>0</v>
      </c>
      <c r="H8" s="654"/>
      <c r="I8" s="651" t="str">
        <f t="shared" si="1"/>
        <v xml:space="preserve"> </v>
      </c>
      <c r="J8" s="653" t="str">
        <f t="shared" si="2"/>
        <v xml:space="preserve"> </v>
      </c>
      <c r="K8" s="325"/>
      <c r="L8" s="470"/>
    </row>
    <row r="9" spans="1:12">
      <c r="A9" s="651" t="str">
        <f>Application!B733</f>
        <v>5 Bedrooms</v>
      </c>
      <c r="B9" s="1198">
        <f>Application!G733</f>
        <v>1</v>
      </c>
      <c r="C9" s="1199"/>
      <c r="D9" s="651">
        <f>Application!O733</f>
        <v>1907.76</v>
      </c>
      <c r="E9" s="652"/>
      <c r="F9" s="1200"/>
      <c r="G9" s="653">
        <f t="shared" si="0"/>
        <v>0</v>
      </c>
      <c r="H9" s="654"/>
      <c r="I9" s="651" t="str">
        <f t="shared" si="1"/>
        <v xml:space="preserve"> </v>
      </c>
      <c r="J9" s="653" t="str">
        <f t="shared" si="2"/>
        <v xml:space="preserve"> </v>
      </c>
      <c r="K9" s="325"/>
      <c r="L9" s="470"/>
    </row>
    <row r="10" spans="1:12">
      <c r="A10" s="651" t="str">
        <f>Application!B734</f>
        <v>1 Bedroom</v>
      </c>
      <c r="B10" s="1198">
        <f>Application!G734</f>
        <v>1</v>
      </c>
      <c r="C10" s="1199"/>
      <c r="D10" s="651">
        <f>Application!O734</f>
        <v>1000</v>
      </c>
      <c r="E10" s="652"/>
      <c r="F10" s="1200"/>
      <c r="G10" s="653">
        <f t="shared" si="0"/>
        <v>0</v>
      </c>
      <c r="H10" s="654"/>
      <c r="I10" s="651" t="str">
        <f t="shared" si="1"/>
        <v xml:space="preserve"> </v>
      </c>
      <c r="J10" s="653" t="str">
        <f t="shared" si="2"/>
        <v xml:space="preserve"> </v>
      </c>
      <c r="K10" s="325"/>
      <c r="L10" s="470"/>
    </row>
    <row r="11" spans="1:12">
      <c r="A11" s="651" t="str">
        <f>Application!B735</f>
        <v>2 Bedrooms</v>
      </c>
      <c r="B11" s="1198">
        <f>Application!G735</f>
        <v>3</v>
      </c>
      <c r="C11" s="1199"/>
      <c r="D11" s="651">
        <f>Application!O735</f>
        <v>1194</v>
      </c>
      <c r="E11" s="652"/>
      <c r="F11" s="1200"/>
      <c r="G11" s="653">
        <f t="shared" si="0"/>
        <v>0</v>
      </c>
      <c r="H11" s="654"/>
      <c r="I11" s="651" t="str">
        <f t="shared" si="1"/>
        <v xml:space="preserve"> </v>
      </c>
      <c r="J11" s="653" t="str">
        <f t="shared" si="2"/>
        <v xml:space="preserve"> </v>
      </c>
      <c r="K11" s="325"/>
      <c r="L11" s="470"/>
    </row>
    <row r="12" spans="1:12">
      <c r="A12" s="651" t="str">
        <f>Application!B736</f>
        <v>3 Bedrooms</v>
      </c>
      <c r="B12" s="1198">
        <f>Application!G736</f>
        <v>4</v>
      </c>
      <c r="C12" s="1199"/>
      <c r="D12" s="651">
        <f>Application!O736</f>
        <v>1380</v>
      </c>
      <c r="E12" s="652"/>
      <c r="F12" s="1200"/>
      <c r="G12" s="653">
        <f t="shared" si="0"/>
        <v>0</v>
      </c>
      <c r="H12" s="654"/>
      <c r="I12" s="651" t="str">
        <f t="shared" si="1"/>
        <v xml:space="preserve"> </v>
      </c>
      <c r="J12" s="653" t="str">
        <f t="shared" si="2"/>
        <v xml:space="preserve"> </v>
      </c>
      <c r="K12" s="325"/>
      <c r="L12" s="470"/>
    </row>
    <row r="13" spans="1:12">
      <c r="A13" s="651">
        <f>Application!B737</f>
        <v>0</v>
      </c>
      <c r="B13" s="1198">
        <f>Application!G737</f>
        <v>0</v>
      </c>
      <c r="C13" s="1199"/>
      <c r="D13" s="651">
        <f>Application!O737</f>
        <v>0</v>
      </c>
      <c r="E13" s="652"/>
      <c r="F13" s="1200"/>
      <c r="G13" s="653">
        <f t="shared" si="0"/>
        <v>0</v>
      </c>
      <c r="H13" s="654"/>
      <c r="I13" s="651" t="str">
        <f t="shared" si="1"/>
        <v xml:space="preserve"> </v>
      </c>
      <c r="J13" s="653" t="str">
        <f t="shared" si="2"/>
        <v xml:space="preserve"> </v>
      </c>
      <c r="K13" s="325"/>
      <c r="L13" s="470"/>
    </row>
    <row r="14" spans="1:12">
      <c r="A14" s="651">
        <f>Application!B738</f>
        <v>0</v>
      </c>
      <c r="B14" s="1198">
        <f>Application!G738</f>
        <v>0</v>
      </c>
      <c r="C14" s="1199"/>
      <c r="D14" s="651">
        <f>Application!O738</f>
        <v>0</v>
      </c>
      <c r="E14" s="652"/>
      <c r="F14" s="1200"/>
      <c r="G14" s="653">
        <f t="shared" si="0"/>
        <v>0</v>
      </c>
      <c r="H14" s="654"/>
      <c r="I14" s="651" t="str">
        <f t="shared" si="1"/>
        <v xml:space="preserve"> </v>
      </c>
      <c r="J14" s="653" t="str">
        <f t="shared" si="2"/>
        <v xml:space="preserve"> </v>
      </c>
      <c r="K14" s="325"/>
      <c r="L14" s="470"/>
    </row>
    <row r="15" spans="1:12">
      <c r="A15" s="651">
        <f>Application!B739</f>
        <v>0</v>
      </c>
      <c r="B15" s="1198">
        <f>Application!G739</f>
        <v>0</v>
      </c>
      <c r="C15" s="1199"/>
      <c r="D15" s="651">
        <f>Application!O739</f>
        <v>0</v>
      </c>
      <c r="E15" s="652"/>
      <c r="F15" s="1200"/>
      <c r="G15" s="653">
        <f t="shared" si="0"/>
        <v>0</v>
      </c>
      <c r="H15" s="654"/>
      <c r="I15" s="651" t="str">
        <f t="shared" si="1"/>
        <v xml:space="preserve"> </v>
      </c>
      <c r="J15" s="653" t="str">
        <f t="shared" si="2"/>
        <v xml:space="preserve"> </v>
      </c>
      <c r="K15" s="325"/>
      <c r="L15" s="470"/>
    </row>
    <row r="16" spans="1:12">
      <c r="A16" s="651">
        <f>Application!B740</f>
        <v>0</v>
      </c>
      <c r="B16" s="1198">
        <f>Application!G740</f>
        <v>0</v>
      </c>
      <c r="C16" s="1199"/>
      <c r="D16" s="651">
        <f>Application!O740</f>
        <v>0</v>
      </c>
      <c r="E16" s="652"/>
      <c r="F16" s="1200"/>
      <c r="G16" s="653">
        <f t="shared" si="0"/>
        <v>0</v>
      </c>
      <c r="H16" s="654"/>
      <c r="I16" s="651" t="str">
        <f t="shared" si="1"/>
        <v xml:space="preserve"> </v>
      </c>
      <c r="J16" s="653" t="str">
        <f t="shared" si="2"/>
        <v xml:space="preserve"> </v>
      </c>
      <c r="K16" s="325"/>
      <c r="L16" s="470"/>
    </row>
    <row r="17" spans="1:12">
      <c r="A17" s="651">
        <f>Application!B741</f>
        <v>0</v>
      </c>
      <c r="B17" s="1198">
        <f>Application!G741</f>
        <v>0</v>
      </c>
      <c r="C17" s="1199"/>
      <c r="D17" s="651">
        <f>Application!O741</f>
        <v>0</v>
      </c>
      <c r="E17" s="652"/>
      <c r="F17" s="1200"/>
      <c r="G17" s="653">
        <f t="shared" si="0"/>
        <v>0</v>
      </c>
      <c r="H17" s="654"/>
      <c r="I17" s="651" t="str">
        <f t="shared" si="1"/>
        <v xml:space="preserve"> </v>
      </c>
      <c r="J17" s="653" t="str">
        <f t="shared" si="2"/>
        <v xml:space="preserve"> </v>
      </c>
      <c r="K17" s="325"/>
      <c r="L17" s="470"/>
    </row>
    <row r="18" spans="1:12">
      <c r="A18" s="651">
        <f>Application!B742</f>
        <v>0</v>
      </c>
      <c r="B18" s="1198">
        <f>Application!G742</f>
        <v>0</v>
      </c>
      <c r="C18" s="1199"/>
      <c r="D18" s="651">
        <f>Application!O742</f>
        <v>0</v>
      </c>
      <c r="E18" s="652"/>
      <c r="F18" s="1200"/>
      <c r="G18" s="653">
        <f t="shared" si="0"/>
        <v>0</v>
      </c>
      <c r="H18" s="654"/>
      <c r="I18" s="651" t="str">
        <f t="shared" si="1"/>
        <v xml:space="preserve"> </v>
      </c>
      <c r="J18" s="653" t="str">
        <f t="shared" si="2"/>
        <v xml:space="preserve"> </v>
      </c>
      <c r="K18" s="325"/>
      <c r="L18" s="470"/>
    </row>
    <row r="19" spans="1:12">
      <c r="A19" s="651">
        <f>Application!B743</f>
        <v>0</v>
      </c>
      <c r="B19" s="1198">
        <f>Application!G743</f>
        <v>0</v>
      </c>
      <c r="C19" s="1199"/>
      <c r="D19" s="651">
        <f>Application!O743</f>
        <v>0</v>
      </c>
      <c r="E19" s="652"/>
      <c r="F19" s="1200"/>
      <c r="G19" s="653">
        <f t="shared" si="0"/>
        <v>0</v>
      </c>
      <c r="H19" s="654"/>
      <c r="I19" s="651" t="str">
        <f t="shared" si="1"/>
        <v xml:space="preserve"> </v>
      </c>
      <c r="J19" s="653" t="str">
        <f t="shared" si="2"/>
        <v xml:space="preserve"> </v>
      </c>
      <c r="K19" s="325"/>
      <c r="L19" s="470"/>
    </row>
    <row r="20" spans="1:12">
      <c r="A20" s="651">
        <f>Application!B744</f>
        <v>0</v>
      </c>
      <c r="B20" s="1198">
        <f>Application!G744</f>
        <v>0</v>
      </c>
      <c r="C20" s="1199"/>
      <c r="D20" s="651">
        <f>Application!O744</f>
        <v>0</v>
      </c>
      <c r="E20" s="652"/>
      <c r="F20" s="1200"/>
      <c r="G20" s="653">
        <f t="shared" si="0"/>
        <v>0</v>
      </c>
      <c r="H20" s="654"/>
      <c r="I20" s="651" t="str">
        <f t="shared" si="1"/>
        <v xml:space="preserve"> </v>
      </c>
      <c r="J20" s="653" t="str">
        <f t="shared" si="2"/>
        <v xml:space="preserve"> </v>
      </c>
      <c r="K20" s="325"/>
      <c r="L20" s="470"/>
    </row>
    <row r="21" spans="1:12">
      <c r="A21" s="651">
        <f>Application!B745</f>
        <v>0</v>
      </c>
      <c r="B21" s="1198">
        <f>Application!G745</f>
        <v>0</v>
      </c>
      <c r="C21" s="1199"/>
      <c r="D21" s="651">
        <f>Application!O745</f>
        <v>0</v>
      </c>
      <c r="E21" s="652"/>
      <c r="F21" s="1200"/>
      <c r="G21" s="653">
        <f t="shared" si="0"/>
        <v>0</v>
      </c>
      <c r="H21" s="654"/>
      <c r="I21" s="651" t="str">
        <f t="shared" si="1"/>
        <v xml:space="preserve"> </v>
      </c>
      <c r="J21" s="653" t="str">
        <f t="shared" si="2"/>
        <v xml:space="preserve"> </v>
      </c>
      <c r="K21" s="325"/>
      <c r="L21" s="470"/>
    </row>
    <row r="22" spans="1:12">
      <c r="A22" s="651">
        <f>Application!B746</f>
        <v>0</v>
      </c>
      <c r="B22" s="1198">
        <f>Application!G746</f>
        <v>0</v>
      </c>
      <c r="C22" s="1199"/>
      <c r="D22" s="651">
        <f>Application!O746</f>
        <v>0</v>
      </c>
      <c r="E22" s="652"/>
      <c r="F22" s="1200"/>
      <c r="G22" s="653">
        <f t="shared" si="0"/>
        <v>0</v>
      </c>
      <c r="H22" s="654"/>
      <c r="I22" s="651" t="str">
        <f t="shared" si="1"/>
        <v xml:space="preserve"> </v>
      </c>
      <c r="J22" s="653" t="str">
        <f t="shared" si="2"/>
        <v xml:space="preserve"> </v>
      </c>
      <c r="K22" s="325"/>
      <c r="L22" s="470"/>
    </row>
    <row r="23" spans="1:12">
      <c r="A23" s="651">
        <f>Application!B747</f>
        <v>0</v>
      </c>
      <c r="B23" s="1198">
        <f>Application!G747</f>
        <v>0</v>
      </c>
      <c r="C23" s="1199"/>
      <c r="D23" s="651">
        <f>Application!O747</f>
        <v>0</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966</v>
      </c>
      <c r="B30" s="656"/>
      <c r="C30" s="656"/>
      <c r="D30" s="657">
        <f>Application!O753</f>
        <v>104735.91999999998</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967</v>
      </c>
      <c r="B32" s="648"/>
      <c r="C32" s="648"/>
      <c r="D32" s="648"/>
      <c r="E32" s="648"/>
      <c r="F32" s="648"/>
      <c r="G32" s="648"/>
      <c r="H32" s="648"/>
      <c r="I32" s="648"/>
      <c r="J32" s="648"/>
    </row>
    <row r="33" spans="1:10">
      <c r="A33" s="659" t="s">
        <v>968</v>
      </c>
      <c r="B33" s="648"/>
      <c r="C33" s="648"/>
      <c r="D33" s="648"/>
      <c r="E33" s="648"/>
      <c r="F33" s="648"/>
      <c r="G33" s="648"/>
      <c r="H33" s="648"/>
      <c r="I33" s="648"/>
      <c r="J33" s="648"/>
    </row>
    <row r="34" spans="1:10">
      <c r="A34" s="648" t="s">
        <v>1108</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1026</v>
      </c>
    </row>
    <row r="2" spans="1:1" ht="15.6">
      <c r="A2" s="484"/>
    </row>
    <row r="3" spans="1:1" ht="15.6">
      <c r="A3" s="485" t="s">
        <v>1021</v>
      </c>
    </row>
    <row r="4" spans="1:1" ht="15.6">
      <c r="A4" s="485" t="s">
        <v>1022</v>
      </c>
    </row>
    <row r="5" spans="1:1" ht="15.6">
      <c r="A5" s="485" t="s">
        <v>1023</v>
      </c>
    </row>
    <row r="6" spans="1:1" ht="15.6">
      <c r="A6" s="485" t="s">
        <v>1025</v>
      </c>
    </row>
    <row r="7" spans="1:1" ht="15.6">
      <c r="A7" s="485" t="s">
        <v>1024</v>
      </c>
    </row>
    <row r="8" spans="1:1" ht="15.6">
      <c r="A8" s="531" t="s">
        <v>1101</v>
      </c>
    </row>
    <row r="9" spans="1:1" ht="15.6">
      <c r="A9" s="485" t="s">
        <v>1102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9" zoomScaleNormal="100" zoomScaleSheetLayoutView="100" workbookViewId="0">
      <selection activeCell="E12" sqref="E12"/>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1379</v>
      </c>
      <c r="D1" s="434"/>
    </row>
    <row r="2" spans="1:253" s="429" customFormat="1">
      <c r="A2" s="411" t="s">
        <v>937</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938</v>
      </c>
      <c r="C3" s="415" t="s">
        <v>939</v>
      </c>
      <c r="D3" s="415" t="s">
        <v>940</v>
      </c>
      <c r="E3" s="412" t="s">
        <v>941</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15000</v>
      </c>
      <c r="C7" s="418">
        <f>'Sources and Uses Budget'!$C6</f>
        <v>15000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617</v>
      </c>
      <c r="B9" s="422">
        <f>SUM(B5:B8)</f>
        <v>15000</v>
      </c>
      <c r="C9" s="422">
        <f>SUM(C5:C8)</f>
        <v>15000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618</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619</v>
      </c>
      <c r="B11" s="418">
        <f>'Sources and Uses Budget'!$C10</f>
        <v>50000</v>
      </c>
      <c r="C11" s="418">
        <f>'Sources and Uses Budget'!$C10</f>
        <v>50000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620</v>
      </c>
      <c r="B12" s="422">
        <f>SUM(B10:B11)</f>
        <v>50000</v>
      </c>
      <c r="C12" s="422">
        <f>SUM(C10:C11)</f>
        <v>50000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65000</v>
      </c>
      <c r="C13" s="422">
        <f>SUM(C9+C12)</f>
        <v>65000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951</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952</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1320</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621</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622</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623</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624</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1842</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622</v>
      </c>
      <c r="B30" s="418">
        <f>'Sources and Uses Budget'!$C29</f>
        <v>1171705</v>
      </c>
      <c r="C30" s="418">
        <f>'Sources and Uses Budget'!$C29</f>
        <v>1171705</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623</v>
      </c>
      <c r="B31" s="418">
        <f>'Sources and Uses Budget'!$C30</f>
        <v>46608024</v>
      </c>
      <c r="C31" s="418">
        <f>'Sources and Uses Budget'!$C30</f>
        <v>46608024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624</v>
      </c>
      <c r="B32" s="418">
        <f>'Sources and Uses Budget'!$C31</f>
        <v>2804389</v>
      </c>
      <c r="C32" s="418">
        <f>'Sources and Uses Budget'!$C31</f>
        <v>2804389</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890494</v>
      </c>
      <c r="C33" s="418">
        <f>'Sources and Uses Budget'!$C32</f>
        <v>890494</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890494</v>
      </c>
      <c r="C34" s="418">
        <f>'Sources and Uses Budget'!$C33</f>
        <v>890494</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1073892</v>
      </c>
      <c r="C36" s="418">
        <f>'Sources and Uses Budget'!$C35</f>
        <v>1073892</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1842</v>
      </c>
      <c r="B37" s="418">
        <f>'Sources and Uses Budget'!$C36</f>
        <v>303195</v>
      </c>
      <c r="C37" s="418">
        <f>'Sources and Uses Budget'!$C36</f>
        <v>303195</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Environmental Remediation</v>
      </c>
      <c r="B38" s="418">
        <f>'Sources and Uses Budget'!$C37</f>
        <v>500000</v>
      </c>
      <c r="C38" s="418">
        <f>'Sources and Uses Budget'!$C37</f>
        <v>500000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54242193</v>
      </c>
      <c r="C39" s="422">
        <f>SUM(C30:C38)</f>
        <v>54242193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1900000</v>
      </c>
      <c r="C41" s="418">
        <f>'Sources and Uses Budget'!$C40</f>
        <v>1900000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1900000</v>
      </c>
      <c r="C43" s="422">
        <f>SUM(C41:C42)</f>
        <v>1900000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359075</v>
      </c>
      <c r="C44" s="418">
        <f>'Sources and Uses Budget'!$C43</f>
        <v>359075</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2113503.7150152293</v>
      </c>
      <c r="C46" s="418">
        <f>'Sources and Uses Budget'!$C45</f>
        <v>2113503.7150152293</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272710.1567761586</v>
      </c>
      <c r="C47" s="418">
        <f>'Sources and Uses Budget'!$C46</f>
        <v>272710.1567761586</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365095.03983531543</v>
      </c>
      <c r="C50" s="418">
        <f>'Sources and Uses Budget'!$C49</f>
        <v>365095.03983531543</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60000</v>
      </c>
      <c r="C51" s="418">
        <f>'Sources and Uses Budget'!$C50</f>
        <v>60000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207340.17563700001</v>
      </c>
      <c r="C53" s="418">
        <f>'Sources and Uses Budget'!$C52</f>
        <v>207340.17563700001</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Soft Loan Accrued Deferred Interest</v>
      </c>
      <c r="B54" s="418">
        <f>'Sources and Uses Budget'!$C53</f>
        <v>747762.25491082715</v>
      </c>
      <c r="C54" s="418">
        <f>'Sources and Uses Budget'!$C53</f>
        <v>747762.25491082715</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3766411.3421745305</v>
      </c>
      <c r="C55" s="425">
        <f>SUM(C46:C54)</f>
        <v>3766411.3421745305</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433</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Legal</v>
      </c>
      <c r="B62" s="418">
        <f>'Sources and Uses Budget'!$C61</f>
        <v>65000</v>
      </c>
      <c r="C62" s="418">
        <f>'Sources and Uses Budget'!$C61</f>
        <v>65000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306</v>
      </c>
      <c r="B63" s="422">
        <f>SUM(B57:B62)</f>
        <v>75000</v>
      </c>
      <c r="C63" s="422">
        <f>SUM(C57:C62)</f>
        <v>75000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60407679.34217453</v>
      </c>
      <c r="C64" s="422">
        <f>SUM(C9+C12+C14+C15+C17+C26+C28+C39+C43+C44+C55+C63)</f>
        <v>60407679.34217453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1846</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65000</v>
      </c>
      <c r="C66" s="418">
        <f>'Sources and Uses Budget'!$C65</f>
        <v>65000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1843</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1844</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1850</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Sponsor Legal Costs</v>
      </c>
      <c r="B70" s="418">
        <f>'Sources and Uses Budget'!$C69</f>
        <v>100000</v>
      </c>
      <c r="C70" s="418">
        <f>'Sources and Uses Budget'!$C69</f>
        <v>100000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1847</v>
      </c>
      <c r="B71" s="422">
        <f>SUM(B66:B70)</f>
        <v>165000</v>
      </c>
      <c r="C71" s="422">
        <f>SUM(C66:C70)</f>
        <v>165000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626</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627</v>
      </c>
      <c r="B73" s="418">
        <f>'Sources and Uses Budget'!$C72</f>
        <v>0</v>
      </c>
      <c r="C73" s="418">
        <f>'Sources and Uses Budget'!$C72</f>
        <v>0</v>
      </c>
      <c r="D73" s="422">
        <f t="shared" si="0"/>
        <v>0</v>
      </c>
      <c r="E73" s="420"/>
      <c r="F73" s="419"/>
      <c r="G73" s="546"/>
    </row>
    <row r="74" spans="1:253" s="540" customFormat="1">
      <c r="A74" s="421" t="s">
        <v>628</v>
      </c>
      <c r="B74" s="418">
        <f>'Sources and Uses Budget'!$C73</f>
        <v>0</v>
      </c>
      <c r="C74" s="418">
        <f>'Sources and Uses Budget'!$C73</f>
        <v>0</v>
      </c>
      <c r="D74" s="422">
        <f t="shared" si="0"/>
        <v>0</v>
      </c>
      <c r="E74" s="420"/>
      <c r="F74" s="419"/>
      <c r="G74" s="546"/>
    </row>
    <row r="75" spans="1:253" s="540" customFormat="1">
      <c r="A75" s="501" t="s">
        <v>1055</v>
      </c>
      <c r="B75" s="418">
        <f>'Sources and Uses Budget'!$C74</f>
        <v>0</v>
      </c>
      <c r="C75" s="418">
        <f>'Sources and Uses Budget'!$C74</f>
        <v>0</v>
      </c>
      <c r="D75" s="422">
        <f t="shared" si="0"/>
        <v>0</v>
      </c>
      <c r="E75" s="420"/>
      <c r="F75" s="419"/>
      <c r="G75" s="546"/>
    </row>
    <row r="76" spans="1:253" s="540" customFormat="1">
      <c r="A76" s="421" t="s">
        <v>629</v>
      </c>
      <c r="B76" s="418">
        <f>'Sources and Uses Budget'!$C75</f>
        <v>366025.33333333331</v>
      </c>
      <c r="C76" s="418">
        <f>'Sources and Uses Budget'!$C75</f>
        <v>366025.33333333331</v>
      </c>
      <c r="D76" s="422">
        <f t="shared" si="0"/>
        <v>0</v>
      </c>
      <c r="E76" s="420"/>
      <c r="F76" s="419"/>
      <c r="G76" s="546"/>
    </row>
    <row r="77" spans="1:253" s="540" customFormat="1">
      <c r="A77" s="424" t="s">
        <v>35</v>
      </c>
      <c r="B77" s="418">
        <f>'Sources and Uses Budget'!$C76</f>
        <v>620000</v>
      </c>
      <c r="C77" s="418">
        <f>'Sources and Uses Budget'!$C76</f>
        <v>620000</v>
      </c>
      <c r="D77" s="422">
        <f t="shared" si="0"/>
        <v>0</v>
      </c>
      <c r="E77" s="420"/>
      <c r="F77" s="419"/>
      <c r="G77" s="546"/>
    </row>
    <row r="78" spans="1:253" s="540" customFormat="1">
      <c r="A78" s="423" t="s">
        <v>630</v>
      </c>
      <c r="B78" s="422">
        <f>SUM(B73:B77)</f>
        <v>986025.33333333326</v>
      </c>
      <c r="C78" s="422">
        <f>SUM(C73:C77)</f>
        <v>986025.33333333326</v>
      </c>
      <c r="D78" s="422">
        <f t="shared" ref="D78:D106" si="1">C78-B78</f>
        <v>0</v>
      </c>
      <c r="E78" s="420"/>
      <c r="F78" s="419"/>
      <c r="G78" s="546"/>
    </row>
    <row r="79" spans="1:253" s="540" customFormat="1">
      <c r="A79" s="416" t="s">
        <v>1371</v>
      </c>
      <c r="B79" s="416"/>
      <c r="C79" s="416"/>
      <c r="D79" s="416"/>
      <c r="E79" s="436"/>
      <c r="F79" s="416"/>
      <c r="G79" s="546"/>
    </row>
    <row r="80" spans="1:253" s="540" customFormat="1">
      <c r="A80" s="853" t="s">
        <v>1373</v>
      </c>
      <c r="B80" s="418">
        <f>'Sources and Uses Budget'!$C79</f>
        <v>2388763.6</v>
      </c>
      <c r="C80" s="418">
        <f>'Sources and Uses Budget'!$C79</f>
        <v>2388763.6</v>
      </c>
      <c r="D80" s="422">
        <f t="shared" si="1"/>
        <v>0</v>
      </c>
      <c r="E80" s="420"/>
      <c r="F80" s="419"/>
      <c r="G80" s="546"/>
    </row>
    <row r="81" spans="1:7" s="540" customFormat="1">
      <c r="A81" s="853" t="s">
        <v>61</v>
      </c>
      <c r="B81" s="418">
        <f>'Sources and Uses Budget'!$C80</f>
        <v>703953.49844673276</v>
      </c>
      <c r="C81" s="418">
        <f>'Sources and Uses Budget'!$C80</f>
        <v>703953.49844673276</v>
      </c>
      <c r="D81" s="422">
        <f>C81-B81</f>
        <v>0</v>
      </c>
      <c r="E81" s="420"/>
      <c r="F81" s="419"/>
      <c r="G81" s="546"/>
    </row>
    <row r="82" spans="1:7" s="540" customFormat="1">
      <c r="A82" s="423" t="s">
        <v>1370</v>
      </c>
      <c r="B82" s="422">
        <f>SUM(B80:B81)</f>
        <v>3092717.0984467329</v>
      </c>
      <c r="C82" s="422">
        <f>SUM(C80:C81)</f>
        <v>3092717.0984467329</v>
      </c>
      <c r="D82" s="422">
        <f t="shared" si="1"/>
        <v>0</v>
      </c>
      <c r="E82" s="420"/>
      <c r="F82" s="419"/>
      <c r="G82" s="546"/>
    </row>
    <row r="83" spans="1:7" s="540" customFormat="1">
      <c r="A83" s="416" t="s">
        <v>805</v>
      </c>
      <c r="B83" s="416"/>
      <c r="C83" s="416"/>
      <c r="D83" s="416"/>
      <c r="E83" s="436"/>
      <c r="F83" s="416"/>
      <c r="G83" s="546"/>
    </row>
    <row r="84" spans="1:7" s="540" customFormat="1" ht="13.65" customHeight="1">
      <c r="A84" s="421" t="s">
        <v>2739</v>
      </c>
      <c r="B84" s="418">
        <f>'Sources and Uses Budget'!$C83</f>
        <v>65666.826963837884</v>
      </c>
      <c r="C84" s="418">
        <f>'Sources and Uses Budget'!$C83</f>
        <v>65666.826963837884</v>
      </c>
      <c r="D84" s="422">
        <f t="shared" si="1"/>
        <v>0</v>
      </c>
      <c r="E84" s="420"/>
      <c r="F84" s="419"/>
      <c r="G84" s="546"/>
    </row>
    <row r="85" spans="1:7" s="540" customFormat="1">
      <c r="A85" s="421" t="s">
        <v>806</v>
      </c>
      <c r="B85" s="418">
        <f>'Sources and Uses Budget'!$C84</f>
        <v>250000</v>
      </c>
      <c r="C85" s="418">
        <f>'Sources and Uses Budget'!$C84</f>
        <v>250000</v>
      </c>
      <c r="D85" s="422">
        <f t="shared" si="1"/>
        <v>0</v>
      </c>
      <c r="E85" s="420"/>
      <c r="F85" s="419"/>
      <c r="G85" s="546"/>
    </row>
    <row r="86" spans="1:7" s="540" customFormat="1">
      <c r="A86" s="421" t="s">
        <v>807</v>
      </c>
      <c r="B86" s="418">
        <f>'Sources and Uses Budget'!$C85</f>
        <v>445853</v>
      </c>
      <c r="C86" s="418">
        <f>'Sources and Uses Budget'!$C85</f>
        <v>445853</v>
      </c>
      <c r="D86" s="422">
        <f t="shared" si="1"/>
        <v>0</v>
      </c>
      <c r="E86" s="420"/>
      <c r="F86" s="419"/>
      <c r="G86" s="546"/>
    </row>
    <row r="87" spans="1:7" s="540" customFormat="1">
      <c r="A87" s="421" t="s">
        <v>808</v>
      </c>
      <c r="B87" s="418">
        <f>'Sources and Uses Budget'!$C86</f>
        <v>338951</v>
      </c>
      <c r="C87" s="418">
        <f>'Sources and Uses Budget'!$C86</f>
        <v>338951</v>
      </c>
      <c r="D87" s="422">
        <f t="shared" si="1"/>
        <v>0</v>
      </c>
      <c r="E87" s="420"/>
      <c r="F87" s="419"/>
      <c r="G87" s="546"/>
    </row>
    <row r="88" spans="1:7" s="540" customFormat="1">
      <c r="A88" s="421" t="s">
        <v>809</v>
      </c>
      <c r="B88" s="418">
        <f>'Sources and Uses Budget'!$C87</f>
        <v>300000</v>
      </c>
      <c r="C88" s="418">
        <f>'Sources and Uses Budget'!$C87</f>
        <v>300000</v>
      </c>
      <c r="D88" s="422">
        <f t="shared" si="1"/>
        <v>0</v>
      </c>
      <c r="E88" s="420"/>
      <c r="F88" s="419"/>
      <c r="G88" s="546"/>
    </row>
    <row r="89" spans="1:7" s="540" customFormat="1">
      <c r="A89" s="421" t="s">
        <v>810</v>
      </c>
      <c r="B89" s="418">
        <f>'Sources and Uses Budget'!$C88</f>
        <v>372000</v>
      </c>
      <c r="C89" s="418">
        <f>'Sources and Uses Budget'!$C88</f>
        <v>372000</v>
      </c>
      <c r="D89" s="422">
        <f t="shared" si="1"/>
        <v>0</v>
      </c>
      <c r="E89" s="420"/>
      <c r="F89" s="419"/>
      <c r="G89" s="546"/>
    </row>
    <row r="90" spans="1:7" s="540" customFormat="1">
      <c r="A90" s="421" t="s">
        <v>811</v>
      </c>
      <c r="B90" s="418">
        <f>'Sources and Uses Budget'!$C89</f>
        <v>225000</v>
      </c>
      <c r="C90" s="418">
        <f>'Sources and Uses Budget'!$C89</f>
        <v>225000</v>
      </c>
      <c r="D90" s="422">
        <f t="shared" si="1"/>
        <v>0</v>
      </c>
      <c r="E90" s="420"/>
      <c r="F90" s="419"/>
      <c r="G90" s="546"/>
    </row>
    <row r="91" spans="1:7" s="540" customFormat="1">
      <c r="A91" s="421" t="s">
        <v>812</v>
      </c>
      <c r="B91" s="418">
        <f>'Sources and Uses Budget'!$C90</f>
        <v>20000</v>
      </c>
      <c r="C91" s="418">
        <f>'Sources and Uses Budget'!$C90</f>
        <v>20000</v>
      </c>
      <c r="D91" s="422">
        <f t="shared" si="1"/>
        <v>0</v>
      </c>
      <c r="E91" s="420"/>
      <c r="F91" s="419"/>
      <c r="G91" s="546"/>
    </row>
    <row r="92" spans="1:7" s="540" customFormat="1">
      <c r="A92" s="427" t="s">
        <v>385</v>
      </c>
      <c r="B92" s="418">
        <f>'Sources and Uses Budget'!$C91</f>
        <v>0</v>
      </c>
      <c r="C92" s="418">
        <f>'Sources and Uses Budget'!$C91</f>
        <v>0</v>
      </c>
      <c r="D92" s="422">
        <f t="shared" si="1"/>
        <v>0</v>
      </c>
      <c r="E92" s="420"/>
      <c r="F92" s="419"/>
      <c r="G92" s="546"/>
    </row>
    <row r="93" spans="1:7" s="540" customFormat="1">
      <c r="A93" s="852" t="s">
        <v>1372</v>
      </c>
      <c r="B93" s="418">
        <f>'Sources and Uses Budget'!$C92</f>
        <v>15000</v>
      </c>
      <c r="C93" s="418">
        <f>'Sources and Uses Budget'!$C92</f>
        <v>15000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813</v>
      </c>
      <c r="B97" s="422">
        <f>SUM(B84:B96)</f>
        <v>2032470.826963838</v>
      </c>
      <c r="C97" s="422">
        <f>SUM(C84:C96)</f>
        <v>2032470.826963838</v>
      </c>
      <c r="D97" s="422">
        <f t="shared" si="1"/>
        <v>0</v>
      </c>
      <c r="E97" s="420"/>
      <c r="F97" s="419"/>
      <c r="G97" s="546"/>
    </row>
    <row r="98" spans="1:7" s="540" customFormat="1">
      <c r="A98" s="423" t="s">
        <v>814</v>
      </c>
      <c r="B98" s="422">
        <f>SUM(B64+B71+B78+B82+B97)</f>
        <v>66683892.600918435</v>
      </c>
      <c r="C98" s="422">
        <f>SUM(C64+C71+C78+C82+C97)</f>
        <v>66683892.600918435</v>
      </c>
      <c r="D98" s="422">
        <f t="shared" si="1"/>
        <v>0</v>
      </c>
      <c r="E98" s="420"/>
      <c r="F98" s="419"/>
      <c r="G98" s="546"/>
    </row>
    <row r="99" spans="1:7" s="540" customFormat="1">
      <c r="A99" s="416" t="s">
        <v>815</v>
      </c>
      <c r="B99" s="416"/>
      <c r="C99" s="416"/>
      <c r="D99" s="416"/>
      <c r="E99" s="436"/>
      <c r="F99" s="416"/>
      <c r="G99" s="546"/>
    </row>
    <row r="100" spans="1:7" s="539" customFormat="1">
      <c r="A100" s="215" t="s">
        <v>816</v>
      </c>
      <c r="B100" s="418">
        <f>'Sources and Uses Budget'!$C99</f>
        <v>2200000</v>
      </c>
      <c r="C100" s="418">
        <f>'Sources and Uses Budget'!$C99</f>
        <v>2200000</v>
      </c>
      <c r="D100" s="422">
        <f t="shared" si="1"/>
        <v>0</v>
      </c>
      <c r="E100" s="420"/>
      <c r="F100" s="419"/>
      <c r="G100" s="544"/>
    </row>
    <row r="101" spans="1:7" s="539" customFormat="1">
      <c r="A101" s="437" t="s">
        <v>1848</v>
      </c>
      <c r="B101" s="418">
        <f>'Sources and Uses Budget'!$C100</f>
        <v>0</v>
      </c>
      <c r="C101" s="418">
        <f>'Sources and Uses Budget'!$C100</f>
        <v>0</v>
      </c>
      <c r="D101" s="422">
        <f t="shared" si="1"/>
        <v>0</v>
      </c>
      <c r="E101" s="420"/>
      <c r="F101" s="419"/>
      <c r="G101" s="544"/>
    </row>
    <row r="102" spans="1:7" s="539" customFormat="1">
      <c r="A102" s="215" t="s">
        <v>817</v>
      </c>
      <c r="B102" s="418">
        <f>'Sources and Uses Budget'!$C101</f>
        <v>0</v>
      </c>
      <c r="C102" s="418">
        <f>'Sources and Uses Budget'!$C101</f>
        <v>0</v>
      </c>
      <c r="D102" s="422">
        <f t="shared" si="1"/>
        <v>0</v>
      </c>
      <c r="E102" s="420"/>
      <c r="F102" s="419"/>
      <c r="G102" s="544"/>
    </row>
    <row r="103" spans="1:7" s="539" customFormat="1" ht="12" customHeight="1">
      <c r="A103" s="437" t="s">
        <v>1849</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818</v>
      </c>
      <c r="B105" s="422">
        <f>SUM(B100:B104)</f>
        <v>2200000</v>
      </c>
      <c r="C105" s="422">
        <f>SUM(C100:C104)</f>
        <v>2200000</v>
      </c>
      <c r="D105" s="422">
        <f t="shared" si="1"/>
        <v>0</v>
      </c>
      <c r="E105" s="420"/>
      <c r="F105" s="419"/>
      <c r="G105" s="544"/>
    </row>
    <row r="106" spans="1:7" s="539" customFormat="1">
      <c r="A106" s="423" t="s">
        <v>819</v>
      </c>
      <c r="B106" s="425">
        <f>SUM(B98+B105)</f>
        <v>68883892.600918442</v>
      </c>
      <c r="C106" s="425">
        <f>SUM(C98+C105)</f>
        <v>68883892.600918442</v>
      </c>
      <c r="D106" s="422">
        <f t="shared" si="1"/>
        <v>0</v>
      </c>
      <c r="E106" s="420"/>
      <c r="F106" s="419"/>
      <c r="G106" s="544"/>
    </row>
    <row r="107" spans="1:7" s="539" customFormat="1">
      <c r="A107" s="431" t="s">
        <v>820</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761" t="s">
        <v>1122</v>
      </c>
      <c r="B2" s="1761"/>
      <c r="C2" s="1762"/>
      <c r="D2" s="1762"/>
      <c r="E2" s="1762"/>
      <c r="F2" s="1762"/>
      <c r="G2" s="1762"/>
    </row>
    <row r="3" spans="1:9" s="256" customFormat="1">
      <c r="A3" s="1761" t="s">
        <v>1057</v>
      </c>
      <c r="B3" s="1761"/>
      <c r="C3" s="1762"/>
      <c r="D3" s="1762"/>
      <c r="E3" s="1762"/>
      <c r="F3" s="1762"/>
      <c r="G3" s="1762"/>
      <c r="I3" s="669" t="s">
        <v>312</v>
      </c>
    </row>
    <row r="4" spans="1:9">
      <c r="I4" s="670" t="s">
        <v>1123</v>
      </c>
    </row>
    <row r="5" spans="1:9" s="39" customFormat="1">
      <c r="A5" s="1765" t="s">
        <v>1058</v>
      </c>
      <c r="B5" s="1765"/>
      <c r="C5" s="1766"/>
      <c r="D5" s="1766"/>
      <c r="E5" s="1766"/>
      <c r="F5" s="1766"/>
      <c r="G5" s="1766"/>
      <c r="I5" s="670" t="s">
        <v>1124</v>
      </c>
    </row>
    <row r="6" spans="1:9" s="39" customFormat="1">
      <c r="A6" s="1765" t="s">
        <v>861</v>
      </c>
      <c r="B6" s="1765"/>
      <c r="C6" s="1766"/>
      <c r="D6" s="1766"/>
      <c r="E6" s="1766"/>
      <c r="F6" s="1766"/>
      <c r="G6" s="1766"/>
      <c r="I6" s="669" t="s">
        <v>615</v>
      </c>
    </row>
    <row r="7" spans="1:9" ht="11.85" customHeight="1"/>
    <row r="8" spans="1:9" s="39" customFormat="1">
      <c r="A8" s="1763" t="s">
        <v>1219</v>
      </c>
      <c r="B8" s="1763"/>
      <c r="C8" s="1764"/>
      <c r="D8" s="1764"/>
      <c r="E8" s="1764"/>
      <c r="F8" s="1764"/>
      <c r="G8" s="1764"/>
    </row>
    <row r="9" spans="1:9" s="39" customFormat="1">
      <c r="A9" s="1763" t="s">
        <v>1220</v>
      </c>
      <c r="B9" s="1763"/>
      <c r="C9" s="1764"/>
      <c r="D9" s="1764"/>
      <c r="E9" s="1764"/>
      <c r="F9" s="1764"/>
      <c r="G9" s="1764"/>
    </row>
    <row r="10" spans="1:9">
      <c r="A10" s="258"/>
      <c r="B10" s="258"/>
      <c r="C10" s="255"/>
      <c r="D10" s="255"/>
      <c r="E10" s="255"/>
      <c r="F10" s="255"/>
    </row>
    <row r="11" spans="1:9">
      <c r="A11" s="1767" t="s">
        <v>1222</v>
      </c>
      <c r="B11" s="1767"/>
      <c r="C11" s="1767"/>
      <c r="D11" s="1767"/>
      <c r="E11" s="1767"/>
      <c r="F11" s="1767"/>
      <c r="G11" s="1767"/>
    </row>
    <row r="12" spans="1:9">
      <c r="A12" s="255"/>
      <c r="B12" s="665"/>
      <c r="E12" s="50"/>
    </row>
    <row r="13" spans="1:9" ht="13.2" customHeight="1">
      <c r="C13" s="255"/>
      <c r="D13" s="1739" t="s">
        <v>1221</v>
      </c>
      <c r="E13" s="1739"/>
      <c r="F13" s="1739"/>
    </row>
    <row r="14" spans="1:9">
      <c r="C14" s="255"/>
      <c r="D14" s="1739"/>
      <c r="E14" s="1739"/>
      <c r="F14" s="1739"/>
    </row>
    <row r="15" spans="1:9">
      <c r="A15" s="260"/>
      <c r="B15" s="260"/>
      <c r="C15" s="260"/>
      <c r="D15" s="1736" t="s">
        <v>1204</v>
      </c>
      <c r="E15" s="1736"/>
      <c r="F15" s="1736"/>
    </row>
    <row r="16" spans="1:9">
      <c r="A16" s="260"/>
      <c r="B16" s="260"/>
      <c r="C16" s="260"/>
      <c r="D16" s="327"/>
    </row>
    <row r="17" spans="1:7" ht="14.4">
      <c r="A17" s="261"/>
      <c r="B17" s="671" t="s">
        <v>312</v>
      </c>
      <c r="C17" s="313"/>
      <c r="D17" s="1711" t="s">
        <v>1205</v>
      </c>
      <c r="E17" s="1711"/>
      <c r="F17" s="1711"/>
    </row>
    <row r="18" spans="1:7">
      <c r="A18" s="260"/>
      <c r="B18" s="260"/>
      <c r="C18" s="313"/>
      <c r="D18" s="1711"/>
      <c r="E18" s="1711"/>
      <c r="F18" s="1711"/>
    </row>
    <row r="19" spans="1:7">
      <c r="A19" s="260"/>
      <c r="B19" s="260"/>
      <c r="C19" s="313"/>
      <c r="D19" s="1711"/>
      <c r="E19" s="1711"/>
      <c r="F19" s="1711"/>
    </row>
    <row r="20" spans="1:7">
      <c r="A20" s="260"/>
      <c r="B20" s="260"/>
      <c r="C20" s="260"/>
    </row>
    <row r="21" spans="1:7" ht="14.4">
      <c r="A21" s="261"/>
      <c r="B21" s="671" t="s">
        <v>312</v>
      </c>
      <c r="D21" s="1740" t="s">
        <v>1206</v>
      </c>
      <c r="E21" s="1740"/>
      <c r="F21" s="1740"/>
    </row>
    <row r="22" spans="1:7" ht="14.4">
      <c r="A22" s="261"/>
      <c r="B22" s="261"/>
      <c r="D22" s="135"/>
    </row>
    <row r="23" spans="1:7" ht="14.4">
      <c r="A23" s="261"/>
      <c r="B23" s="671" t="s">
        <v>312</v>
      </c>
      <c r="D23" s="1711" t="s">
        <v>1207</v>
      </c>
      <c r="E23" s="1711"/>
      <c r="F23" s="1711"/>
    </row>
    <row r="24" spans="1:7" ht="14.4">
      <c r="A24" s="261"/>
      <c r="B24" s="261"/>
      <c r="D24" s="1711"/>
      <c r="E24" s="1711"/>
      <c r="F24" s="1711"/>
    </row>
    <row r="25" spans="1:7"/>
    <row r="26" spans="1:7" ht="14.4">
      <c r="A26" s="261"/>
      <c r="B26" s="671" t="s">
        <v>312</v>
      </c>
      <c r="D26" s="1734" t="s">
        <v>1208</v>
      </c>
      <c r="E26" s="1734"/>
      <c r="F26" s="1734"/>
    </row>
    <row r="27" spans="1:7">
      <c r="D27" s="1734"/>
      <c r="E27" s="1734"/>
      <c r="F27" s="1734"/>
    </row>
    <row r="28" spans="1:7">
      <c r="D28" s="1734"/>
      <c r="E28" s="1734"/>
      <c r="F28" s="1734"/>
    </row>
    <row r="29" spans="1:7">
      <c r="A29" s="551"/>
      <c r="C29" s="551"/>
      <c r="D29" s="1734"/>
      <c r="E29" s="1734"/>
      <c r="F29" s="1734"/>
    </row>
    <row r="30" spans="1:7">
      <c r="A30" s="551"/>
      <c r="C30" s="551"/>
      <c r="D30" s="1734"/>
      <c r="E30" s="1734"/>
      <c r="F30" s="1734"/>
    </row>
    <row r="31" spans="1:7" s="39" customFormat="1">
      <c r="A31" s="273"/>
      <c r="B31" s="273"/>
      <c r="C31" s="273"/>
      <c r="D31" s="440"/>
      <c r="E31" s="130"/>
      <c r="F31" s="130"/>
      <c r="G31" s="130"/>
    </row>
    <row r="32" spans="1:7" s="39" customFormat="1">
      <c r="A32" s="273"/>
      <c r="B32" s="671" t="s">
        <v>312</v>
      </c>
      <c r="C32" s="273"/>
      <c r="D32" s="1713" t="s">
        <v>1209</v>
      </c>
      <c r="E32" s="1713"/>
      <c r="F32" s="1713"/>
      <c r="G32" s="130"/>
    </row>
    <row r="33" spans="1:7" s="39" customFormat="1">
      <c r="A33" s="273"/>
      <c r="B33" s="273"/>
      <c r="C33" s="273"/>
      <c r="D33" s="1713"/>
      <c r="E33" s="1713"/>
      <c r="F33" s="1713"/>
      <c r="G33" s="130"/>
    </row>
    <row r="34" spans="1:7" ht="14.4">
      <c r="A34" s="261"/>
      <c r="B34" s="261"/>
      <c r="D34" s="401"/>
    </row>
    <row r="35" spans="1:7" ht="14.4" customHeight="1">
      <c r="A35" s="261"/>
      <c r="B35" s="671" t="s">
        <v>312</v>
      </c>
      <c r="C35" s="547"/>
      <c r="D35" s="1713" t="s">
        <v>1210</v>
      </c>
      <c r="E35" s="1713"/>
      <c r="F35" s="1713"/>
    </row>
    <row r="36" spans="1:7" ht="14.4">
      <c r="A36" s="261"/>
      <c r="B36" s="261"/>
      <c r="C36" s="547"/>
      <c r="D36" s="1713"/>
      <c r="E36" s="1713"/>
      <c r="F36" s="1713"/>
    </row>
    <row r="37" spans="1:7" ht="14.4">
      <c r="A37" s="261"/>
      <c r="B37" s="261"/>
      <c r="C37" s="547"/>
      <c r="D37" s="1713"/>
      <c r="E37" s="1713"/>
      <c r="F37" s="1713"/>
    </row>
    <row r="38" spans="1:7" ht="14.4">
      <c r="A38" s="261"/>
      <c r="B38" s="261"/>
      <c r="C38" s="547"/>
      <c r="D38" s="12"/>
    </row>
    <row r="39" spans="1:7" s="674" customFormat="1" ht="14.4">
      <c r="A39" s="261"/>
      <c r="B39" s="671" t="s">
        <v>312</v>
      </c>
      <c r="C39" s="691"/>
      <c r="D39" s="1713" t="s">
        <v>1211</v>
      </c>
      <c r="E39" s="1713"/>
      <c r="F39" s="1713"/>
      <c r="G39" s="7"/>
    </row>
    <row r="40" spans="1:7" s="674" customFormat="1" ht="14.4">
      <c r="A40" s="261"/>
      <c r="B40" s="261"/>
      <c r="C40" s="691"/>
      <c r="D40" s="1713"/>
      <c r="E40" s="1713"/>
      <c r="F40" s="1713"/>
      <c r="G40" s="7"/>
    </row>
    <row r="41" spans="1:7" s="674" customFormat="1" ht="14.4">
      <c r="A41" s="261"/>
      <c r="B41" s="261"/>
      <c r="C41" s="691"/>
      <c r="D41" s="1713"/>
      <c r="E41" s="1713"/>
      <c r="F41" s="1713"/>
      <c r="G41" s="7"/>
    </row>
    <row r="42" spans="1:7" s="674" customFormat="1" ht="14.4">
      <c r="A42" s="261"/>
      <c r="B42" s="261"/>
      <c r="C42" s="691"/>
      <c r="D42" s="1713"/>
      <c r="E42" s="1713"/>
      <c r="F42" s="1713"/>
      <c r="G42" s="7"/>
    </row>
    <row r="43" spans="1:7" s="674" customFormat="1" ht="14.4">
      <c r="A43" s="261"/>
      <c r="B43" s="261"/>
      <c r="C43" s="691"/>
      <c r="D43" s="1713"/>
      <c r="E43" s="1713"/>
      <c r="F43" s="1713"/>
      <c r="G43" s="7"/>
    </row>
    <row r="44" spans="1:7" s="674" customFormat="1" ht="14.4">
      <c r="A44" s="261"/>
      <c r="B44" s="261"/>
      <c r="C44" s="691"/>
      <c r="D44" s="690"/>
      <c r="E44" s="690"/>
      <c r="F44" s="690"/>
      <c r="G44" s="7"/>
    </row>
    <row r="45" spans="1:7" ht="14.4">
      <c r="A45" s="261"/>
      <c r="B45" s="671" t="s">
        <v>312</v>
      </c>
      <c r="C45" s="547"/>
      <c r="D45" s="1713" t="s">
        <v>1212</v>
      </c>
      <c r="E45" s="1713"/>
      <c r="F45" s="1713"/>
    </row>
    <row r="46" spans="1:7" ht="14.4">
      <c r="A46" s="261"/>
      <c r="B46" s="261"/>
      <c r="C46" s="547"/>
      <c r="D46" s="1713"/>
      <c r="E46" s="1713"/>
      <c r="F46" s="1713"/>
    </row>
    <row r="47" spans="1:7" ht="14.4">
      <c r="A47" s="261"/>
      <c r="B47" s="261"/>
      <c r="C47" s="547"/>
      <c r="D47" s="1713"/>
      <c r="E47" s="1713"/>
      <c r="F47" s="1713"/>
    </row>
    <row r="48" spans="1:7" ht="23.25" customHeight="1">
      <c r="A48" s="261"/>
      <c r="B48" s="261"/>
      <c r="C48" s="547"/>
      <c r="D48" s="1713"/>
      <c r="E48" s="1713"/>
      <c r="F48" s="1713"/>
    </row>
    <row r="49" spans="1:7" ht="14.4">
      <c r="A49" s="261"/>
      <c r="B49" s="261"/>
      <c r="D49" s="151"/>
    </row>
    <row r="50" spans="1:7" ht="14.4" customHeight="1">
      <c r="A50" s="261"/>
      <c r="B50" s="671" t="s">
        <v>312</v>
      </c>
      <c r="D50" s="1713" t="s">
        <v>1213</v>
      </c>
      <c r="E50" s="1713"/>
      <c r="F50" s="1713"/>
    </row>
    <row r="51" spans="1:7" ht="14.4">
      <c r="A51" s="261"/>
      <c r="B51" s="261"/>
      <c r="D51" s="1713"/>
      <c r="E51" s="1713"/>
      <c r="F51" s="1713"/>
    </row>
    <row r="52" spans="1:7" ht="14.4">
      <c r="A52" s="261"/>
      <c r="B52" s="261"/>
      <c r="D52" s="1713"/>
      <c r="E52" s="1713"/>
      <c r="F52" s="1713"/>
    </row>
    <row r="53" spans="1:7" s="2" customFormat="1" ht="14.4">
      <c r="A53" s="261"/>
      <c r="B53" s="261"/>
      <c r="C53" s="549"/>
      <c r="D53" s="239"/>
      <c r="E53" s="22"/>
      <c r="F53" s="22"/>
      <c r="G53" s="22"/>
    </row>
    <row r="54" spans="1:7" s="2" customFormat="1" ht="14.4">
      <c r="A54" s="400"/>
      <c r="B54" s="671" t="s">
        <v>312</v>
      </c>
      <c r="C54" s="550"/>
      <c r="D54" s="1713" t="s">
        <v>1214</v>
      </c>
      <c r="E54" s="1713"/>
      <c r="F54" s="1713"/>
      <c r="G54" s="22"/>
    </row>
    <row r="55" spans="1:7" s="2" customFormat="1" ht="14.4">
      <c r="A55" s="400"/>
      <c r="B55" s="400"/>
      <c r="C55" s="550"/>
      <c r="D55" s="1713"/>
      <c r="E55" s="1713"/>
      <c r="F55" s="1713"/>
      <c r="G55" s="22"/>
    </row>
    <row r="56" spans="1:7" s="39" customFormat="1">
      <c r="A56" s="273"/>
      <c r="B56" s="273"/>
      <c r="C56" s="273"/>
      <c r="D56" s="440"/>
      <c r="E56" s="130"/>
      <c r="F56" s="130"/>
      <c r="G56" s="130"/>
    </row>
    <row r="57" spans="1:7" ht="14.4">
      <c r="A57" s="261"/>
      <c r="B57" s="671" t="s">
        <v>312</v>
      </c>
      <c r="D57" s="1713" t="s">
        <v>1215</v>
      </c>
      <c r="E57" s="1713"/>
      <c r="F57" s="1713"/>
    </row>
    <row r="58" spans="1:7">
      <c r="D58" s="1713"/>
      <c r="E58" s="1713"/>
      <c r="F58" s="1713"/>
    </row>
    <row r="59" spans="1:7">
      <c r="D59" s="1713"/>
      <c r="E59" s="1713"/>
      <c r="F59" s="1713"/>
    </row>
    <row r="60" spans="1:7" s="674" customFormat="1">
      <c r="A60" s="691"/>
      <c r="B60" s="691"/>
      <c r="C60" s="691"/>
      <c r="D60" s="670"/>
      <c r="E60" s="7"/>
      <c r="F60" s="7"/>
      <c r="G60" s="7"/>
    </row>
    <row r="61" spans="1:7" ht="14.4">
      <c r="A61" s="261"/>
      <c r="B61" s="671" t="s">
        <v>312</v>
      </c>
      <c r="D61" s="1713" t="s">
        <v>1216</v>
      </c>
      <c r="E61" s="1713"/>
      <c r="F61" s="1713"/>
    </row>
    <row r="62" spans="1:7">
      <c r="D62" s="1713"/>
      <c r="E62" s="1713"/>
      <c r="F62" s="1713"/>
    </row>
    <row r="63" spans="1:7"/>
    <row r="64" spans="1:7" ht="14.4">
      <c r="A64" s="261"/>
      <c r="B64" s="671" t="s">
        <v>312</v>
      </c>
      <c r="D64" s="1713" t="s">
        <v>1217</v>
      </c>
      <c r="E64" s="1713"/>
      <c r="F64" s="1713"/>
    </row>
    <row r="65" spans="1:7">
      <c r="D65" s="1713"/>
      <c r="E65" s="1713"/>
      <c r="F65" s="1713"/>
    </row>
    <row r="66" spans="1:7">
      <c r="A66" s="548"/>
      <c r="C66" s="548"/>
      <c r="D66" s="1713"/>
      <c r="E66" s="1713"/>
      <c r="F66" s="1713"/>
    </row>
    <row r="67" spans="1:7">
      <c r="D67" s="12"/>
    </row>
    <row r="68" spans="1:7" ht="14.4">
      <c r="A68" s="261"/>
      <c r="B68" s="671" t="s">
        <v>312</v>
      </c>
      <c r="D68" s="1711" t="s">
        <v>1218</v>
      </c>
      <c r="E68" s="1711"/>
      <c r="F68" s="1711"/>
    </row>
    <row r="69" spans="1:7">
      <c r="D69" s="1711"/>
      <c r="E69" s="1711"/>
      <c r="F69" s="1711"/>
    </row>
    <row r="70" spans="1:7" ht="14.4">
      <c r="A70" s="261"/>
      <c r="B70" s="261"/>
      <c r="D70" s="135"/>
    </row>
    <row r="71" spans="1:7">
      <c r="A71" s="1737" t="s">
        <v>1125</v>
      </c>
      <c r="B71" s="1737"/>
      <c r="C71" s="1737"/>
      <c r="D71" s="1737"/>
      <c r="E71" s="1737"/>
      <c r="F71" s="1737"/>
      <c r="G71" s="1737"/>
    </row>
    <row r="72" spans="1:7"/>
    <row r="73" spans="1:7">
      <c r="C73" s="262"/>
      <c r="D73" s="1753" t="s">
        <v>1223</v>
      </c>
      <c r="E73" s="1753"/>
      <c r="F73" s="1753"/>
    </row>
    <row r="74" spans="1:7">
      <c r="A74" s="135"/>
      <c r="B74" s="135"/>
      <c r="D74" s="1711" t="s">
        <v>1250</v>
      </c>
      <c r="E74" s="1711"/>
      <c r="F74" s="1711"/>
    </row>
    <row r="75" spans="1:7">
      <c r="A75" s="135"/>
      <c r="B75" s="135"/>
    </row>
    <row r="76" spans="1:7" ht="14.4">
      <c r="A76" s="261"/>
      <c r="B76" s="671" t="s">
        <v>312</v>
      </c>
      <c r="D76" s="1711" t="s">
        <v>1224</v>
      </c>
      <c r="E76" s="1711"/>
      <c r="F76" s="1711"/>
    </row>
    <row r="77" spans="1:7" ht="14.4">
      <c r="A77" s="261"/>
      <c r="B77" s="261"/>
      <c r="D77" s="1711"/>
      <c r="E77" s="1711"/>
      <c r="F77" s="1711"/>
    </row>
    <row r="78" spans="1:7" ht="14.4">
      <c r="A78" s="261"/>
      <c r="B78" s="261"/>
      <c r="D78" s="1711"/>
      <c r="E78" s="1711"/>
      <c r="F78" s="1711"/>
    </row>
    <row r="79" spans="1:7" ht="14.4">
      <c r="A79" s="261"/>
      <c r="B79" s="261"/>
      <c r="D79" s="1711"/>
      <c r="E79" s="1711"/>
      <c r="F79" s="1711"/>
    </row>
    <row r="80" spans="1:7" ht="14.4">
      <c r="A80" s="261"/>
      <c r="B80" s="261"/>
      <c r="D80" s="1711"/>
      <c r="E80" s="1711"/>
      <c r="F80" s="1711"/>
    </row>
    <row r="81" spans="1:7" ht="14.4">
      <c r="A81" s="261"/>
      <c r="B81" s="261"/>
      <c r="D81" s="1711"/>
      <c r="E81" s="1711"/>
      <c r="F81" s="1711"/>
    </row>
    <row r="82" spans="1:7" s="698" customFormat="1" ht="14.4">
      <c r="A82" s="699"/>
      <c r="B82" s="699"/>
      <c r="C82" s="697"/>
      <c r="D82" s="701"/>
      <c r="E82" s="701"/>
      <c r="F82" s="701"/>
      <c r="G82" s="7"/>
    </row>
    <row r="83" spans="1:7" s="698" customFormat="1" ht="14.4" customHeight="1">
      <c r="A83" s="699"/>
      <c r="B83" s="704" t="s">
        <v>312</v>
      </c>
      <c r="C83" s="697"/>
      <c r="D83" s="1768" t="s">
        <v>1323</v>
      </c>
      <c r="E83" s="1768"/>
      <c r="F83" s="1768"/>
      <c r="G83" s="7"/>
    </row>
    <row r="84" spans="1:7" s="698" customFormat="1" ht="14.4">
      <c r="A84" s="699"/>
      <c r="B84" s="699"/>
      <c r="C84" s="697"/>
      <c r="D84" s="1768"/>
      <c r="E84" s="1768"/>
      <c r="F84" s="1768"/>
      <c r="G84" s="7"/>
    </row>
    <row r="85" spans="1:7" s="698" customFormat="1" ht="14.4">
      <c r="A85" s="699"/>
      <c r="B85" s="699"/>
      <c r="C85" s="697"/>
      <c r="D85" s="1768"/>
      <c r="E85" s="1768"/>
      <c r="F85" s="1768"/>
      <c r="G85" s="7"/>
    </row>
    <row r="86" spans="1:7" s="698" customFormat="1" ht="14.4">
      <c r="A86" s="699"/>
      <c r="B86" s="699"/>
      <c r="C86" s="697"/>
      <c r="D86" s="1768"/>
      <c r="E86" s="1768"/>
      <c r="F86" s="1768"/>
      <c r="G86" s="7"/>
    </row>
    <row r="87" spans="1:7" s="698" customFormat="1" ht="14.4">
      <c r="A87" s="699"/>
      <c r="B87" s="699"/>
      <c r="C87" s="697"/>
      <c r="D87" s="1768"/>
      <c r="E87" s="1768"/>
      <c r="F87" s="1768"/>
      <c r="G87" s="7"/>
    </row>
    <row r="88" spans="1:7" s="711" customFormat="1" ht="14.4">
      <c r="A88" s="706"/>
      <c r="B88" s="706"/>
      <c r="C88" s="737"/>
      <c r="D88" s="1768"/>
      <c r="E88" s="1768"/>
      <c r="F88" s="1768"/>
      <c r="G88" s="7"/>
    </row>
    <row r="89" spans="1:7" s="711" customFormat="1" ht="14.4">
      <c r="A89" s="706"/>
      <c r="B89" s="706"/>
      <c r="C89" s="737"/>
      <c r="D89" s="1768"/>
      <c r="E89" s="1768"/>
      <c r="F89" s="1768"/>
      <c r="G89" s="7"/>
    </row>
    <row r="90" spans="1:7" s="711" customFormat="1" ht="14.4">
      <c r="A90" s="706"/>
      <c r="B90" s="706"/>
      <c r="C90" s="737"/>
      <c r="D90" s="1768"/>
      <c r="E90" s="1768"/>
      <c r="F90" s="1768"/>
      <c r="G90" s="7"/>
    </row>
    <row r="91" spans="1:7" ht="14.4">
      <c r="A91" s="261"/>
      <c r="B91" s="261"/>
      <c r="D91" s="1768"/>
      <c r="E91" s="1768"/>
      <c r="F91" s="1768"/>
    </row>
    <row r="92" spans="1:7" ht="14.4">
      <c r="A92" s="261"/>
      <c r="B92" s="261"/>
      <c r="D92" s="1768"/>
      <c r="E92" s="1768"/>
      <c r="F92" s="1768"/>
    </row>
    <row r="93" spans="1:7" ht="14.4">
      <c r="A93" s="261"/>
      <c r="B93" s="261"/>
      <c r="D93" s="1768"/>
      <c r="E93" s="1768"/>
      <c r="F93" s="1768"/>
    </row>
    <row r="94" spans="1:7" ht="14.4">
      <c r="A94" s="261"/>
      <c r="B94" s="261"/>
      <c r="D94" s="1768"/>
      <c r="E94" s="1768"/>
      <c r="F94" s="1768"/>
    </row>
    <row r="95" spans="1:7" ht="14.4">
      <c r="A95" s="261"/>
      <c r="B95" s="261"/>
      <c r="D95" s="1768"/>
      <c r="E95" s="1768"/>
      <c r="F95" s="1768"/>
    </row>
    <row r="96" spans="1:7" ht="14.4">
      <c r="A96" s="261"/>
      <c r="B96" s="261"/>
      <c r="D96" s="1768"/>
      <c r="E96" s="1768"/>
      <c r="F96" s="1768"/>
    </row>
    <row r="97" spans="1:11" s="702" customFormat="1" ht="14.4">
      <c r="A97" s="703"/>
      <c r="B97" s="707" t="s">
        <v>312</v>
      </c>
      <c r="C97" s="697"/>
      <c r="D97" s="1711" t="s">
        <v>1225</v>
      </c>
      <c r="E97" s="1711"/>
      <c r="F97" s="1711"/>
      <c r="G97" s="7"/>
    </row>
    <row r="98" spans="1:11" s="702" customFormat="1" ht="14.4">
      <c r="A98" s="703"/>
      <c r="B98" s="703"/>
      <c r="C98" s="697"/>
      <c r="D98" s="1711"/>
      <c r="E98" s="1711"/>
      <c r="F98" s="1711"/>
      <c r="G98" s="7"/>
    </row>
    <row r="99" spans="1:11" s="702" customFormat="1" ht="14.4">
      <c r="A99" s="703"/>
      <c r="B99" s="703"/>
      <c r="C99" s="697"/>
      <c r="D99" s="1711"/>
      <c r="E99" s="1711"/>
      <c r="F99" s="1711"/>
      <c r="G99" s="7"/>
    </row>
    <row r="100" spans="1:11" s="702" customFormat="1" ht="14.4">
      <c r="A100" s="703"/>
      <c r="B100" s="703"/>
      <c r="C100" s="697"/>
      <c r="D100" s="1711"/>
      <c r="E100" s="1711"/>
      <c r="F100" s="1711"/>
      <c r="G100" s="7"/>
    </row>
    <row r="101" spans="1:11" s="702" customFormat="1" ht="14.4">
      <c r="A101" s="703"/>
      <c r="B101" s="703"/>
      <c r="C101" s="697"/>
      <c r="D101" s="1711"/>
      <c r="E101" s="1711"/>
      <c r="F101" s="1711"/>
      <c r="G101" s="7"/>
    </row>
    <row r="102" spans="1:11" s="702" customFormat="1" ht="14.4">
      <c r="A102" s="703"/>
      <c r="B102" s="703"/>
      <c r="C102" s="697"/>
      <c r="D102" s="1711"/>
      <c r="E102" s="1711"/>
      <c r="F102" s="1711"/>
      <c r="G102" s="7"/>
    </row>
    <row r="103" spans="1:11" s="702" customFormat="1" ht="14.4">
      <c r="A103" s="703"/>
      <c r="B103" s="703"/>
      <c r="C103" s="697"/>
      <c r="D103" s="1711"/>
      <c r="E103" s="1711"/>
      <c r="F103" s="1711"/>
      <c r="G103" s="7"/>
    </row>
    <row r="104" spans="1:11" s="702" customFormat="1" ht="14.4">
      <c r="A104" s="703"/>
      <c r="B104" s="703"/>
      <c r="C104" s="697"/>
      <c r="D104" s="1711"/>
      <c r="E104" s="1711"/>
      <c r="F104" s="1711"/>
      <c r="G104" s="7"/>
    </row>
    <row r="105" spans="1:11" s="705" customFormat="1" ht="14.4">
      <c r="A105" s="706"/>
      <c r="B105" s="706"/>
      <c r="C105" s="697"/>
      <c r="D105" s="708"/>
      <c r="E105" s="708"/>
      <c r="F105" s="708"/>
      <c r="G105" s="7"/>
    </row>
    <row r="106" spans="1:11" ht="14.4">
      <c r="A106" s="400"/>
      <c r="B106" s="700" t="s">
        <v>312</v>
      </c>
      <c r="C106" s="466"/>
      <c r="D106" s="1769" t="s">
        <v>1226</v>
      </c>
      <c r="E106" s="1769"/>
      <c r="F106" s="1769"/>
      <c r="G106" s="467"/>
      <c r="H106" s="465"/>
      <c r="I106" s="465"/>
      <c r="J106" s="465"/>
      <c r="K106" s="465"/>
    </row>
    <row r="107" spans="1:11" ht="14.4">
      <c r="A107" s="261"/>
      <c r="B107" s="261"/>
      <c r="C107" s="315"/>
      <c r="D107" s="1769"/>
      <c r="E107" s="1769"/>
      <c r="F107" s="1769"/>
      <c r="G107" s="467"/>
      <c r="H107" s="465"/>
      <c r="I107" s="465"/>
      <c r="J107" s="465"/>
      <c r="K107" s="465"/>
    </row>
    <row r="108" spans="1:11" ht="14.4">
      <c r="A108" s="261"/>
      <c r="B108" s="261"/>
      <c r="C108" s="315"/>
      <c r="D108" s="1769"/>
      <c r="E108" s="1769"/>
      <c r="F108" s="1769"/>
      <c r="G108" s="467"/>
      <c r="H108" s="465"/>
      <c r="I108" s="465"/>
      <c r="J108" s="465"/>
      <c r="K108" s="465"/>
    </row>
    <row r="109" spans="1:11" ht="14.4">
      <c r="A109" s="261"/>
      <c r="B109" s="261"/>
      <c r="C109" s="315"/>
      <c r="D109" s="1769"/>
      <c r="E109" s="1769"/>
      <c r="F109" s="1769"/>
      <c r="G109" s="467"/>
      <c r="H109" s="465"/>
      <c r="I109" s="465"/>
      <c r="J109" s="465"/>
      <c r="K109" s="465"/>
    </row>
    <row r="110" spans="1:11" ht="14.4">
      <c r="A110" s="261"/>
      <c r="B110" s="261"/>
      <c r="C110" s="315"/>
      <c r="D110" s="1769"/>
      <c r="E110" s="1769"/>
      <c r="F110" s="1769"/>
      <c r="G110" s="467"/>
      <c r="H110" s="465"/>
      <c r="I110" s="465"/>
      <c r="J110" s="465"/>
      <c r="K110" s="465"/>
    </row>
    <row r="111" spans="1:11">
      <c r="C111"/>
      <c r="D111" s="1769"/>
      <c r="E111" s="1769"/>
      <c r="F111" s="1769"/>
      <c r="G111"/>
      <c r="H111"/>
      <c r="I111"/>
      <c r="J111"/>
      <c r="K111"/>
    </row>
    <row r="112" spans="1:11">
      <c r="C112"/>
      <c r="D112" s="1769"/>
      <c r="E112" s="1769"/>
      <c r="F112" s="1769"/>
      <c r="G112"/>
      <c r="H112"/>
      <c r="I112"/>
      <c r="J112"/>
      <c r="K112"/>
    </row>
    <row r="113" spans="1:11">
      <c r="C113"/>
      <c r="D113" s="472"/>
      <c r="E113"/>
      <c r="F113"/>
      <c r="G113"/>
      <c r="H113"/>
      <c r="I113"/>
      <c r="J113"/>
      <c r="K113"/>
    </row>
    <row r="114" spans="1:11" ht="14.4">
      <c r="A114" s="261"/>
      <c r="B114" s="671" t="s">
        <v>312</v>
      </c>
      <c r="C114"/>
      <c r="D114" s="1770" t="s">
        <v>1227</v>
      </c>
      <c r="E114" s="1770"/>
      <c r="F114" s="1770"/>
      <c r="G114"/>
      <c r="H114"/>
      <c r="I114"/>
      <c r="J114"/>
      <c r="K114"/>
    </row>
    <row r="115" spans="1:11" ht="14.4">
      <c r="A115" s="261"/>
      <c r="B115" s="261"/>
      <c r="C115"/>
      <c r="D115" s="1770"/>
      <c r="E115" s="1770"/>
      <c r="F115" s="1770"/>
      <c r="G115"/>
      <c r="H115"/>
      <c r="I115"/>
      <c r="J115"/>
      <c r="K115"/>
    </row>
    <row r="116" spans="1:11"/>
    <row r="117" spans="1:11" ht="14.4">
      <c r="A117" s="261"/>
      <c r="B117" s="671" t="s">
        <v>312</v>
      </c>
      <c r="C117" s="10"/>
      <c r="D117" s="1711" t="s">
        <v>1228</v>
      </c>
      <c r="E117" s="1711"/>
      <c r="F117" s="1711"/>
    </row>
    <row r="118" spans="1:11">
      <c r="C118" s="10"/>
      <c r="D118" s="1711"/>
      <c r="E118" s="1711"/>
      <c r="F118" s="1711"/>
    </row>
    <row r="119" spans="1:11">
      <c r="C119" s="10"/>
      <c r="D119" s="1711"/>
      <c r="E119" s="1711"/>
      <c r="F119" s="1711"/>
    </row>
    <row r="120" spans="1:11">
      <c r="C120" s="10"/>
      <c r="D120" s="1711"/>
      <c r="E120" s="1711"/>
      <c r="F120" s="1711"/>
    </row>
    <row r="121" spans="1:11">
      <c r="C121" s="10"/>
      <c r="D121" s="1711"/>
      <c r="E121" s="1711"/>
      <c r="F121" s="1711"/>
    </row>
    <row r="122" spans="1:11">
      <c r="C122" s="10"/>
      <c r="D122" s="149"/>
      <c r="E122" s="149"/>
      <c r="F122" s="149"/>
    </row>
    <row r="123" spans="1:11" customFormat="1" ht="14.4">
      <c r="A123" s="261"/>
      <c r="B123" s="671" t="s">
        <v>312</v>
      </c>
      <c r="C123" s="10"/>
      <c r="D123" s="1713" t="s">
        <v>1229</v>
      </c>
      <c r="E123" s="1713"/>
      <c r="F123" s="1713"/>
      <c r="G123" s="149"/>
    </row>
    <row r="124" spans="1:11" s="296" customFormat="1" ht="13.65" customHeight="1">
      <c r="A124" s="293"/>
      <c r="B124" s="293"/>
      <c r="C124" s="294"/>
      <c r="D124" s="1713"/>
      <c r="E124" s="1713"/>
      <c r="F124" s="1713"/>
      <c r="G124" s="295"/>
    </row>
    <row r="125" spans="1:11" customFormat="1" ht="13.65" customHeight="1">
      <c r="A125" s="132"/>
      <c r="B125" s="668"/>
      <c r="C125" s="10"/>
      <c r="D125" s="1713"/>
      <c r="E125" s="1713"/>
      <c r="F125" s="1713"/>
      <c r="G125" s="149"/>
    </row>
    <row r="126" spans="1:11" customFormat="1" ht="13.65" customHeight="1">
      <c r="A126" s="132"/>
      <c r="B126" s="668"/>
      <c r="C126" s="10"/>
      <c r="D126" s="1713"/>
      <c r="E126" s="1713"/>
      <c r="F126" s="1713"/>
      <c r="G126" s="149"/>
    </row>
    <row r="127" spans="1:11" customFormat="1" ht="13.65" customHeight="1">
      <c r="A127" s="132"/>
      <c r="B127" s="668"/>
      <c r="C127" s="10"/>
      <c r="D127" s="1713"/>
      <c r="E127" s="1713"/>
      <c r="F127" s="1713"/>
      <c r="G127" s="149"/>
    </row>
    <row r="128" spans="1:11" customFormat="1" ht="13.65" customHeight="1">
      <c r="A128" s="375"/>
      <c r="B128" s="375"/>
      <c r="C128" s="10"/>
      <c r="D128" s="1713"/>
      <c r="E128" s="1713"/>
      <c r="F128" s="1713"/>
      <c r="G128" s="149"/>
    </row>
    <row r="129" spans="1:7" s="2" customFormat="1" ht="13.65" customHeight="1">
      <c r="A129" s="273"/>
      <c r="B129" s="273"/>
      <c r="C129" s="439"/>
      <c r="D129" s="1713"/>
      <c r="E129" s="1713"/>
      <c r="F129" s="1713"/>
      <c r="G129" s="182"/>
    </row>
    <row r="130" spans="1:7" s="2" customFormat="1" ht="13.65" customHeight="1">
      <c r="A130" s="273"/>
      <c r="B130" s="273"/>
      <c r="C130" s="439"/>
      <c r="D130" s="1713"/>
      <c r="E130" s="1713"/>
      <c r="F130" s="1713"/>
      <c r="G130" s="182"/>
    </row>
    <row r="131" spans="1:7" customFormat="1" ht="13.65" customHeight="1">
      <c r="A131" s="132"/>
      <c r="B131" s="668"/>
      <c r="C131" s="10"/>
      <c r="D131" s="1713"/>
      <c r="E131" s="1713"/>
      <c r="F131" s="1713"/>
      <c r="G131" s="149"/>
    </row>
    <row r="132" spans="1:7" customFormat="1" ht="13.65" customHeight="1">
      <c r="A132" s="132"/>
      <c r="B132" s="668"/>
      <c r="C132" s="10"/>
      <c r="D132" s="1713"/>
      <c r="E132" s="1713"/>
      <c r="F132" s="1713"/>
      <c r="G132" s="149"/>
    </row>
    <row r="133" spans="1:7" customFormat="1" ht="13.65" customHeight="1">
      <c r="A133" s="132"/>
      <c r="B133" s="668"/>
      <c r="C133" s="10"/>
      <c r="D133" s="1713"/>
      <c r="E133" s="1713"/>
      <c r="F133" s="1713"/>
      <c r="G133" s="149"/>
    </row>
    <row r="134" spans="1:7" customFormat="1" ht="13.65" customHeight="1">
      <c r="A134" s="132"/>
      <c r="B134" s="668"/>
      <c r="C134" s="10"/>
      <c r="D134" s="1713"/>
      <c r="E134" s="1713"/>
      <c r="F134" s="1713"/>
      <c r="G134" s="149"/>
    </row>
    <row r="135" spans="1:7" customFormat="1" ht="13.65" customHeight="1">
      <c r="A135" s="132"/>
      <c r="B135" s="668"/>
      <c r="C135" s="10"/>
      <c r="D135" s="327"/>
      <c r="E135" s="151"/>
      <c r="F135" s="151"/>
      <c r="G135" s="149"/>
    </row>
    <row r="136" spans="1:7" s="709" customFormat="1" ht="13.65" customHeight="1">
      <c r="A136" s="697"/>
      <c r="B136" s="710" t="s">
        <v>312</v>
      </c>
      <c r="C136" s="10"/>
      <c r="D136" s="1711" t="s">
        <v>1337</v>
      </c>
      <c r="E136" s="1711"/>
      <c r="F136" s="1711"/>
      <c r="G136" s="149"/>
    </row>
    <row r="137" spans="1:7" s="709" customFormat="1" ht="13.65" customHeight="1">
      <c r="A137" s="697"/>
      <c r="B137" s="697"/>
      <c r="C137" s="10"/>
      <c r="D137" s="1711"/>
      <c r="E137" s="1711"/>
      <c r="F137" s="1711"/>
      <c r="G137" s="149"/>
    </row>
    <row r="138" spans="1:7" s="709" customFormat="1" ht="13.65" customHeight="1">
      <c r="A138" s="697"/>
      <c r="B138" s="697"/>
      <c r="C138" s="10"/>
      <c r="D138" s="1711"/>
      <c r="E138" s="1711"/>
      <c r="F138" s="1711"/>
      <c r="G138" s="149"/>
    </row>
    <row r="139" spans="1:7" s="709" customFormat="1" ht="13.65" customHeight="1">
      <c r="A139" s="697"/>
      <c r="B139" s="697"/>
      <c r="C139" s="10"/>
      <c r="D139" s="1711"/>
      <c r="E139" s="1711"/>
      <c r="F139" s="1711"/>
      <c r="G139" s="149"/>
    </row>
    <row r="140" spans="1:7" s="709" customFormat="1" ht="13.65" customHeight="1">
      <c r="A140" s="697"/>
      <c r="B140" s="697"/>
      <c r="C140" s="10"/>
      <c r="D140" s="1711"/>
      <c r="E140" s="1711"/>
      <c r="F140" s="1711"/>
      <c r="G140" s="149"/>
    </row>
    <row r="141" spans="1:7" s="709" customFormat="1" ht="13.65" customHeight="1">
      <c r="A141" s="697"/>
      <c r="B141" s="697"/>
      <c r="C141" s="10"/>
      <c r="D141" s="1711"/>
      <c r="E141" s="1711"/>
      <c r="F141" s="1711"/>
      <c r="G141" s="149"/>
    </row>
    <row r="142" spans="1:7" s="709" customFormat="1" ht="13.65" customHeight="1">
      <c r="A142" s="697"/>
      <c r="B142" s="697"/>
      <c r="C142" s="10"/>
      <c r="D142" s="1711"/>
      <c r="E142" s="1711"/>
      <c r="F142" s="1711"/>
      <c r="G142" s="149"/>
    </row>
    <row r="143" spans="1:7" s="709" customFormat="1" ht="13.65" customHeight="1">
      <c r="A143" s="697"/>
      <c r="B143" s="697"/>
      <c r="C143" s="10"/>
      <c r="D143" s="1711"/>
      <c r="E143" s="1711"/>
      <c r="F143" s="1711"/>
      <c r="G143" s="149"/>
    </row>
    <row r="144" spans="1:7" s="709" customFormat="1" ht="13.65" customHeight="1">
      <c r="A144" s="697"/>
      <c r="B144" s="697"/>
      <c r="C144" s="10"/>
      <c r="D144" s="1711"/>
      <c r="E144" s="1711"/>
      <c r="F144" s="1711"/>
      <c r="G144" s="149"/>
    </row>
    <row r="145" spans="1:7" s="709" customFormat="1" ht="13.65" customHeight="1">
      <c r="A145" s="697"/>
      <c r="B145" s="697"/>
      <c r="C145" s="10"/>
      <c r="D145" s="1711"/>
      <c r="E145" s="1711"/>
      <c r="F145" s="1711"/>
      <c r="G145" s="149"/>
    </row>
    <row r="146" spans="1:7" s="709" customFormat="1" ht="13.65" customHeight="1">
      <c r="A146" s="739"/>
      <c r="B146" s="739"/>
      <c r="C146" s="10"/>
      <c r="D146" s="1711"/>
      <c r="E146" s="1711"/>
      <c r="F146" s="1711"/>
      <c r="G146" s="149"/>
    </row>
    <row r="147" spans="1:7" s="709" customFormat="1" ht="13.65" customHeight="1">
      <c r="A147" s="739"/>
      <c r="B147" s="739"/>
      <c r="C147" s="10"/>
      <c r="D147" s="1711"/>
      <c r="E147" s="1711"/>
      <c r="F147" s="1711"/>
      <c r="G147" s="149"/>
    </row>
    <row r="148" spans="1:7" s="709" customFormat="1" ht="13.65" customHeight="1">
      <c r="A148" s="697"/>
      <c r="B148" s="697"/>
      <c r="C148" s="10"/>
      <c r="D148" s="1711"/>
      <c r="E148" s="1711"/>
      <c r="F148" s="1711"/>
      <c r="G148" s="149"/>
    </row>
    <row r="149" spans="1:7" s="709" customFormat="1" ht="13.65" customHeight="1">
      <c r="A149" s="697"/>
      <c r="B149" s="697"/>
      <c r="C149" s="10"/>
      <c r="D149" s="1711"/>
      <c r="E149" s="1711"/>
      <c r="F149" s="1711"/>
      <c r="G149" s="149"/>
    </row>
    <row r="150" spans="1:7" s="709" customFormat="1" ht="13.65" customHeight="1">
      <c r="A150" s="697"/>
      <c r="B150" s="697"/>
      <c r="C150" s="10"/>
      <c r="D150" s="1711"/>
      <c r="E150" s="1711"/>
      <c r="F150" s="1711"/>
      <c r="G150" s="149"/>
    </row>
    <row r="151" spans="1:7" s="709" customFormat="1" ht="13.65" customHeight="1">
      <c r="A151" s="697"/>
      <c r="B151" s="697"/>
      <c r="C151" s="10"/>
      <c r="D151" s="1711"/>
      <c r="E151" s="1711"/>
      <c r="F151" s="1711"/>
      <c r="G151" s="149"/>
    </row>
    <row r="152" spans="1:7" s="709" customFormat="1" ht="13.65" customHeight="1">
      <c r="A152" s="697"/>
      <c r="B152" s="697"/>
      <c r="C152" s="10"/>
      <c r="D152" s="1711"/>
      <c r="E152" s="1711"/>
      <c r="F152" s="1711"/>
      <c r="G152" s="149"/>
    </row>
    <row r="153" spans="1:7" s="709" customFormat="1" ht="13.65" customHeight="1">
      <c r="A153" s="697"/>
      <c r="B153" s="697"/>
      <c r="C153" s="10"/>
      <c r="D153" s="1711"/>
      <c r="E153" s="1711"/>
      <c r="F153" s="1711"/>
      <c r="G153" s="149"/>
    </row>
    <row r="154" spans="1:7" s="709" customFormat="1" ht="13.65" customHeight="1">
      <c r="A154" s="697"/>
      <c r="B154" s="697"/>
      <c r="C154" s="10"/>
      <c r="D154" s="1711"/>
      <c r="E154" s="1711"/>
      <c r="F154" s="1711"/>
      <c r="G154" s="149"/>
    </row>
    <row r="155" spans="1:7" s="709" customFormat="1" ht="13.65" customHeight="1">
      <c r="A155" s="697"/>
      <c r="B155" s="697"/>
      <c r="C155" s="10"/>
      <c r="D155" s="327"/>
      <c r="E155" s="151"/>
      <c r="F155" s="151"/>
      <c r="G155" s="149"/>
    </row>
    <row r="156" spans="1:7" customFormat="1" ht="13.65" customHeight="1">
      <c r="A156" s="375"/>
      <c r="B156" s="671" t="s">
        <v>312</v>
      </c>
      <c r="C156" s="325"/>
      <c r="D156" s="1771" t="s">
        <v>1230</v>
      </c>
      <c r="E156" s="1771"/>
      <c r="F156" s="1771"/>
      <c r="G156" s="441"/>
    </row>
    <row r="157" spans="1:7" customFormat="1" ht="13.65" customHeight="1">
      <c r="A157" s="375"/>
      <c r="B157" s="375"/>
      <c r="C157" s="325"/>
      <c r="D157" s="1771"/>
      <c r="E157" s="1771"/>
      <c r="F157" s="1771"/>
      <c r="G157" s="441"/>
    </row>
    <row r="158" spans="1:7" customFormat="1" ht="13.65" customHeight="1">
      <c r="A158" s="375"/>
      <c r="B158" s="375"/>
      <c r="C158" s="325"/>
      <c r="D158" s="327"/>
      <c r="E158" s="325"/>
      <c r="F158" s="325"/>
      <c r="G158" s="441"/>
    </row>
    <row r="159" spans="1:7" customFormat="1" ht="13.65" customHeight="1">
      <c r="A159" s="375"/>
      <c r="B159" s="671" t="s">
        <v>312</v>
      </c>
      <c r="C159" s="325"/>
      <c r="D159" s="1714" t="s">
        <v>1231</v>
      </c>
      <c r="E159" s="1714"/>
      <c r="F159" s="1714"/>
      <c r="G159" s="441"/>
    </row>
    <row r="160" spans="1:7" customFormat="1" ht="13.65" customHeight="1">
      <c r="A160" s="375"/>
      <c r="B160" s="375"/>
      <c r="C160" s="325"/>
      <c r="D160" s="1714"/>
      <c r="E160" s="1714"/>
      <c r="F160" s="1714"/>
      <c r="G160" s="441"/>
    </row>
    <row r="161" spans="1:7" customFormat="1" ht="13.65" customHeight="1">
      <c r="A161" s="375"/>
      <c r="B161" s="375"/>
      <c r="C161" s="325"/>
      <c r="D161" s="1714"/>
      <c r="E161" s="1714"/>
      <c r="F161" s="1714"/>
      <c r="G161" s="441"/>
    </row>
    <row r="162" spans="1:7" customFormat="1" ht="13.65" customHeight="1">
      <c r="A162" s="375"/>
      <c r="B162" s="375"/>
      <c r="C162" s="325"/>
      <c r="D162" s="1714"/>
      <c r="E162" s="1714"/>
      <c r="F162" s="1714"/>
      <c r="G162" s="441"/>
    </row>
    <row r="163" spans="1:7" customFormat="1" ht="13.65" customHeight="1">
      <c r="A163" s="132"/>
      <c r="B163" s="668"/>
      <c r="C163" s="10"/>
      <c r="D163" s="151"/>
      <c r="E163" s="151"/>
      <c r="F163" s="151"/>
      <c r="G163" s="149"/>
    </row>
    <row r="164" spans="1:7" customFormat="1" ht="13.65" customHeight="1">
      <c r="A164" s="132"/>
      <c r="B164" s="671" t="s">
        <v>312</v>
      </c>
      <c r="C164" s="10"/>
      <c r="D164" s="1759" t="s">
        <v>1232</v>
      </c>
      <c r="E164" s="1759"/>
      <c r="F164" s="1759"/>
      <c r="G164" s="149"/>
    </row>
    <row r="165" spans="1:7" customFormat="1" ht="13.65" customHeight="1">
      <c r="A165" s="132"/>
      <c r="B165" s="668"/>
      <c r="C165" s="10"/>
      <c r="D165" s="1759"/>
      <c r="E165" s="1759"/>
      <c r="F165" s="1759"/>
      <c r="G165" s="149"/>
    </row>
    <row r="166" spans="1:7" customFormat="1" ht="13.65" customHeight="1">
      <c r="A166" s="132"/>
      <c r="B166" s="668"/>
      <c r="C166" s="10"/>
      <c r="D166" s="1759"/>
      <c r="E166" s="1759"/>
      <c r="F166" s="1759"/>
      <c r="G166" s="149"/>
    </row>
    <row r="167" spans="1:7" customFormat="1" ht="13.65" customHeight="1">
      <c r="A167" s="23"/>
      <c r="B167" s="667"/>
      <c r="C167" s="10"/>
      <c r="D167" s="7"/>
      <c r="E167" s="151"/>
      <c r="F167" s="151"/>
      <c r="G167" s="149"/>
    </row>
    <row r="168" spans="1:7">
      <c r="A168" s="1737" t="s">
        <v>1126</v>
      </c>
      <c r="B168" s="1737"/>
      <c r="C168" s="1737"/>
      <c r="D168" s="1737"/>
      <c r="E168" s="1737"/>
      <c r="F168" s="1737"/>
      <c r="G168" s="1737"/>
    </row>
    <row r="169" spans="1:7" ht="12" customHeight="1">
      <c r="D169" s="135"/>
      <c r="E169" s="135"/>
      <c r="F169" s="135"/>
    </row>
    <row r="170" spans="1:7">
      <c r="B170" s="1733" t="s">
        <v>462</v>
      </c>
      <c r="C170" s="1733"/>
      <c r="D170" s="1733"/>
      <c r="E170" s="1733"/>
      <c r="F170" s="1733"/>
    </row>
    <row r="171" spans="1:7" ht="12" customHeight="1">
      <c r="A171" s="255"/>
      <c r="B171" s="665"/>
      <c r="C171" s="255"/>
    </row>
    <row r="172" spans="1:7">
      <c r="A172" s="1737" t="s">
        <v>1127</v>
      </c>
      <c r="B172" s="1737"/>
      <c r="C172" s="1737"/>
      <c r="D172" s="1737"/>
      <c r="E172" s="1737"/>
      <c r="F172" s="1737"/>
      <c r="G172" s="1737"/>
    </row>
    <row r="173" spans="1:7" ht="12" customHeight="1">
      <c r="A173" s="264"/>
      <c r="B173" s="264"/>
      <c r="C173" s="265"/>
      <c r="D173" s="57"/>
      <c r="E173" s="49"/>
      <c r="F173" s="57"/>
      <c r="G173" s="57"/>
    </row>
    <row r="174" spans="1:7" ht="13.2" customHeight="1">
      <c r="A174" s="264"/>
      <c r="B174" s="264"/>
      <c r="C174" s="265"/>
      <c r="D174" s="1773" t="s">
        <v>1235</v>
      </c>
      <c r="E174" s="1773"/>
      <c r="F174" s="1773"/>
      <c r="G174" s="57"/>
    </row>
    <row r="175" spans="1:7">
      <c r="A175" s="264"/>
      <c r="B175" s="264"/>
      <c r="C175" s="265"/>
      <c r="D175" s="1773"/>
      <c r="E175" s="1773"/>
      <c r="F175" s="1773"/>
      <c r="G175" s="57"/>
    </row>
    <row r="176" spans="1:7" s="711" customFormat="1">
      <c r="A176" s="713"/>
      <c r="B176" s="713"/>
      <c r="C176" s="265"/>
      <c r="D176" s="1774" t="s">
        <v>1236</v>
      </c>
      <c r="E176" s="1774"/>
      <c r="F176" s="1774"/>
      <c r="G176" s="57"/>
    </row>
    <row r="177" spans="1:7" ht="12" customHeight="1">
      <c r="A177" s="264"/>
      <c r="B177" s="264"/>
      <c r="C177" s="265"/>
      <c r="D177" s="57"/>
      <c r="E177" s="49"/>
      <c r="F177" s="57"/>
      <c r="G177" s="57"/>
    </row>
    <row r="178" spans="1:7" ht="14.4">
      <c r="A178" s="261"/>
      <c r="B178" s="671" t="s">
        <v>312</v>
      </c>
      <c r="C178" s="265"/>
      <c r="D178" s="1772" t="s">
        <v>1234</v>
      </c>
      <c r="E178" s="1772"/>
      <c r="F178" s="1772"/>
      <c r="G178" s="57"/>
    </row>
    <row r="179" spans="1:7" ht="14.4">
      <c r="A179" s="261"/>
      <c r="B179" s="261"/>
      <c r="C179" s="265"/>
      <c r="D179" s="1772"/>
      <c r="E179" s="1772"/>
      <c r="F179" s="1772"/>
      <c r="G179" s="57"/>
    </row>
    <row r="180" spans="1:7" ht="14.4">
      <c r="A180" s="261"/>
      <c r="B180" s="261"/>
      <c r="C180" s="265"/>
      <c r="D180" s="1772"/>
      <c r="E180" s="1772"/>
      <c r="F180" s="1772"/>
      <c r="G180" s="57"/>
    </row>
    <row r="181" spans="1:7">
      <c r="A181" s="265"/>
      <c r="B181" s="265"/>
      <c r="C181" s="265"/>
      <c r="D181" s="1772"/>
      <c r="E181" s="1772"/>
      <c r="F181" s="1772"/>
    </row>
    <row r="182" spans="1:7">
      <c r="A182" s="265"/>
      <c r="B182" s="265"/>
      <c r="C182" s="265"/>
      <c r="D182" s="401"/>
      <c r="E182" s="57"/>
      <c r="F182" s="57"/>
    </row>
    <row r="183" spans="1:7">
      <c r="A183" s="265"/>
      <c r="B183" s="265"/>
      <c r="C183" s="265"/>
      <c r="D183" s="1776" t="s">
        <v>1143</v>
      </c>
      <c r="E183" s="1776"/>
      <c r="F183" s="1776"/>
    </row>
    <row r="184" spans="1:7">
      <c r="A184" s="265"/>
      <c r="B184" s="265"/>
      <c r="C184" s="265"/>
      <c r="D184" s="1776"/>
      <c r="E184" s="1776"/>
      <c r="F184" s="1776"/>
    </row>
    <row r="185" spans="1:7" s="674" customFormat="1">
      <c r="A185" s="265"/>
      <c r="B185" s="265"/>
      <c r="C185" s="265"/>
      <c r="D185" s="688"/>
      <c r="E185" s="688"/>
      <c r="F185" s="688"/>
      <c r="G185" s="7"/>
    </row>
    <row r="186" spans="1:7" s="669" customFormat="1" ht="14.4">
      <c r="A186" s="261"/>
      <c r="B186" s="671" t="s">
        <v>312</v>
      </c>
      <c r="C186" s="550"/>
      <c r="D186" s="1711" t="s">
        <v>1233</v>
      </c>
      <c r="E186" s="1711"/>
      <c r="F186" s="1711"/>
      <c r="G186" s="670"/>
    </row>
    <row r="187" spans="1:7" s="669" customFormat="1" ht="14.4" customHeight="1">
      <c r="A187" s="261"/>
      <c r="C187" s="550"/>
      <c r="D187" s="1711"/>
      <c r="E187" s="1711"/>
      <c r="F187" s="1711"/>
      <c r="G187" s="670"/>
    </row>
    <row r="188" spans="1:7" s="669" customFormat="1" ht="14.4">
      <c r="A188" s="261"/>
      <c r="B188" s="689"/>
      <c r="C188" s="550"/>
      <c r="D188" s="1711"/>
      <c r="E188" s="1711"/>
      <c r="F188" s="1711"/>
      <c r="G188" s="670"/>
    </row>
    <row r="189" spans="1:7" s="669" customFormat="1" ht="14.4">
      <c r="A189" s="261"/>
      <c r="B189" s="689"/>
      <c r="C189" s="550"/>
      <c r="D189" s="1711"/>
      <c r="E189" s="1711"/>
      <c r="F189" s="1711"/>
      <c r="G189" s="670"/>
    </row>
    <row r="190" spans="1:7" s="674" customFormat="1">
      <c r="A190" s="265"/>
      <c r="B190" s="265"/>
      <c r="C190" s="265"/>
      <c r="D190" s="688"/>
      <c r="E190" s="688"/>
      <c r="F190" s="688"/>
      <c r="G190" s="7"/>
    </row>
    <row r="191" spans="1:7">
      <c r="A191" s="1737" t="s">
        <v>1128</v>
      </c>
      <c r="B191" s="1737"/>
      <c r="C191" s="1737"/>
      <c r="D191" s="1737"/>
      <c r="E191" s="1737"/>
      <c r="F191" s="1737"/>
      <c r="G191" s="1737"/>
    </row>
    <row r="192" spans="1:7" ht="12" customHeight="1">
      <c r="D192" s="135"/>
      <c r="E192" s="135"/>
      <c r="F192" s="135"/>
    </row>
    <row r="193" spans="1:6">
      <c r="C193" s="262"/>
      <c r="D193" s="1775" t="s">
        <v>213</v>
      </c>
      <c r="E193" s="1775"/>
      <c r="F193" s="1775"/>
    </row>
    <row r="194" spans="1:6">
      <c r="A194" s="255"/>
      <c r="B194" s="665"/>
      <c r="C194" s="255"/>
      <c r="D194" s="1743" t="s">
        <v>1257</v>
      </c>
      <c r="E194" s="1744"/>
      <c r="F194" s="1744"/>
    </row>
    <row r="195" spans="1:6" ht="12" customHeight="1">
      <c r="A195" s="23"/>
      <c r="B195" s="667"/>
      <c r="C195" s="23"/>
    </row>
    <row r="196" spans="1:6" ht="13.2" customHeight="1">
      <c r="A196" s="23"/>
      <c r="C196" s="23"/>
      <c r="D196" s="1735" t="s">
        <v>569</v>
      </c>
      <c r="E196" s="1735"/>
      <c r="F196" s="1735"/>
    </row>
    <row r="197" spans="1:6" ht="14.4">
      <c r="A197" s="261"/>
      <c r="B197" s="671" t="s">
        <v>312</v>
      </c>
      <c r="D197" s="1711" t="s">
        <v>1251</v>
      </c>
      <c r="E197" s="1711"/>
      <c r="F197" s="1711"/>
    </row>
    <row r="198" spans="1:6" ht="14.4">
      <c r="A198" s="261"/>
      <c r="B198" s="261"/>
      <c r="D198" s="1711"/>
      <c r="E198" s="1711"/>
      <c r="F198" s="1711"/>
    </row>
    <row r="199" spans="1:6"/>
    <row r="200" spans="1:6" ht="14.4">
      <c r="A200" s="261"/>
      <c r="B200" s="671" t="s">
        <v>312</v>
      </c>
      <c r="D200" s="1711" t="s">
        <v>1252</v>
      </c>
      <c r="E200" s="1711"/>
      <c r="F200" s="1711"/>
    </row>
    <row r="201" spans="1:6" ht="14.4">
      <c r="A201" s="261"/>
      <c r="B201" s="261"/>
      <c r="D201" s="1711"/>
      <c r="E201" s="1711"/>
      <c r="F201" s="1711"/>
    </row>
    <row r="202" spans="1:6" ht="14.4">
      <c r="A202" s="261"/>
      <c r="B202" s="261"/>
      <c r="D202" s="1711"/>
      <c r="E202" s="1711"/>
      <c r="F202" s="1711"/>
    </row>
    <row r="203" spans="1:6" ht="5.0999999999999996" customHeight="1">
      <c r="A203" s="261"/>
      <c r="B203" s="261"/>
      <c r="D203" s="151"/>
      <c r="E203" s="135"/>
      <c r="F203" s="135"/>
    </row>
    <row r="204" spans="1:6" ht="14.4">
      <c r="A204" s="261"/>
      <c r="B204" s="261"/>
      <c r="D204" s="1711" t="s">
        <v>1253</v>
      </c>
      <c r="E204" s="1711"/>
      <c r="F204" s="1711"/>
    </row>
    <row r="205" spans="1:6" ht="14.4">
      <c r="A205" s="261"/>
      <c r="B205" s="261"/>
      <c r="D205" s="1711"/>
      <c r="E205" s="1711"/>
      <c r="F205" s="1711"/>
    </row>
    <row r="206" spans="1:6" ht="14.4">
      <c r="A206" s="261"/>
      <c r="B206" s="261"/>
      <c r="D206" s="1711"/>
      <c r="E206" s="1711"/>
      <c r="F206" s="1711"/>
    </row>
    <row r="207" spans="1:6" ht="14.4">
      <c r="A207" s="261"/>
      <c r="B207" s="261"/>
      <c r="D207" s="1711"/>
      <c r="E207" s="1711"/>
      <c r="F207" s="1711"/>
    </row>
    <row r="208" spans="1:6" ht="14.4">
      <c r="A208" s="261"/>
      <c r="B208" s="261"/>
      <c r="D208" s="1711"/>
      <c r="E208" s="1711"/>
      <c r="F208" s="1711"/>
    </row>
    <row r="209" spans="1:7" ht="14.4">
      <c r="A209" s="261"/>
      <c r="B209" s="261"/>
      <c r="D209" s="135"/>
      <c r="E209" s="135"/>
      <c r="F209" s="135"/>
    </row>
    <row r="210" spans="1:7" ht="14.4">
      <c r="A210" s="261"/>
      <c r="B210" s="671" t="s">
        <v>312</v>
      </c>
      <c r="D210" s="1732" t="s">
        <v>1254</v>
      </c>
      <c r="E210" s="1732"/>
      <c r="F210" s="1732"/>
    </row>
    <row r="211" spans="1:7" ht="14.4">
      <c r="A211" s="261"/>
      <c r="B211" s="261"/>
      <c r="D211" s="1732"/>
      <c r="E211" s="1732"/>
      <c r="F211" s="1732"/>
    </row>
    <row r="212" spans="1:7" ht="14.4">
      <c r="A212" s="261"/>
      <c r="B212" s="261"/>
      <c r="D212" s="1733" t="s">
        <v>943</v>
      </c>
      <c r="E212" s="1733"/>
      <c r="F212" s="1733"/>
    </row>
    <row r="213" spans="1:7" ht="14.4">
      <c r="A213" s="261"/>
      <c r="B213" s="261"/>
      <c r="D213" s="135"/>
      <c r="E213" s="135"/>
      <c r="F213" s="135"/>
    </row>
    <row r="214" spans="1:7" ht="14.4" customHeight="1">
      <c r="A214" s="261"/>
      <c r="B214" s="671" t="s">
        <v>312</v>
      </c>
      <c r="D214" s="1732" t="s">
        <v>1256</v>
      </c>
      <c r="E214" s="1732"/>
      <c r="F214" s="1732"/>
    </row>
    <row r="215" spans="1:7" ht="14.4">
      <c r="A215" s="261"/>
      <c r="B215" s="261"/>
      <c r="D215" s="1732"/>
      <c r="E215" s="1732"/>
      <c r="F215" s="1732"/>
    </row>
    <row r="216" spans="1:7" ht="14.4">
      <c r="A216" s="261"/>
      <c r="B216" s="261"/>
      <c r="D216" s="1732"/>
      <c r="E216" s="1732"/>
      <c r="F216" s="1732"/>
    </row>
    <row r="217" spans="1:7" ht="14.4">
      <c r="A217" s="261"/>
      <c r="B217" s="261"/>
      <c r="D217" s="1732"/>
      <c r="E217" s="1732"/>
      <c r="F217" s="1732"/>
    </row>
    <row r="218" spans="1:7" ht="14.4">
      <c r="A218" s="261"/>
      <c r="B218" s="261"/>
      <c r="D218" s="1732"/>
      <c r="E218" s="1732"/>
      <c r="F218" s="1732"/>
    </row>
    <row r="219" spans="1:7">
      <c r="D219" s="135"/>
      <c r="E219" s="135"/>
      <c r="F219" s="135"/>
    </row>
    <row r="220" spans="1:7" ht="14.4">
      <c r="A220" s="261"/>
      <c r="B220" s="671" t="s">
        <v>312</v>
      </c>
      <c r="D220" s="1711" t="s">
        <v>1255</v>
      </c>
      <c r="E220" s="1711"/>
      <c r="F220" s="1711"/>
    </row>
    <row r="221" spans="1:7" ht="14.4">
      <c r="A221" s="261"/>
      <c r="B221" s="261"/>
      <c r="D221" s="1711"/>
      <c r="E221" s="1711"/>
      <c r="F221" s="1711"/>
    </row>
    <row r="222" spans="1:7">
      <c r="D222" s="29"/>
    </row>
    <row r="223" spans="1:7">
      <c r="A223" s="1737" t="s">
        <v>1129</v>
      </c>
      <c r="B223" s="1737"/>
      <c r="C223" s="1737"/>
      <c r="D223" s="1737"/>
      <c r="E223" s="1737"/>
      <c r="F223" s="1737"/>
      <c r="G223" s="1737"/>
    </row>
    <row r="224" spans="1:7">
      <c r="D224" s="29"/>
    </row>
    <row r="225" spans="1:6">
      <c r="C225" s="262"/>
      <c r="D225" s="1735" t="s">
        <v>1258</v>
      </c>
      <c r="E225" s="1735"/>
      <c r="F225" s="1735"/>
    </row>
    <row r="226" spans="1:6">
      <c r="A226" s="255"/>
      <c r="B226" s="665"/>
      <c r="C226" s="255"/>
      <c r="D226" s="135"/>
      <c r="E226" s="135"/>
      <c r="F226" s="135"/>
    </row>
    <row r="227" spans="1:6">
      <c r="A227" s="260"/>
      <c r="B227" s="260"/>
      <c r="C227" s="260"/>
      <c r="D227" s="1735" t="s">
        <v>274</v>
      </c>
      <c r="E227" s="1735"/>
      <c r="F227" s="1735"/>
    </row>
    <row r="228" spans="1:6" ht="14.4">
      <c r="A228" s="261"/>
      <c r="B228" s="671" t="s">
        <v>312</v>
      </c>
      <c r="D228" s="1785" t="s">
        <v>1259</v>
      </c>
      <c r="E228" s="1785"/>
      <c r="F228" s="1785"/>
    </row>
    <row r="229" spans="1:6" ht="14.4">
      <c r="A229" s="261"/>
      <c r="B229" s="261"/>
      <c r="D229" s="1785"/>
      <c r="E229" s="1785"/>
      <c r="F229" s="1785"/>
    </row>
    <row r="230" spans="1:6">
      <c r="D230" s="135"/>
      <c r="E230" s="135"/>
      <c r="F230" s="135"/>
    </row>
    <row r="231" spans="1:6" ht="14.4" customHeight="1">
      <c r="A231" s="261"/>
      <c r="B231" s="671" t="s">
        <v>312</v>
      </c>
      <c r="D231" s="1732" t="s">
        <v>1260</v>
      </c>
      <c r="E231" s="1732"/>
      <c r="F231" s="1732"/>
    </row>
    <row r="232" spans="1:6">
      <c r="D232" s="1732"/>
      <c r="E232" s="1732"/>
      <c r="F232" s="1732"/>
    </row>
    <row r="233" spans="1:6">
      <c r="D233" s="1744" t="s">
        <v>934</v>
      </c>
      <c r="E233" s="1744"/>
      <c r="F233" s="1744"/>
    </row>
    <row r="234" spans="1:6">
      <c r="D234" s="135"/>
      <c r="E234" s="135"/>
      <c r="F234" s="135"/>
    </row>
    <row r="235" spans="1:6" ht="14.4" customHeight="1">
      <c r="A235" s="261"/>
      <c r="B235" s="671" t="s">
        <v>312</v>
      </c>
      <c r="D235" s="1732" t="s">
        <v>1262</v>
      </c>
      <c r="E235" s="1732"/>
      <c r="F235" s="1732"/>
    </row>
    <row r="236" spans="1:6">
      <c r="D236" s="1732"/>
      <c r="E236" s="1732"/>
      <c r="F236" s="1732"/>
    </row>
    <row r="237" spans="1:6">
      <c r="D237" s="1732"/>
      <c r="E237" s="1732"/>
      <c r="F237" s="1732"/>
    </row>
    <row r="238" spans="1:6">
      <c r="D238" s="1732"/>
      <c r="E238" s="1732"/>
      <c r="F238" s="1732"/>
    </row>
    <row r="239" spans="1:6">
      <c r="D239" s="1732"/>
      <c r="E239" s="1732"/>
      <c r="F239" s="1732"/>
    </row>
    <row r="240" spans="1:6">
      <c r="D240" s="135"/>
      <c r="E240" s="135"/>
      <c r="F240" s="135"/>
    </row>
    <row r="241" spans="1:7" ht="14.4">
      <c r="A241" s="261"/>
      <c r="B241" s="671" t="s">
        <v>312</v>
      </c>
      <c r="D241" s="1711" t="s">
        <v>1261</v>
      </c>
      <c r="E241" s="1711"/>
      <c r="F241" s="1711"/>
    </row>
    <row r="242" spans="1:7">
      <c r="D242" s="1711"/>
      <c r="E242" s="1711"/>
      <c r="F242" s="1711"/>
    </row>
    <row r="243" spans="1:7">
      <c r="D243" s="1711"/>
      <c r="E243" s="1711"/>
      <c r="F243" s="1711"/>
    </row>
    <row r="244" spans="1:7">
      <c r="D244" s="263"/>
      <c r="E244" s="135"/>
      <c r="F244" s="135"/>
    </row>
    <row r="245" spans="1:7">
      <c r="A245" s="1737" t="s">
        <v>1130</v>
      </c>
      <c r="B245" s="1737"/>
      <c r="C245" s="1737"/>
      <c r="D245" s="1737"/>
      <c r="E245" s="1737"/>
      <c r="F245" s="1737"/>
      <c r="G245" s="1737"/>
    </row>
    <row r="246" spans="1:7">
      <c r="D246" s="263"/>
      <c r="E246" s="135"/>
      <c r="F246" s="135"/>
    </row>
    <row r="247" spans="1:7">
      <c r="C247" s="255"/>
      <c r="D247" s="1753" t="s">
        <v>1263</v>
      </c>
      <c r="E247" s="1753"/>
      <c r="F247" s="1753"/>
    </row>
    <row r="248" spans="1:7">
      <c r="C248" s="255"/>
      <c r="D248" s="1753"/>
      <c r="E248" s="1753"/>
      <c r="F248" s="1753"/>
    </row>
    <row r="249" spans="1:7">
      <c r="A249" s="260"/>
      <c r="B249" s="260"/>
      <c r="C249" s="260"/>
      <c r="D249" s="5"/>
      <c r="E249" s="6"/>
      <c r="F249" s="6"/>
    </row>
    <row r="250" spans="1:7">
      <c r="C250" s="260"/>
      <c r="D250" s="1735" t="s">
        <v>214</v>
      </c>
      <c r="E250" s="1735"/>
      <c r="F250" s="1735"/>
    </row>
    <row r="251" spans="1:7" ht="15.75" customHeight="1">
      <c r="A251" s="261"/>
      <c r="B251" s="261"/>
      <c r="D251" s="1741" t="s">
        <v>1264</v>
      </c>
      <c r="E251" s="1741"/>
      <c r="F251" s="1741"/>
    </row>
    <row r="252" spans="1:7">
      <c r="E252" s="135"/>
      <c r="F252" s="135"/>
    </row>
    <row r="253" spans="1:7" ht="14.4">
      <c r="A253" s="261"/>
      <c r="B253" s="671" t="s">
        <v>312</v>
      </c>
      <c r="D253" s="1711" t="s">
        <v>1265</v>
      </c>
      <c r="E253" s="1711"/>
      <c r="F253" s="1711"/>
    </row>
    <row r="254" spans="1:7" ht="14.4">
      <c r="A254" s="261"/>
      <c r="B254" s="261"/>
      <c r="D254" s="1711"/>
      <c r="E254" s="1711"/>
      <c r="F254" s="1711"/>
    </row>
    <row r="255" spans="1:7">
      <c r="D255" s="135"/>
      <c r="E255" s="135"/>
      <c r="F255" s="135"/>
    </row>
    <row r="256" spans="1:7" ht="14.4">
      <c r="A256" s="261"/>
      <c r="B256" s="671" t="s">
        <v>312</v>
      </c>
      <c r="D256" s="1732" t="s">
        <v>1266</v>
      </c>
      <c r="E256" s="1732"/>
      <c r="F256" s="1732"/>
    </row>
    <row r="257" spans="1:7" ht="14.4">
      <c r="A257" s="261"/>
      <c r="B257" s="261"/>
      <c r="D257" s="1732"/>
      <c r="E257" s="1732"/>
      <c r="F257" s="1732"/>
    </row>
    <row r="258" spans="1:7" ht="14.4">
      <c r="A258" s="261"/>
      <c r="B258" s="261"/>
      <c r="D258" s="1732"/>
      <c r="E258" s="1732"/>
      <c r="F258" s="1732"/>
    </row>
    <row r="259" spans="1:7">
      <c r="D259" s="135"/>
      <c r="E259" s="135"/>
      <c r="F259" s="135"/>
    </row>
    <row r="260" spans="1:7" ht="14.4">
      <c r="A260" s="261"/>
      <c r="B260" s="671" t="s">
        <v>312</v>
      </c>
      <c r="D260" s="1711" t="s">
        <v>1267</v>
      </c>
      <c r="E260" s="1711"/>
      <c r="F260" s="1711"/>
    </row>
    <row r="261" spans="1:7" ht="14.4">
      <c r="A261" s="261"/>
      <c r="B261" s="261"/>
      <c r="D261" s="1711"/>
      <c r="E261" s="1711"/>
      <c r="F261" s="1711"/>
    </row>
    <row r="262" spans="1:7">
      <c r="A262" s="23"/>
      <c r="B262" s="667"/>
      <c r="E262" s="135"/>
      <c r="F262" s="135"/>
    </row>
    <row r="263" spans="1:7">
      <c r="A263" s="1737" t="s">
        <v>1131</v>
      </c>
      <c r="B263" s="1737"/>
      <c r="C263" s="1737"/>
      <c r="D263" s="1737"/>
      <c r="E263" s="1737"/>
      <c r="F263" s="1737"/>
      <c r="G263" s="1737"/>
    </row>
    <row r="264" spans="1:7">
      <c r="A264" s="23"/>
      <c r="B264" s="667"/>
      <c r="D264" s="135"/>
      <c r="E264" s="135"/>
      <c r="F264" s="135"/>
    </row>
    <row r="265" spans="1:7">
      <c r="C265" s="23"/>
      <c r="D265" s="1735" t="s">
        <v>706</v>
      </c>
      <c r="E265" s="1735"/>
      <c r="F265" s="1735"/>
    </row>
    <row r="266" spans="1:7">
      <c r="C266" s="23"/>
      <c r="D266" s="1736" t="s">
        <v>1268</v>
      </c>
      <c r="E266" s="1736"/>
      <c r="F266" s="1736"/>
    </row>
    <row r="267" spans="1:7">
      <c r="C267" s="23"/>
      <c r="D267" s="259"/>
    </row>
    <row r="268" spans="1:7">
      <c r="A268" s="273"/>
      <c r="B268" s="671" t="s">
        <v>312</v>
      </c>
      <c r="D268" s="1736" t="s">
        <v>1269</v>
      </c>
      <c r="E268" s="1736"/>
      <c r="F268" s="1736"/>
    </row>
    <row r="269" spans="1:7" s="39" customFormat="1" ht="14.4">
      <c r="A269" s="400"/>
      <c r="B269" s="400"/>
      <c r="C269" s="273"/>
      <c r="D269" s="490"/>
      <c r="E269" s="491"/>
      <c r="F269" s="491"/>
      <c r="G269" s="130"/>
    </row>
    <row r="270" spans="1:7" s="39" customFormat="1" ht="13.2" customHeight="1">
      <c r="A270" s="273"/>
      <c r="B270" s="671" t="s">
        <v>312</v>
      </c>
      <c r="C270" s="273"/>
      <c r="D270" s="1786" t="s">
        <v>1270</v>
      </c>
      <c r="E270" s="1786"/>
      <c r="F270" s="1786"/>
      <c r="G270" s="130"/>
    </row>
    <row r="271" spans="1:7" s="39" customFormat="1" ht="14.4">
      <c r="A271" s="400"/>
      <c r="B271" s="400"/>
      <c r="C271" s="273"/>
      <c r="D271" s="1786"/>
      <c r="E271" s="1786"/>
      <c r="F271" s="1786"/>
      <c r="G271" s="130"/>
    </row>
    <row r="272" spans="1:7" s="39" customFormat="1" ht="14.4">
      <c r="A272" s="400"/>
      <c r="B272" s="400"/>
      <c r="C272" s="273"/>
      <c r="D272" s="1786"/>
      <c r="E272" s="1786"/>
      <c r="F272" s="1786"/>
      <c r="G272" s="130"/>
    </row>
    <row r="273" spans="1:7" s="39" customFormat="1" ht="14.4">
      <c r="A273" s="400"/>
      <c r="B273" s="400"/>
      <c r="C273" s="273"/>
      <c r="D273" s="1786"/>
      <c r="E273" s="1786"/>
      <c r="F273" s="1786"/>
      <c r="G273" s="130"/>
    </row>
    <row r="274" spans="1:7" s="39" customFormat="1" ht="14.4">
      <c r="A274" s="400"/>
      <c r="B274" s="400"/>
      <c r="C274" s="273"/>
      <c r="D274" s="1786"/>
      <c r="E274" s="1786"/>
      <c r="F274" s="1786"/>
      <c r="G274" s="130"/>
    </row>
    <row r="275" spans="1:7" s="39" customFormat="1" ht="14.4">
      <c r="A275" s="400"/>
      <c r="B275" s="400"/>
      <c r="C275" s="273"/>
      <c r="D275" s="490"/>
      <c r="E275" s="491"/>
      <c r="F275" s="491"/>
      <c r="G275" s="130"/>
    </row>
    <row r="276" spans="1:7" s="39" customFormat="1" ht="13.2" customHeight="1">
      <c r="A276" s="273"/>
      <c r="B276" s="671" t="s">
        <v>312</v>
      </c>
      <c r="C276" s="273"/>
      <c r="D276" s="1786" t="s">
        <v>1271</v>
      </c>
      <c r="E276" s="1786"/>
      <c r="F276" s="1786"/>
      <c r="G276" s="130"/>
    </row>
    <row r="277" spans="1:7" s="39" customFormat="1">
      <c r="A277" s="273"/>
      <c r="B277" s="273"/>
      <c r="C277" s="273"/>
      <c r="D277" s="1786"/>
      <c r="E277" s="1786"/>
      <c r="F277" s="1786"/>
      <c r="G277" s="130"/>
    </row>
    <row r="278" spans="1:7" s="39" customFormat="1" ht="14.4">
      <c r="A278" s="400"/>
      <c r="B278" s="400"/>
      <c r="C278" s="273"/>
      <c r="D278" s="490"/>
      <c r="E278" s="491"/>
      <c r="F278" s="491"/>
      <c r="G278" s="130"/>
    </row>
    <row r="279" spans="1:7">
      <c r="A279" s="273"/>
      <c r="B279" s="671" t="s">
        <v>312</v>
      </c>
      <c r="D279" s="1736" t="s">
        <v>1272</v>
      </c>
      <c r="E279" s="1736"/>
      <c r="F279" s="1736"/>
    </row>
    <row r="280" spans="1:7">
      <c r="E280" s="135"/>
      <c r="F280" s="135"/>
    </row>
    <row r="281" spans="1:7" ht="14.4">
      <c r="A281" s="261"/>
      <c r="B281" s="671" t="s">
        <v>312</v>
      </c>
      <c r="D281" s="1732" t="s">
        <v>1273</v>
      </c>
      <c r="E281" s="1732"/>
      <c r="F281" s="1732"/>
    </row>
    <row r="282" spans="1:7" ht="14.4">
      <c r="A282" s="261"/>
      <c r="B282" s="261"/>
      <c r="D282" s="1732"/>
      <c r="E282" s="1732"/>
      <c r="F282" s="1732"/>
    </row>
    <row r="283" spans="1:7" s="711" customFormat="1" ht="14.4">
      <c r="A283" s="706"/>
      <c r="B283" s="706"/>
      <c r="C283" s="723"/>
      <c r="D283" s="1732"/>
      <c r="E283" s="1732"/>
      <c r="F283" s="1732"/>
      <c r="G283" s="7"/>
    </row>
    <row r="284" spans="1:7" s="711" customFormat="1" ht="14.4">
      <c r="A284" s="706"/>
      <c r="B284" s="706"/>
      <c r="C284" s="723"/>
      <c r="D284" s="1732"/>
      <c r="E284" s="1732"/>
      <c r="F284" s="1732"/>
      <c r="G284" s="7"/>
    </row>
    <row r="285" spans="1:7" s="711" customFormat="1" ht="14.4">
      <c r="A285" s="706"/>
      <c r="B285" s="706"/>
      <c r="C285" s="723"/>
      <c r="D285" s="1732"/>
      <c r="E285" s="1732"/>
      <c r="F285" s="1732"/>
      <c r="G285" s="7"/>
    </row>
    <row r="286" spans="1:7" s="711" customFormat="1" ht="14.4">
      <c r="A286" s="706"/>
      <c r="B286" s="706"/>
      <c r="C286" s="723"/>
      <c r="D286" s="1732"/>
      <c r="E286" s="1732"/>
      <c r="F286" s="1732"/>
      <c r="G286" s="7"/>
    </row>
    <row r="287" spans="1:7" s="711" customFormat="1" ht="14.4">
      <c r="A287" s="706"/>
      <c r="B287" s="706"/>
      <c r="C287" s="723"/>
      <c r="D287" s="1732"/>
      <c r="E287" s="1732"/>
      <c r="F287" s="1732"/>
      <c r="G287" s="7"/>
    </row>
    <row r="288" spans="1:7" s="711" customFormat="1" ht="14.4">
      <c r="A288" s="706"/>
      <c r="B288" s="706"/>
      <c r="C288" s="723"/>
      <c r="D288" s="1732"/>
      <c r="E288" s="1732"/>
      <c r="F288" s="1732"/>
      <c r="G288" s="7"/>
    </row>
    <row r="289" spans="1:7" s="711" customFormat="1" ht="14.4">
      <c r="A289" s="706"/>
      <c r="B289" s="706"/>
      <c r="C289" s="723"/>
      <c r="D289" s="1732"/>
      <c r="E289" s="1732"/>
      <c r="F289" s="1732"/>
      <c r="G289" s="7"/>
    </row>
    <row r="290" spans="1:7" s="711" customFormat="1" ht="14.4">
      <c r="A290" s="706"/>
      <c r="B290" s="706"/>
      <c r="C290" s="723"/>
      <c r="D290" s="1732"/>
      <c r="E290" s="1732"/>
      <c r="F290" s="1732"/>
      <c r="G290" s="7"/>
    </row>
    <row r="291" spans="1:7" s="711" customFormat="1" ht="14.4">
      <c r="A291" s="706"/>
      <c r="B291" s="706"/>
      <c r="C291" s="723"/>
      <c r="D291" s="1732"/>
      <c r="E291" s="1732"/>
      <c r="F291" s="1732"/>
      <c r="G291" s="7"/>
    </row>
    <row r="292" spans="1:7" s="711" customFormat="1" ht="14.4">
      <c r="A292" s="706"/>
      <c r="B292" s="706"/>
      <c r="C292" s="723"/>
      <c r="D292" s="1732"/>
      <c r="E292" s="1732"/>
      <c r="F292" s="1732"/>
      <c r="G292" s="7"/>
    </row>
    <row r="293" spans="1:7" ht="14.4">
      <c r="A293" s="261"/>
      <c r="B293" s="261"/>
      <c r="D293" s="1732"/>
      <c r="E293" s="1732"/>
      <c r="F293" s="1732"/>
    </row>
    <row r="294" spans="1:7" ht="14.4">
      <c r="A294" s="261"/>
      <c r="B294" s="261"/>
      <c r="D294" s="1732"/>
      <c r="E294" s="1732"/>
      <c r="F294" s="1732"/>
    </row>
    <row r="295" spans="1:7" ht="14.4">
      <c r="A295" s="261"/>
      <c r="B295" s="261"/>
      <c r="D295" s="1732"/>
      <c r="E295" s="1732"/>
      <c r="F295" s="1732"/>
    </row>
    <row r="296" spans="1:7">
      <c r="D296" s="135"/>
      <c r="E296" s="135"/>
      <c r="F296" s="135"/>
    </row>
    <row r="297" spans="1:7" ht="14.4">
      <c r="A297" s="261"/>
      <c r="B297" s="671" t="s">
        <v>312</v>
      </c>
      <c r="D297" s="1732" t="s">
        <v>1274</v>
      </c>
      <c r="E297" s="1732"/>
      <c r="F297" s="1732"/>
    </row>
    <row r="298" spans="1:7">
      <c r="D298" s="1732"/>
      <c r="E298" s="1732"/>
      <c r="F298" s="1732"/>
    </row>
    <row r="299" spans="1:7">
      <c r="D299" s="1732"/>
      <c r="E299" s="1732"/>
      <c r="F299" s="1732"/>
    </row>
    <row r="300" spans="1:7">
      <c r="D300" s="1732"/>
      <c r="E300" s="1732"/>
      <c r="F300" s="1732"/>
    </row>
    <row r="301" spans="1:7">
      <c r="D301" s="1732"/>
      <c r="E301" s="1732"/>
      <c r="F301" s="1732"/>
    </row>
    <row r="302" spans="1:7">
      <c r="D302" s="1732"/>
      <c r="E302" s="1732"/>
      <c r="F302" s="1732"/>
    </row>
    <row r="303" spans="1:7">
      <c r="D303" s="1732"/>
      <c r="E303" s="1732"/>
      <c r="F303" s="1732"/>
    </row>
    <row r="304" spans="1:7">
      <c r="D304" s="1732"/>
      <c r="E304" s="1732"/>
      <c r="F304" s="1732"/>
    </row>
    <row r="305" spans="1:7">
      <c r="D305" s="1732"/>
      <c r="E305" s="1732"/>
      <c r="F305" s="1732"/>
    </row>
    <row r="306" spans="1:7">
      <c r="D306" s="135"/>
      <c r="E306" s="135"/>
      <c r="F306" s="135"/>
    </row>
    <row r="307" spans="1:7" ht="14.4">
      <c r="A307" s="261"/>
      <c r="B307" s="671" t="s">
        <v>312</v>
      </c>
      <c r="D307" s="1711" t="s">
        <v>1275</v>
      </c>
      <c r="E307" s="1711"/>
      <c r="F307" s="1711"/>
    </row>
    <row r="308" spans="1:7">
      <c r="D308" s="1711"/>
      <c r="E308" s="1711"/>
      <c r="F308" s="1711"/>
      <c r="G308" s="12"/>
    </row>
    <row r="309" spans="1:7">
      <c r="D309" s="1711"/>
      <c r="E309" s="1711"/>
      <c r="F309" s="1711"/>
      <c r="G309" s="12"/>
    </row>
    <row r="310" spans="1:7">
      <c r="D310" s="1711"/>
      <c r="E310" s="1711"/>
      <c r="F310" s="1711"/>
      <c r="G310" s="12"/>
    </row>
    <row r="311" spans="1:7">
      <c r="D311" s="1711"/>
      <c r="E311" s="1711"/>
      <c r="F311" s="1711"/>
      <c r="G311" s="12"/>
    </row>
    <row r="312" spans="1:7">
      <c r="D312" s="1711"/>
      <c r="E312" s="1711"/>
      <c r="F312" s="1711"/>
      <c r="G312" s="12"/>
    </row>
    <row r="313" spans="1:7" s="711" customFormat="1">
      <c r="A313" s="723"/>
      <c r="B313" s="723"/>
      <c r="C313" s="723"/>
      <c r="D313" s="720"/>
      <c r="E313" s="720"/>
      <c r="F313" s="720"/>
    </row>
    <row r="314" spans="1:7" ht="13.8" thickBot="1">
      <c r="D314" s="1782" t="s">
        <v>1034</v>
      </c>
      <c r="E314" s="1782"/>
      <c r="F314" s="1782"/>
      <c r="G314" s="12"/>
    </row>
    <row r="315" spans="1:7" s="711" customFormat="1" ht="13.8" thickTop="1">
      <c r="A315" s="723"/>
      <c r="B315" s="723"/>
      <c r="C315" s="723"/>
      <c r="D315" s="1783" t="s">
        <v>1276</v>
      </c>
      <c r="E315" s="1783"/>
      <c r="F315" s="1783"/>
    </row>
    <row r="316" spans="1:7">
      <c r="A316" s="325"/>
      <c r="B316" s="325"/>
      <c r="C316" s="325"/>
      <c r="D316" s="464"/>
      <c r="E316" s="464"/>
      <c r="F316" s="135"/>
      <c r="G316" s="12"/>
    </row>
    <row r="317" spans="1:7" ht="14.4">
      <c r="A317" s="261"/>
      <c r="B317" s="671" t="s">
        <v>312</v>
      </c>
      <c r="C317" s="325"/>
      <c r="D317" s="1784" t="s">
        <v>1277</v>
      </c>
      <c r="E317" s="1784"/>
      <c r="F317" s="1784"/>
      <c r="G317" s="12"/>
    </row>
    <row r="318" spans="1:7">
      <c r="A318" s="325"/>
      <c r="B318" s="325"/>
      <c r="C318" s="325"/>
      <c r="D318" s="464"/>
      <c r="E318" s="464"/>
      <c r="F318" s="135"/>
      <c r="G318" s="12"/>
    </row>
    <row r="319" spans="1:7">
      <c r="A319" s="325"/>
      <c r="B319" s="671" t="s">
        <v>312</v>
      </c>
      <c r="C319" s="325"/>
      <c r="D319" s="1768" t="s">
        <v>1278</v>
      </c>
      <c r="E319" s="1768"/>
      <c r="F319" s="1768"/>
      <c r="G319" s="12"/>
    </row>
    <row r="320" spans="1:7">
      <c r="A320" s="325"/>
      <c r="B320" s="325"/>
      <c r="C320" s="325"/>
      <c r="D320" s="1768"/>
      <c r="E320" s="1768"/>
      <c r="F320" s="1768"/>
      <c r="G320" s="12"/>
    </row>
    <row r="321" spans="1:7">
      <c r="A321" s="325"/>
      <c r="B321" s="325"/>
      <c r="C321" s="325"/>
      <c r="D321" s="1768"/>
      <c r="E321" s="1768"/>
      <c r="F321" s="1768"/>
      <c r="G321" s="12"/>
    </row>
    <row r="322" spans="1:7">
      <c r="A322" s="325"/>
      <c r="B322" s="325"/>
      <c r="C322" s="325"/>
      <c r="D322" s="1768"/>
      <c r="E322" s="1768"/>
      <c r="F322" s="1768"/>
      <c r="G322" s="12"/>
    </row>
    <row r="323" spans="1:7" s="711" customFormat="1">
      <c r="A323" s="325"/>
      <c r="B323" s="325"/>
      <c r="C323" s="325"/>
      <c r="D323" s="1768"/>
      <c r="E323" s="1768"/>
      <c r="F323" s="1768"/>
    </row>
    <row r="324" spans="1:7" s="711" customFormat="1">
      <c r="A324" s="325"/>
      <c r="B324" s="325"/>
      <c r="C324" s="325"/>
      <c r="D324" s="1768"/>
      <c r="E324" s="1768"/>
      <c r="F324" s="1768"/>
    </row>
    <row r="325" spans="1:7" s="711" customFormat="1">
      <c r="A325" s="325"/>
      <c r="B325" s="325"/>
      <c r="C325" s="325"/>
      <c r="D325" s="1768"/>
      <c r="E325" s="1768"/>
      <c r="F325" s="1768"/>
    </row>
    <row r="326" spans="1:7" s="711" customFormat="1">
      <c r="A326" s="325"/>
      <c r="B326" s="325"/>
      <c r="C326" s="325"/>
      <c r="D326" s="1768"/>
      <c r="E326" s="1768"/>
      <c r="F326" s="1768"/>
    </row>
    <row r="327" spans="1:7">
      <c r="A327" s="325"/>
      <c r="B327" s="325"/>
      <c r="C327" s="325"/>
      <c r="D327" s="1768"/>
      <c r="E327" s="1768"/>
      <c r="F327" s="1768"/>
      <c r="G327" s="12"/>
    </row>
    <row r="328" spans="1:7">
      <c r="A328" s="325"/>
      <c r="B328" s="325"/>
      <c r="C328" s="325"/>
      <c r="D328" s="1768"/>
      <c r="E328" s="1768"/>
      <c r="F328" s="1768"/>
      <c r="G328" s="12"/>
    </row>
    <row r="329" spans="1:7">
      <c r="A329" s="325"/>
      <c r="B329" s="325"/>
      <c r="C329" s="325"/>
      <c r="D329" s="1768"/>
      <c r="E329" s="1768"/>
      <c r="F329" s="1768"/>
      <c r="G329" s="12"/>
    </row>
    <row r="330" spans="1:7">
      <c r="A330" s="325"/>
      <c r="B330" s="325"/>
      <c r="C330" s="325"/>
      <c r="D330" s="12"/>
      <c r="E330" s="464"/>
      <c r="F330" s="135"/>
      <c r="G330" s="12"/>
    </row>
    <row r="331" spans="1:7" ht="14.4">
      <c r="A331" s="261"/>
      <c r="B331" s="671" t="s">
        <v>312</v>
      </c>
      <c r="C331" s="325"/>
      <c r="D331" s="1787" t="s">
        <v>1279</v>
      </c>
      <c r="E331" s="1787"/>
      <c r="F331" s="1787"/>
      <c r="G331" s="12"/>
    </row>
    <row r="332" spans="1:7">
      <c r="A332" s="325"/>
      <c r="B332" s="325"/>
      <c r="C332" s="325"/>
      <c r="D332" s="1787"/>
      <c r="E332" s="1787"/>
      <c r="F332" s="1787"/>
      <c r="G332" s="12"/>
    </row>
    <row r="333" spans="1:7">
      <c r="A333" s="325"/>
      <c r="B333" s="325"/>
      <c r="C333" s="325"/>
      <c r="D333" s="1787"/>
      <c r="E333" s="1787"/>
      <c r="F333" s="1787"/>
      <c r="G333" s="12"/>
    </row>
    <row r="334" spans="1:7">
      <c r="A334" s="325"/>
      <c r="B334" s="325"/>
      <c r="C334" s="325"/>
      <c r="D334" s="1787"/>
      <c r="E334" s="1787"/>
      <c r="F334" s="1787"/>
      <c r="G334" s="12"/>
    </row>
    <row r="335" spans="1:7">
      <c r="A335" s="325"/>
      <c r="B335" s="325"/>
      <c r="C335" s="325"/>
      <c r="D335" s="498"/>
      <c r="E335" s="464"/>
      <c r="F335" s="135"/>
      <c r="G335" s="12"/>
    </row>
    <row r="336" spans="1:7">
      <c r="A336" s="325"/>
      <c r="B336" s="325"/>
      <c r="C336" s="325"/>
      <c r="D336" s="1787" t="s">
        <v>1280</v>
      </c>
      <c r="E336" s="1787"/>
      <c r="F336" s="1787"/>
      <c r="G336" s="12"/>
    </row>
    <row r="337" spans="1:7">
      <c r="A337" s="325"/>
      <c r="B337" s="325"/>
      <c r="C337" s="325"/>
      <c r="D337" s="1787"/>
      <c r="E337" s="1787"/>
      <c r="F337" s="1787"/>
      <c r="G337" s="12"/>
    </row>
    <row r="338" spans="1:7">
      <c r="A338" s="325"/>
      <c r="B338" s="325"/>
      <c r="C338" s="325"/>
      <c r="D338" s="1787"/>
      <c r="E338" s="1787"/>
      <c r="F338" s="1787"/>
      <c r="G338" s="12"/>
    </row>
    <row r="339" spans="1:7">
      <c r="A339" s="325"/>
      <c r="B339" s="325"/>
      <c r="C339" s="325"/>
      <c r="D339" s="1787"/>
      <c r="E339" s="1787"/>
      <c r="F339" s="1787"/>
      <c r="G339" s="12"/>
    </row>
    <row r="340" spans="1:7" ht="18" customHeight="1">
      <c r="A340" s="325"/>
      <c r="B340" s="325"/>
      <c r="C340" s="325"/>
      <c r="D340" s="1787"/>
      <c r="E340" s="1787"/>
      <c r="F340" s="1787"/>
      <c r="G340" s="12"/>
    </row>
    <row r="341" spans="1:7">
      <c r="A341" s="325"/>
      <c r="B341" s="325"/>
      <c r="C341" s="325"/>
      <c r="D341" s="1787"/>
      <c r="E341" s="1787"/>
      <c r="F341" s="1787"/>
      <c r="G341" s="12"/>
    </row>
    <row r="342" spans="1:7">
      <c r="A342" s="325"/>
      <c r="B342" s="325"/>
      <c r="C342" s="325"/>
      <c r="D342" s="1787"/>
      <c r="E342" s="1787"/>
      <c r="F342" s="1787"/>
      <c r="G342" s="12"/>
    </row>
    <row r="343" spans="1:7">
      <c r="A343" s="325"/>
      <c r="B343" s="325"/>
      <c r="C343" s="325"/>
      <c r="D343" s="1787"/>
      <c r="E343" s="1787"/>
      <c r="F343" s="1787"/>
      <c r="G343" s="12"/>
    </row>
    <row r="344" spans="1:7" ht="8.25" customHeight="1">
      <c r="A344" s="325"/>
      <c r="B344" s="325"/>
      <c r="C344" s="325"/>
      <c r="D344" s="1787"/>
      <c r="E344" s="1787"/>
      <c r="F344" s="1787"/>
      <c r="G344" s="12"/>
    </row>
    <row r="345" spans="1:7" ht="13.2" customHeight="1">
      <c r="A345" s="325"/>
      <c r="B345" s="325"/>
      <c r="C345" s="325"/>
      <c r="D345" s="1780" t="s">
        <v>1281</v>
      </c>
      <c r="E345" s="1780"/>
      <c r="F345" s="1780"/>
      <c r="G345" s="12"/>
    </row>
    <row r="346" spans="1:7">
      <c r="A346" s="325"/>
      <c r="B346" s="325"/>
      <c r="C346" s="325"/>
      <c r="D346" s="1780"/>
      <c r="E346" s="1780"/>
      <c r="F346" s="1780"/>
      <c r="G346" s="12"/>
    </row>
    <row r="347" spans="1:7">
      <c r="A347" s="325"/>
      <c r="B347" s="325"/>
      <c r="C347" s="325"/>
      <c r="D347" s="1780"/>
      <c r="E347" s="1780"/>
      <c r="F347" s="1780"/>
      <c r="G347" s="12"/>
    </row>
    <row r="348" spans="1:7" s="711" customFormat="1">
      <c r="A348" s="325"/>
      <c r="B348" s="325"/>
      <c r="C348" s="325"/>
      <c r="D348" s="1780"/>
      <c r="E348" s="1780"/>
      <c r="F348" s="1780"/>
    </row>
    <row r="349" spans="1:7" s="711" customFormat="1">
      <c r="A349" s="325"/>
      <c r="B349" s="325"/>
      <c r="C349" s="325"/>
      <c r="D349" s="1780"/>
      <c r="E349" s="1780"/>
      <c r="F349" s="1780"/>
    </row>
    <row r="350" spans="1:7" s="711" customFormat="1">
      <c r="A350" s="325"/>
      <c r="B350" s="325"/>
      <c r="C350" s="325"/>
      <c r="D350" s="1780"/>
      <c r="E350" s="1780"/>
      <c r="F350" s="1780"/>
    </row>
    <row r="351" spans="1:7" s="711" customFormat="1">
      <c r="A351" s="325"/>
      <c r="B351" s="325"/>
      <c r="C351" s="325"/>
      <c r="D351" s="1780"/>
      <c r="E351" s="1780"/>
      <c r="F351" s="1780"/>
    </row>
    <row r="352" spans="1:7" s="711" customFormat="1">
      <c r="A352" s="325"/>
      <c r="B352" s="325"/>
      <c r="C352" s="325"/>
      <c r="D352" s="1780"/>
      <c r="E352" s="1780"/>
      <c r="F352" s="1780"/>
    </row>
    <row r="353" spans="1:7">
      <c r="A353" s="325"/>
      <c r="B353" s="325"/>
      <c r="C353" s="325"/>
      <c r="D353" s="1780"/>
      <c r="E353" s="1780"/>
      <c r="F353" s="1780"/>
      <c r="G353" s="12"/>
    </row>
    <row r="354" spans="1:7">
      <c r="A354" s="325"/>
      <c r="B354" s="325"/>
      <c r="C354" s="325"/>
      <c r="D354" s="1780"/>
      <c r="E354" s="1780"/>
      <c r="F354" s="1780"/>
      <c r="G354" s="12"/>
    </row>
    <row r="355" spans="1:7">
      <c r="A355" s="325"/>
      <c r="B355" s="325"/>
      <c r="C355" s="325"/>
      <c r="D355" s="1780"/>
      <c r="E355" s="1780"/>
      <c r="F355" s="1780"/>
      <c r="G355" s="12"/>
    </row>
    <row r="356" spans="1:7">
      <c r="A356" s="325"/>
      <c r="B356" s="325"/>
      <c r="C356" s="325"/>
      <c r="D356" s="1780"/>
      <c r="E356" s="1780"/>
      <c r="F356" s="1780"/>
      <c r="G356" s="12"/>
    </row>
    <row r="357" spans="1:7">
      <c r="A357" s="325"/>
      <c r="B357" s="325"/>
      <c r="C357" s="500"/>
      <c r="D357" s="1780"/>
      <c r="E357" s="1780"/>
      <c r="F357" s="1780"/>
      <c r="G357" s="12"/>
    </row>
    <row r="358" spans="1:7">
      <c r="A358" s="325"/>
      <c r="B358" s="325"/>
      <c r="C358" s="500"/>
      <c r="D358" s="1780"/>
      <c r="E358" s="1780"/>
      <c r="F358" s="1780"/>
      <c r="G358" s="12"/>
    </row>
    <row r="359" spans="1:7">
      <c r="A359" s="325"/>
      <c r="B359" s="325"/>
      <c r="C359" s="325"/>
      <c r="D359" s="1780"/>
      <c r="E359" s="1780"/>
      <c r="F359" s="1780"/>
      <c r="G359" s="12"/>
    </row>
    <row r="360" spans="1:7">
      <c r="A360" s="325"/>
      <c r="B360" s="325"/>
      <c r="C360" s="500"/>
      <c r="D360" s="1780"/>
      <c r="E360" s="1780"/>
      <c r="F360" s="1780"/>
      <c r="G360" s="12"/>
    </row>
    <row r="361" spans="1:7">
      <c r="A361" s="325"/>
      <c r="B361" s="325"/>
      <c r="C361" s="500"/>
      <c r="D361" s="1780"/>
      <c r="E361" s="1780"/>
      <c r="F361" s="1780"/>
      <c r="G361" s="12"/>
    </row>
    <row r="362" spans="1:7">
      <c r="A362" s="325"/>
      <c r="B362" s="325"/>
      <c r="C362" s="500"/>
      <c r="D362" s="1780"/>
      <c r="E362" s="1780"/>
      <c r="F362" s="1780"/>
      <c r="G362" s="12"/>
    </row>
    <row r="363" spans="1:7">
      <c r="A363" s="325"/>
      <c r="B363" s="325"/>
      <c r="C363" s="325"/>
      <c r="D363" s="498"/>
      <c r="E363" s="464"/>
      <c r="F363" s="135"/>
      <c r="G363" s="12"/>
    </row>
    <row r="364" spans="1:7">
      <c r="A364" s="325"/>
      <c r="B364" s="671" t="s">
        <v>312</v>
      </c>
      <c r="C364" s="325"/>
      <c r="D364" s="1780" t="s">
        <v>1282</v>
      </c>
      <c r="E364" s="1780"/>
      <c r="F364" s="1780"/>
      <c r="G364" s="12"/>
    </row>
    <row r="365" spans="1:7">
      <c r="A365" s="325"/>
      <c r="B365" s="325"/>
      <c r="C365" s="325"/>
      <c r="D365" s="1780"/>
      <c r="E365" s="1780"/>
      <c r="F365" s="1780"/>
      <c r="G365" s="12"/>
    </row>
    <row r="366" spans="1:7">
      <c r="A366" s="325"/>
      <c r="B366" s="325"/>
      <c r="C366" s="325"/>
      <c r="D366" s="464"/>
      <c r="E366" s="464"/>
      <c r="F366" s="135"/>
      <c r="G366" s="12"/>
    </row>
    <row r="367" spans="1:7" ht="14.4">
      <c r="A367" s="261"/>
      <c r="B367" s="671" t="s">
        <v>312</v>
      </c>
      <c r="C367" s="325"/>
      <c r="D367" s="1768" t="s">
        <v>1283</v>
      </c>
      <c r="E367" s="1768"/>
      <c r="F367" s="1768"/>
      <c r="G367" s="12"/>
    </row>
    <row r="368" spans="1:7" ht="14.4">
      <c r="A368" s="499"/>
      <c r="B368" s="499"/>
      <c r="C368" s="325"/>
      <c r="D368" s="1768"/>
      <c r="E368" s="1768"/>
      <c r="F368" s="1768"/>
      <c r="G368" s="12"/>
    </row>
    <row r="369" spans="1:7" ht="14.4">
      <c r="A369" s="499"/>
      <c r="B369" s="499"/>
      <c r="C369" s="325"/>
      <c r="D369" s="1768"/>
      <c r="E369" s="1768"/>
      <c r="F369" s="1768"/>
      <c r="G369" s="12"/>
    </row>
    <row r="370" spans="1:7" ht="14.4">
      <c r="A370" s="499"/>
      <c r="B370" s="499"/>
      <c r="C370" s="325"/>
      <c r="D370" s="1768"/>
      <c r="E370" s="1768"/>
      <c r="F370" s="1768"/>
      <c r="G370" s="12"/>
    </row>
    <row r="371" spans="1:7" ht="14.4">
      <c r="A371" s="499"/>
      <c r="B371" s="499"/>
      <c r="C371" s="325"/>
      <c r="D371" s="1768"/>
      <c r="E371" s="1768"/>
      <c r="F371" s="1768"/>
      <c r="G371" s="12"/>
    </row>
    <row r="372" spans="1:7">
      <c r="D372" s="135"/>
      <c r="E372" s="135"/>
      <c r="F372" s="135"/>
      <c r="G372" s="12"/>
    </row>
    <row r="373" spans="1:7" ht="14.4">
      <c r="A373" s="261"/>
      <c r="B373" s="671" t="s">
        <v>312</v>
      </c>
      <c r="C373" s="266"/>
      <c r="D373" s="1711" t="s">
        <v>1284</v>
      </c>
      <c r="E373" s="1711"/>
      <c r="F373" s="1711"/>
      <c r="G373" s="12"/>
    </row>
    <row r="374" spans="1:7" ht="14.4">
      <c r="A374" s="261"/>
      <c r="B374" s="261"/>
      <c r="D374" s="1711"/>
      <c r="E374" s="1711"/>
      <c r="F374" s="1711"/>
      <c r="G374" s="12"/>
    </row>
    <row r="375" spans="1:7">
      <c r="D375" s="1711"/>
      <c r="E375" s="1711"/>
      <c r="F375" s="1711"/>
      <c r="G375" s="12"/>
    </row>
    <row r="376" spans="1:7">
      <c r="D376" s="1711"/>
      <c r="E376" s="1711"/>
      <c r="F376" s="1711"/>
      <c r="G376" s="12"/>
    </row>
    <row r="377" spans="1:7">
      <c r="D377" s="1711"/>
      <c r="E377" s="1711"/>
      <c r="F377" s="1711"/>
      <c r="G377" s="12"/>
    </row>
    <row r="378" spans="1:7">
      <c r="D378" s="1711"/>
      <c r="E378" s="1711"/>
      <c r="F378" s="1711"/>
      <c r="G378" s="12"/>
    </row>
    <row r="379" spans="1:7">
      <c r="D379" s="1711"/>
      <c r="E379" s="1711"/>
      <c r="F379" s="1711"/>
      <c r="G379" s="12"/>
    </row>
    <row r="380" spans="1:7">
      <c r="D380" s="1711"/>
      <c r="E380" s="1711"/>
      <c r="F380" s="1711"/>
      <c r="G380" s="12"/>
    </row>
    <row r="381" spans="1:7">
      <c r="D381" s="1711"/>
      <c r="E381" s="1711"/>
      <c r="F381" s="1711"/>
      <c r="G381" s="12"/>
    </row>
    <row r="382" spans="1:7">
      <c r="D382" s="1711"/>
      <c r="E382" s="1711"/>
      <c r="F382" s="1711"/>
      <c r="G382" s="12"/>
    </row>
    <row r="383" spans="1:7">
      <c r="D383" s="1711"/>
      <c r="E383" s="1711"/>
      <c r="F383" s="1711"/>
      <c r="G383" s="12"/>
    </row>
    <row r="384" spans="1:7">
      <c r="D384" s="1711"/>
      <c r="E384" s="1711"/>
      <c r="F384" s="1711"/>
      <c r="G384" s="12"/>
    </row>
    <row r="385" spans="1:7">
      <c r="D385" s="1711"/>
      <c r="E385" s="1711"/>
      <c r="F385" s="1711"/>
      <c r="G385" s="12"/>
    </row>
    <row r="386" spans="1:7">
      <c r="A386" s="12"/>
      <c r="B386" s="12"/>
      <c r="C386" s="12"/>
      <c r="D386" s="1711"/>
      <c r="E386" s="1711"/>
      <c r="F386" s="1711"/>
      <c r="G386" s="12"/>
    </row>
    <row r="387" spans="1:7">
      <c r="A387" s="12"/>
      <c r="B387" s="12"/>
      <c r="C387" s="12"/>
      <c r="D387" s="1711"/>
      <c r="E387" s="1711"/>
      <c r="F387" s="1711"/>
      <c r="G387" s="12"/>
    </row>
    <row r="388" spans="1:7">
      <c r="A388" s="12"/>
      <c r="B388" s="12"/>
      <c r="C388" s="12"/>
      <c r="D388" s="1711"/>
      <c r="E388" s="1711"/>
      <c r="F388" s="1711"/>
      <c r="G388" s="12"/>
    </row>
    <row r="389" spans="1:7">
      <c r="A389" s="12"/>
      <c r="B389" s="12"/>
      <c r="C389" s="12"/>
      <c r="D389" s="1711"/>
      <c r="E389" s="1711"/>
      <c r="F389" s="1711"/>
      <c r="G389" s="12"/>
    </row>
    <row r="390" spans="1:7">
      <c r="A390" s="12"/>
      <c r="B390" s="12"/>
      <c r="C390" s="12"/>
      <c r="D390" s="1711"/>
      <c r="E390" s="1711"/>
      <c r="F390" s="1711"/>
      <c r="G390" s="12"/>
    </row>
    <row r="391" spans="1:7">
      <c r="A391" s="12"/>
      <c r="B391" s="12"/>
      <c r="C391" s="12"/>
      <c r="D391" s="1711"/>
      <c r="E391" s="1711"/>
      <c r="F391" s="1711"/>
      <c r="G391" s="12"/>
    </row>
    <row r="392" spans="1:7">
      <c r="A392" s="12"/>
      <c r="B392" s="12"/>
      <c r="C392" s="12"/>
      <c r="D392" s="1711"/>
      <c r="E392" s="1711"/>
      <c r="F392" s="1711"/>
      <c r="G392" s="12"/>
    </row>
    <row r="393" spans="1:7">
      <c r="A393" s="12"/>
      <c r="B393" s="12"/>
      <c r="C393" s="12"/>
      <c r="D393" s="1711"/>
      <c r="E393" s="1711"/>
      <c r="F393" s="1711"/>
      <c r="G393" s="12"/>
    </row>
    <row r="394" spans="1:7">
      <c r="A394" s="12"/>
      <c r="B394" s="12"/>
      <c r="C394" s="12"/>
      <c r="D394" s="1711"/>
      <c r="E394" s="1711"/>
      <c r="F394" s="1711"/>
      <c r="G394" s="12"/>
    </row>
    <row r="395" spans="1:7">
      <c r="A395" s="12"/>
      <c r="B395" s="12"/>
      <c r="C395" s="12"/>
      <c r="D395" s="1711"/>
      <c r="E395" s="1711"/>
      <c r="F395" s="1711"/>
      <c r="G395" s="12"/>
    </row>
    <row r="396" spans="1:7">
      <c r="A396" s="12"/>
      <c r="B396" s="12"/>
      <c r="C396" s="12"/>
      <c r="D396" s="1711"/>
      <c r="E396" s="1711"/>
      <c r="F396" s="1711"/>
      <c r="G396" s="12"/>
    </row>
    <row r="397" spans="1:7">
      <c r="A397" s="12"/>
      <c r="B397" s="12"/>
      <c r="C397" s="12"/>
      <c r="D397" s="1711"/>
      <c r="E397" s="1711"/>
      <c r="F397" s="1711"/>
      <c r="G397" s="12"/>
    </row>
    <row r="398" spans="1:7">
      <c r="A398" s="12"/>
      <c r="B398" s="12"/>
      <c r="C398" s="12"/>
      <c r="D398" s="1711"/>
      <c r="E398" s="1711"/>
      <c r="F398" s="1711"/>
      <c r="G398" s="12"/>
    </row>
    <row r="399" spans="1:7">
      <c r="A399" s="12"/>
      <c r="B399" s="12"/>
      <c r="C399" s="12"/>
      <c r="D399" s="1711"/>
      <c r="E399" s="1711"/>
      <c r="F399" s="1711"/>
      <c r="G399" s="12"/>
    </row>
    <row r="400" spans="1:7">
      <c r="A400" s="12"/>
      <c r="B400" s="12"/>
      <c r="C400" s="12"/>
      <c r="D400" s="1711"/>
      <c r="E400" s="1711"/>
      <c r="F400" s="1711"/>
      <c r="G400" s="12"/>
    </row>
    <row r="401" spans="1:7">
      <c r="A401" s="12"/>
      <c r="B401" s="12"/>
      <c r="C401" s="12"/>
      <c r="D401" s="1711"/>
      <c r="E401" s="1711"/>
      <c r="F401" s="1711"/>
      <c r="G401" s="12"/>
    </row>
    <row r="402" spans="1:7" s="32" customFormat="1">
      <c r="A402" s="132"/>
      <c r="B402" s="668"/>
      <c r="C402" s="132"/>
      <c r="D402" s="1711"/>
      <c r="E402" s="1711"/>
      <c r="F402" s="1711"/>
      <c r="G402" s="30"/>
    </row>
    <row r="403" spans="1:7" s="32" customFormat="1" ht="40.65" customHeight="1">
      <c r="A403" s="132"/>
      <c r="B403" s="668"/>
      <c r="C403" s="132"/>
      <c r="D403" s="1711"/>
      <c r="E403" s="1711"/>
      <c r="F403" s="1711"/>
      <c r="G403" s="30"/>
    </row>
    <row r="404" spans="1:7" s="32" customFormat="1">
      <c r="A404" s="132"/>
      <c r="B404" s="668"/>
      <c r="C404" s="132"/>
      <c r="D404" s="135"/>
      <c r="E404" s="135"/>
      <c r="F404" s="135"/>
      <c r="G404" s="30"/>
    </row>
    <row r="405" spans="1:7" ht="14.4">
      <c r="A405" s="261"/>
      <c r="B405" s="671" t="s">
        <v>312</v>
      </c>
      <c r="C405" s="266"/>
      <c r="D405" s="1736" t="s">
        <v>1285</v>
      </c>
      <c r="E405" s="1736"/>
      <c r="F405" s="1736"/>
    </row>
    <row r="406" spans="1:7">
      <c r="D406" s="1781" t="s">
        <v>1054</v>
      </c>
      <c r="E406" s="1781"/>
      <c r="F406" s="1781"/>
    </row>
    <row r="407" spans="1:7">
      <c r="D407" s="1732" t="s">
        <v>1286</v>
      </c>
      <c r="E407" s="1732"/>
      <c r="F407" s="1732"/>
    </row>
    <row r="408" spans="1:7">
      <c r="D408" s="1732"/>
      <c r="E408" s="1732"/>
      <c r="F408" s="1732"/>
    </row>
    <row r="409" spans="1:7">
      <c r="D409" s="1732"/>
      <c r="E409" s="1732"/>
      <c r="F409" s="1732"/>
    </row>
    <row r="410" spans="1:7">
      <c r="D410" s="1732"/>
      <c r="E410" s="1732"/>
      <c r="F410" s="1732"/>
    </row>
    <row r="411" spans="1:7">
      <c r="D411" s="135"/>
      <c r="E411" s="135"/>
      <c r="F411" s="135"/>
      <c r="G411" s="12"/>
    </row>
    <row r="412" spans="1:7" ht="14.4">
      <c r="A412" s="261"/>
      <c r="B412" s="671" t="s">
        <v>312</v>
      </c>
      <c r="C412" s="266"/>
      <c r="D412" s="1711" t="s">
        <v>1287</v>
      </c>
      <c r="E412" s="1711"/>
      <c r="F412" s="1711"/>
      <c r="G412" s="12"/>
    </row>
    <row r="413" spans="1:7">
      <c r="D413" s="1711"/>
      <c r="E413" s="1711"/>
      <c r="F413" s="1711"/>
      <c r="G413" s="12"/>
    </row>
    <row r="414" spans="1:7">
      <c r="D414" s="1711"/>
      <c r="E414" s="1711"/>
      <c r="F414" s="1711"/>
      <c r="G414" s="12"/>
    </row>
    <row r="415" spans="1:7" s="711" customFormat="1">
      <c r="A415" s="723"/>
      <c r="B415" s="723"/>
      <c r="C415" s="723"/>
      <c r="D415" s="720"/>
      <c r="E415" s="720"/>
      <c r="F415" s="720"/>
    </row>
    <row r="416" spans="1:7" ht="14.4">
      <c r="B416" s="671" t="s">
        <v>312</v>
      </c>
      <c r="C416" s="261"/>
      <c r="D416" s="1732" t="s">
        <v>1288</v>
      </c>
      <c r="E416" s="1732"/>
      <c r="F416" s="1732"/>
      <c r="G416" s="12"/>
    </row>
    <row r="417" spans="1:7">
      <c r="D417" s="1732"/>
      <c r="E417" s="1732"/>
      <c r="F417" s="1732"/>
      <c r="G417" s="12"/>
    </row>
    <row r="418" spans="1:7">
      <c r="D418" s="135"/>
      <c r="E418" s="135"/>
      <c r="F418" s="135"/>
      <c r="G418" s="12"/>
    </row>
    <row r="419" spans="1:7" ht="14.4">
      <c r="B419" s="671" t="s">
        <v>312</v>
      </c>
      <c r="C419" s="261"/>
      <c r="D419" s="1732" t="s">
        <v>1289</v>
      </c>
      <c r="E419" s="1732"/>
      <c r="F419" s="1732"/>
      <c r="G419" s="12"/>
    </row>
    <row r="420" spans="1:7">
      <c r="D420" s="1732"/>
      <c r="E420" s="1732"/>
      <c r="F420" s="1732"/>
      <c r="G420" s="12"/>
    </row>
    <row r="421" spans="1:7">
      <c r="D421" s="1732"/>
      <c r="E421" s="1732"/>
      <c r="F421" s="1732"/>
      <c r="G421" s="12"/>
    </row>
    <row r="422" spans="1:7">
      <c r="D422" s="1732"/>
      <c r="E422" s="1732"/>
      <c r="F422" s="1732"/>
      <c r="G422" s="12"/>
    </row>
    <row r="423" spans="1:7">
      <c r="B423" s="671" t="s">
        <v>312</v>
      </c>
      <c r="D423" s="1732"/>
      <c r="E423" s="1732"/>
      <c r="F423" s="1732"/>
      <c r="G423" s="12"/>
    </row>
    <row r="424" spans="1:7">
      <c r="A424" s="12"/>
      <c r="B424" s="12"/>
      <c r="C424" s="12"/>
      <c r="D424" s="1732"/>
      <c r="E424" s="1732"/>
      <c r="F424" s="1732"/>
      <c r="G424" s="12"/>
    </row>
    <row r="425" spans="1:7">
      <c r="A425" s="12"/>
      <c r="C425" s="12"/>
      <c r="D425" s="1732"/>
      <c r="E425" s="1732"/>
      <c r="F425" s="1732"/>
      <c r="G425" s="12"/>
    </row>
    <row r="426" spans="1:7">
      <c r="A426" s="12"/>
      <c r="B426" s="671" t="s">
        <v>312</v>
      </c>
      <c r="C426" s="12"/>
      <c r="D426" s="1732"/>
      <c r="E426" s="1732"/>
      <c r="F426" s="1732"/>
      <c r="G426" s="12"/>
    </row>
    <row r="427" spans="1:7">
      <c r="A427" s="12"/>
      <c r="B427" s="12"/>
      <c r="C427" s="12"/>
      <c r="D427" s="1732"/>
      <c r="E427" s="1732"/>
      <c r="F427" s="1732"/>
      <c r="G427" s="12"/>
    </row>
    <row r="428" spans="1:7">
      <c r="A428" s="12"/>
      <c r="C428" s="12"/>
      <c r="D428" s="1732"/>
      <c r="E428" s="1732"/>
      <c r="F428" s="1732"/>
      <c r="G428" s="12"/>
    </row>
    <row r="429" spans="1:7">
      <c r="A429" s="12"/>
      <c r="C429" s="12"/>
      <c r="D429" s="1732"/>
      <c r="E429" s="1732"/>
      <c r="F429" s="1732"/>
      <c r="G429" s="12"/>
    </row>
    <row r="430" spans="1:7">
      <c r="A430" s="12"/>
      <c r="B430" s="671" t="s">
        <v>312</v>
      </c>
      <c r="C430" s="12"/>
      <c r="D430" s="1732"/>
      <c r="E430" s="1732"/>
      <c r="F430" s="1732"/>
      <c r="G430" s="12"/>
    </row>
    <row r="431" spans="1:7">
      <c r="A431" s="12"/>
      <c r="B431" s="12"/>
      <c r="C431" s="12"/>
      <c r="D431" s="1732"/>
      <c r="E431" s="1732"/>
      <c r="F431" s="1732"/>
      <c r="G431" s="12"/>
    </row>
    <row r="432" spans="1:7">
      <c r="A432" s="12"/>
      <c r="B432" s="671" t="s">
        <v>312</v>
      </c>
      <c r="C432" s="12"/>
      <c r="D432" s="1732"/>
      <c r="E432" s="1732"/>
      <c r="F432" s="1732"/>
      <c r="G432" s="12"/>
    </row>
    <row r="433" spans="1:7" s="711" customFormat="1">
      <c r="D433" s="721"/>
      <c r="E433" s="721"/>
      <c r="F433" s="721"/>
    </row>
    <row r="434" spans="1:7">
      <c r="A434" s="12"/>
      <c r="B434" s="710" t="s">
        <v>312</v>
      </c>
      <c r="C434" s="12"/>
      <c r="D434" s="1732" t="s">
        <v>1290</v>
      </c>
      <c r="E434" s="1732"/>
      <c r="F434" s="1732"/>
      <c r="G434" s="12"/>
    </row>
    <row r="435" spans="1:7">
      <c r="A435" s="12"/>
      <c r="B435" s="12"/>
      <c r="C435" s="12"/>
      <c r="D435" s="1732"/>
      <c r="E435" s="1732"/>
      <c r="F435" s="1732"/>
      <c r="G435" s="12"/>
    </row>
    <row r="436" spans="1:7">
      <c r="A436" s="12"/>
      <c r="B436" s="12"/>
      <c r="C436" s="12"/>
      <c r="D436" s="1732"/>
      <c r="E436" s="1732"/>
      <c r="F436" s="1732"/>
      <c r="G436" s="12"/>
    </row>
    <row r="437" spans="1:7">
      <c r="A437" s="12"/>
      <c r="B437" s="12"/>
      <c r="C437" s="12"/>
      <c r="D437" s="1732"/>
      <c r="E437" s="1732"/>
      <c r="F437" s="1732"/>
      <c r="G437" s="12"/>
    </row>
    <row r="438" spans="1:7">
      <c r="D438" s="1732"/>
      <c r="E438" s="1732"/>
      <c r="F438" s="1732"/>
    </row>
    <row r="439" spans="1:7">
      <c r="D439" s="135"/>
      <c r="E439" s="135"/>
      <c r="F439" s="135"/>
    </row>
    <row r="440" spans="1:7">
      <c r="B440" s="671" t="s">
        <v>312</v>
      </c>
      <c r="D440" s="1743" t="s">
        <v>1291</v>
      </c>
      <c r="E440" s="1743"/>
      <c r="F440" s="1743"/>
    </row>
    <row r="441" spans="1:7">
      <c r="A441" s="135"/>
      <c r="B441" s="135"/>
    </row>
    <row r="442" spans="1:7">
      <c r="A442" s="1737" t="s">
        <v>1132</v>
      </c>
      <c r="B442" s="1737"/>
      <c r="C442" s="1737"/>
      <c r="D442" s="1737"/>
      <c r="E442" s="1737"/>
      <c r="F442" s="1737"/>
      <c r="G442" s="1737"/>
    </row>
    <row r="443" spans="1:7">
      <c r="A443" s="135"/>
      <c r="B443" s="135"/>
    </row>
    <row r="444" spans="1:7">
      <c r="D444" s="1788" t="s">
        <v>928</v>
      </c>
      <c r="E444" s="1788"/>
      <c r="F444" s="1788"/>
    </row>
    <row r="445" spans="1:7" s="39" customFormat="1" ht="14.4">
      <c r="A445" s="400"/>
      <c r="B445" s="400"/>
      <c r="C445" s="273"/>
      <c r="D445" s="1789" t="s">
        <v>1292</v>
      </c>
      <c r="E445" s="1789"/>
      <c r="F445" s="1789"/>
      <c r="G445" s="130"/>
    </row>
    <row r="446" spans="1:7" s="39" customFormat="1" ht="14.4">
      <c r="A446" s="400"/>
      <c r="B446" s="400"/>
      <c r="C446" s="273"/>
      <c r="D446" s="724"/>
      <c r="E446" s="6"/>
      <c r="F446" s="6"/>
      <c r="G446" s="130"/>
    </row>
    <row r="447" spans="1:7" s="39" customFormat="1" ht="14.4">
      <c r="A447" s="261"/>
      <c r="B447" s="671" t="s">
        <v>312</v>
      </c>
      <c r="C447" s="273"/>
      <c r="D447" s="1790" t="s">
        <v>1293</v>
      </c>
      <c r="E447" s="1790"/>
      <c r="F447" s="1790"/>
      <c r="G447" s="130"/>
    </row>
    <row r="448" spans="1:7" s="39" customFormat="1" ht="14.4">
      <c r="A448" s="261"/>
      <c r="B448" s="261"/>
      <c r="C448" s="273"/>
      <c r="D448" s="1790"/>
      <c r="E448" s="1790"/>
      <c r="F448" s="1790"/>
      <c r="G448" s="130"/>
    </row>
    <row r="449" spans="1:7" s="39" customFormat="1" ht="14.4">
      <c r="A449" s="261"/>
      <c r="B449" s="261"/>
      <c r="C449" s="273"/>
      <c r="D449" s="722"/>
      <c r="E449" s="6"/>
      <c r="F449" s="6"/>
      <c r="G449" s="130"/>
    </row>
    <row r="450" spans="1:7">
      <c r="B450" s="671" t="s">
        <v>312</v>
      </c>
      <c r="D450" s="1760" t="s">
        <v>1294</v>
      </c>
      <c r="E450" s="1760"/>
      <c r="F450" s="1760"/>
    </row>
    <row r="451" spans="1:7" ht="14.4">
      <c r="A451" s="261"/>
      <c r="D451" s="1760"/>
      <c r="E451" s="1760"/>
      <c r="F451" s="1760"/>
    </row>
    <row r="452" spans="1:7" ht="14.4">
      <c r="A452" s="261"/>
      <c r="B452" s="261"/>
      <c r="D452" s="1760"/>
      <c r="E452" s="1760"/>
      <c r="F452" s="1760"/>
    </row>
    <row r="453" spans="1:7" ht="14.4">
      <c r="A453" s="261"/>
      <c r="B453" s="261"/>
      <c r="D453" s="1760"/>
      <c r="E453" s="1760"/>
      <c r="F453" s="1760"/>
    </row>
    <row r="454" spans="1:7">
      <c r="D454" s="670"/>
      <c r="E454" s="670"/>
      <c r="F454" s="670"/>
      <c r="G454" s="12"/>
    </row>
    <row r="455" spans="1:7" ht="14.4">
      <c r="A455" s="261"/>
      <c r="B455" s="671" t="s">
        <v>312</v>
      </c>
      <c r="D455" s="1713" t="s">
        <v>1295</v>
      </c>
      <c r="E455" s="1713"/>
      <c r="F455" s="1713"/>
      <c r="G455" s="12"/>
    </row>
    <row r="456" spans="1:7" ht="14.4">
      <c r="A456" s="261"/>
      <c r="B456" s="261"/>
      <c r="D456" s="1713"/>
      <c r="E456" s="1713"/>
      <c r="F456" s="1713"/>
      <c r="G456" s="12"/>
    </row>
    <row r="457" spans="1:7" ht="14.4">
      <c r="A457" s="261"/>
      <c r="D457" s="1713"/>
      <c r="E457" s="1713"/>
      <c r="F457" s="1713"/>
      <c r="G457" s="12"/>
    </row>
    <row r="458" spans="1:7" ht="14.4">
      <c r="A458" s="261"/>
      <c r="B458" s="261"/>
      <c r="D458" s="670"/>
      <c r="E458" s="670"/>
      <c r="F458" s="670"/>
      <c r="G458" s="12"/>
    </row>
    <row r="459" spans="1:7" ht="14.4">
      <c r="A459" s="261"/>
      <c r="B459" s="710" t="s">
        <v>312</v>
      </c>
      <c r="D459" s="1736" t="s">
        <v>1296</v>
      </c>
      <c r="E459" s="1736"/>
      <c r="F459" s="1736"/>
      <c r="G459" s="12"/>
    </row>
    <row r="460" spans="1:7" ht="14.4">
      <c r="A460" s="261"/>
      <c r="B460" s="261"/>
      <c r="D460" s="722"/>
      <c r="E460" s="6"/>
      <c r="F460" s="6"/>
      <c r="G460" s="12"/>
    </row>
    <row r="461" spans="1:7" ht="14.4">
      <c r="A461" s="261"/>
      <c r="B461" s="671" t="s">
        <v>312</v>
      </c>
      <c r="D461" s="1711" t="s">
        <v>1297</v>
      </c>
      <c r="E461" s="1711"/>
      <c r="F461" s="1711"/>
      <c r="G461" s="12"/>
    </row>
    <row r="462" spans="1:7" ht="14.4">
      <c r="A462" s="261"/>
      <c r="D462" s="1711"/>
      <c r="E462" s="1711"/>
      <c r="F462" s="1711"/>
      <c r="G462" s="12"/>
    </row>
    <row r="463" spans="1:7">
      <c r="A463" s="23"/>
      <c r="B463" s="667"/>
      <c r="D463" s="725"/>
      <c r="E463" s="6"/>
      <c r="F463" s="6"/>
      <c r="G463" s="12"/>
    </row>
    <row r="464" spans="1:7">
      <c r="A464" s="23"/>
      <c r="B464" s="710" t="s">
        <v>312</v>
      </c>
      <c r="D464" s="1736" t="s">
        <v>1298</v>
      </c>
      <c r="E464" s="1736"/>
      <c r="F464" s="1736"/>
      <c r="G464" s="12"/>
    </row>
    <row r="465" spans="1:7" ht="14.4">
      <c r="A465" s="261"/>
      <c r="B465" s="261"/>
      <c r="D465" s="135"/>
    </row>
    <row r="466" spans="1:7">
      <c r="A466" s="1737" t="s">
        <v>1133</v>
      </c>
      <c r="B466" s="1737"/>
      <c r="C466" s="1737"/>
      <c r="D466" s="1737"/>
      <c r="E466" s="1737"/>
      <c r="F466" s="1737"/>
      <c r="G466" s="1737"/>
    </row>
    <row r="467" spans="1:7" customFormat="1" ht="12" customHeight="1">
      <c r="A467" s="261"/>
      <c r="B467" s="261"/>
      <c r="C467" s="10"/>
      <c r="D467" s="151"/>
      <c r="E467" s="149"/>
      <c r="F467" s="149"/>
      <c r="G467" s="149"/>
    </row>
    <row r="468" spans="1:7" customFormat="1">
      <c r="A468" s="273"/>
      <c r="B468" s="273"/>
      <c r="C468" s="312"/>
      <c r="D468" s="1791" t="s">
        <v>832</v>
      </c>
      <c r="E468" s="1791"/>
      <c r="F468" s="1791"/>
      <c r="G468" s="182"/>
    </row>
    <row r="469" spans="1:7" customFormat="1" ht="13.2" customHeight="1">
      <c r="A469" s="260"/>
      <c r="B469" s="260"/>
      <c r="C469" s="313"/>
      <c r="D469" s="1792" t="s">
        <v>1176</v>
      </c>
      <c r="E469" s="1792"/>
      <c r="F469" s="1792"/>
      <c r="G469" s="149"/>
    </row>
    <row r="470" spans="1:7" customFormat="1">
      <c r="A470" s="260"/>
      <c r="B470" s="260"/>
      <c r="C470" s="313"/>
      <c r="D470" s="1792"/>
      <c r="E470" s="1792"/>
      <c r="F470" s="1792"/>
      <c r="G470" s="149"/>
    </row>
    <row r="471" spans="1:7" customFormat="1">
      <c r="A471" s="260"/>
      <c r="B471" s="260"/>
      <c r="C471" s="313"/>
      <c r="D471" s="1792"/>
      <c r="E471" s="1792"/>
      <c r="F471" s="1792"/>
      <c r="G471" s="149"/>
    </row>
    <row r="472" spans="1:7" customFormat="1">
      <c r="A472" s="260"/>
      <c r="B472" s="260"/>
      <c r="C472" s="313"/>
      <c r="D472" s="1792"/>
      <c r="E472" s="1792"/>
      <c r="F472" s="1792"/>
      <c r="G472" s="149"/>
    </row>
    <row r="473" spans="1:7" customFormat="1">
      <c r="A473" s="260"/>
      <c r="B473" s="260"/>
      <c r="C473" s="313"/>
      <c r="D473" s="1792"/>
      <c r="E473" s="1792"/>
      <c r="F473" s="1792"/>
      <c r="G473" s="149"/>
    </row>
    <row r="474" spans="1:7" customFormat="1">
      <c r="A474" s="260"/>
      <c r="B474" s="260"/>
      <c r="C474" s="313"/>
      <c r="D474" s="468"/>
      <c r="E474" s="149"/>
      <c r="F474" s="151"/>
      <c r="G474" s="149"/>
    </row>
    <row r="475" spans="1:7" customFormat="1" ht="14.4" customHeight="1">
      <c r="A475" s="261"/>
      <c r="B475" s="671" t="s">
        <v>312</v>
      </c>
      <c r="C475" s="313"/>
      <c r="D475" s="1758" t="s">
        <v>1167</v>
      </c>
      <c r="E475" s="1758"/>
      <c r="F475" s="1758"/>
      <c r="G475" s="149"/>
    </row>
    <row r="476" spans="1:7" customFormat="1">
      <c r="A476" s="260"/>
      <c r="B476" s="260"/>
      <c r="C476" s="313"/>
      <c r="D476" s="1758"/>
      <c r="E476" s="1758"/>
      <c r="F476" s="1758"/>
      <c r="G476" s="149"/>
    </row>
    <row r="477" spans="1:7" s="672" customFormat="1">
      <c r="A477" s="260"/>
      <c r="B477" s="260"/>
      <c r="C477" s="313"/>
      <c r="D477" s="1758"/>
      <c r="E477" s="1758"/>
      <c r="F477" s="1758"/>
      <c r="G477" s="149"/>
    </row>
    <row r="478" spans="1:7" s="672" customFormat="1">
      <c r="A478" s="260"/>
      <c r="B478" s="260"/>
      <c r="C478" s="313"/>
      <c r="D478" s="1758"/>
      <c r="E478" s="1758"/>
      <c r="F478" s="1758"/>
      <c r="G478" s="149"/>
    </row>
    <row r="479" spans="1:7" customFormat="1">
      <c r="A479" s="260"/>
      <c r="B479" s="260"/>
      <c r="C479" s="313"/>
      <c r="D479" s="1758"/>
      <c r="E479" s="1758"/>
      <c r="F479" s="1758"/>
      <c r="G479" s="149"/>
    </row>
    <row r="480" spans="1:7" customFormat="1">
      <c r="A480" s="260"/>
      <c r="B480" s="260"/>
      <c r="C480" s="313"/>
      <c r="D480" s="440"/>
      <c r="E480" s="149"/>
      <c r="F480" s="151"/>
      <c r="G480" s="149"/>
    </row>
    <row r="481" spans="1:7" customFormat="1" ht="14.4" customHeight="1">
      <c r="A481" s="261"/>
      <c r="B481" s="671" t="s">
        <v>312</v>
      </c>
      <c r="C481" s="313"/>
      <c r="D481" s="1758" t="s">
        <v>1170</v>
      </c>
      <c r="E481" s="1758"/>
      <c r="F481" s="1758"/>
      <c r="G481" s="149"/>
    </row>
    <row r="482" spans="1:7" customFormat="1">
      <c r="A482" s="260"/>
      <c r="B482" s="260"/>
      <c r="C482" s="313"/>
      <c r="D482" s="1758"/>
      <c r="E482" s="1758"/>
      <c r="F482" s="1758"/>
      <c r="G482" s="149"/>
    </row>
    <row r="483" spans="1:7" s="672" customFormat="1">
      <c r="A483" s="260"/>
      <c r="B483" s="260"/>
      <c r="C483" s="313"/>
      <c r="D483" s="1758"/>
      <c r="E483" s="1758"/>
      <c r="F483" s="1758"/>
      <c r="G483" s="149"/>
    </row>
    <row r="484" spans="1:7" customFormat="1">
      <c r="A484" s="260"/>
      <c r="B484" s="260"/>
      <c r="C484" s="313"/>
      <c r="D484" s="1758"/>
      <c r="E484" s="1758"/>
      <c r="F484" s="1758"/>
      <c r="G484" s="149"/>
    </row>
    <row r="485" spans="1:7" customFormat="1" ht="9.9" customHeight="1">
      <c r="A485" s="260"/>
      <c r="B485" s="260"/>
      <c r="C485" s="313"/>
      <c r="D485" s="440"/>
      <c r="E485" s="149"/>
      <c r="F485" s="151"/>
      <c r="G485" s="149"/>
    </row>
    <row r="486" spans="1:7" customFormat="1" ht="14.4" customHeight="1">
      <c r="A486" s="261"/>
      <c r="B486" s="671" t="s">
        <v>312</v>
      </c>
      <c r="C486" s="313"/>
      <c r="D486" s="1758" t="s">
        <v>1168</v>
      </c>
      <c r="E486" s="1758"/>
      <c r="F486" s="1758"/>
      <c r="G486" s="149"/>
    </row>
    <row r="487" spans="1:7" customFormat="1">
      <c r="A487" s="260"/>
      <c r="B487" s="260"/>
      <c r="C487" s="313"/>
      <c r="D487" s="1758"/>
      <c r="E487" s="1758"/>
      <c r="F487" s="1758"/>
      <c r="G487" s="149"/>
    </row>
    <row r="488" spans="1:7" customFormat="1">
      <c r="A488" s="260"/>
      <c r="B488" s="260"/>
      <c r="C488" s="313"/>
      <c r="D488" s="1758"/>
      <c r="E488" s="1758"/>
      <c r="F488" s="1758"/>
      <c r="G488" s="149"/>
    </row>
    <row r="489" spans="1:7" s="672" customFormat="1">
      <c r="A489" s="260"/>
      <c r="B489" s="260"/>
      <c r="C489" s="313"/>
      <c r="D489" s="692"/>
      <c r="E489" s="692"/>
      <c r="F489" s="692"/>
      <c r="G489" s="149"/>
    </row>
    <row r="490" spans="1:7" customFormat="1" ht="14.4" customHeight="1">
      <c r="A490" s="261"/>
      <c r="B490" s="671" t="s">
        <v>312</v>
      </c>
      <c r="C490" s="313"/>
      <c r="D490" s="1758" t="s">
        <v>1169</v>
      </c>
      <c r="E490" s="1758"/>
      <c r="F490" s="1758"/>
      <c r="G490" s="149"/>
    </row>
    <row r="491" spans="1:7" customFormat="1">
      <c r="A491" s="260"/>
      <c r="B491" s="260"/>
      <c r="C491" s="313"/>
      <c r="D491" s="1758"/>
      <c r="E491" s="1758"/>
      <c r="F491" s="1758"/>
      <c r="G491" s="149"/>
    </row>
    <row r="492" spans="1:7" customFormat="1">
      <c r="A492" s="260"/>
      <c r="B492" s="260"/>
      <c r="C492" s="313"/>
      <c r="D492" s="1758"/>
      <c r="E492" s="1758"/>
      <c r="F492" s="1758"/>
      <c r="G492" s="149"/>
    </row>
    <row r="493" spans="1:7" customFormat="1">
      <c r="A493" s="260"/>
      <c r="B493" s="260"/>
      <c r="C493" s="313"/>
      <c r="D493" s="1758"/>
      <c r="E493" s="1758"/>
      <c r="F493" s="1758"/>
      <c r="G493" s="149"/>
    </row>
    <row r="494" spans="1:7" customFormat="1">
      <c r="A494" s="260"/>
      <c r="B494" s="260"/>
      <c r="C494" s="313"/>
      <c r="D494" s="1758"/>
      <c r="E494" s="1758"/>
      <c r="F494" s="1758"/>
      <c r="G494" s="149"/>
    </row>
    <row r="495" spans="1:7" customFormat="1">
      <c r="A495" s="260"/>
      <c r="B495" s="260"/>
      <c r="C495" s="313"/>
      <c r="D495" s="1758"/>
      <c r="E495" s="1758"/>
      <c r="F495" s="1758"/>
      <c r="G495" s="149"/>
    </row>
    <row r="496" spans="1:7" customFormat="1">
      <c r="A496" s="260"/>
      <c r="B496" s="260"/>
      <c r="C496" s="313"/>
      <c r="D496" s="1758"/>
      <c r="E496" s="1758"/>
      <c r="F496" s="1758"/>
      <c r="G496" s="149"/>
    </row>
    <row r="497" spans="1:7" customFormat="1">
      <c r="A497" s="482"/>
      <c r="B497" s="482"/>
      <c r="C497" s="481"/>
      <c r="D497" s="1758"/>
      <c r="E497" s="1758"/>
      <c r="F497" s="1758"/>
      <c r="G497" s="149"/>
    </row>
    <row r="498" spans="1:7" customFormat="1">
      <c r="A498" s="482"/>
      <c r="B498" s="482"/>
      <c r="C498" s="481"/>
      <c r="D498" s="1758"/>
      <c r="E498" s="1758"/>
      <c r="F498" s="1758"/>
      <c r="G498" s="149"/>
    </row>
    <row r="499" spans="1:7" customFormat="1">
      <c r="A499" s="482"/>
      <c r="B499" s="482"/>
      <c r="C499" s="481"/>
      <c r="D499" s="440"/>
      <c r="E499" s="149"/>
      <c r="F499" s="151"/>
      <c r="G499" s="149"/>
    </row>
    <row r="500" spans="1:7" customFormat="1" ht="13.2" customHeight="1">
      <c r="A500" s="482"/>
      <c r="B500" s="671" t="s">
        <v>312</v>
      </c>
      <c r="C500" s="481"/>
      <c r="D500" s="1771" t="s">
        <v>1313</v>
      </c>
      <c r="E500" s="1771"/>
      <c r="F500" s="1771"/>
      <c r="G500" s="149"/>
    </row>
    <row r="501" spans="1:7" customFormat="1">
      <c r="A501" s="482"/>
      <c r="B501" s="482"/>
      <c r="C501" s="481"/>
      <c r="D501" s="1771"/>
      <c r="E501" s="1771"/>
      <c r="F501" s="1771"/>
      <c r="G501" s="149"/>
    </row>
    <row r="502" spans="1:7" customFormat="1">
      <c r="A502" s="482"/>
      <c r="B502" s="482"/>
      <c r="C502" s="481"/>
      <c r="D502" s="1771"/>
      <c r="E502" s="1771"/>
      <c r="F502" s="1771"/>
      <c r="G502" s="149"/>
    </row>
    <row r="503" spans="1:7" customFormat="1">
      <c r="A503" s="482"/>
      <c r="B503" s="482"/>
      <c r="C503" s="481"/>
      <c r="D503" s="1771"/>
      <c r="E503" s="1771"/>
      <c r="F503" s="1771"/>
      <c r="G503" s="149"/>
    </row>
    <row r="504" spans="1:7" customFormat="1">
      <c r="A504" s="260"/>
      <c r="B504" s="260"/>
      <c r="C504" s="313"/>
      <c r="D504" s="1771"/>
      <c r="E504" s="1771"/>
      <c r="F504" s="1771"/>
      <c r="G504" s="149"/>
    </row>
    <row r="505" spans="1:7" s="709" customFormat="1">
      <c r="A505" s="712"/>
      <c r="B505" s="712"/>
      <c r="C505" s="313"/>
      <c r="D505" s="733"/>
      <c r="E505" s="733"/>
      <c r="F505" s="733"/>
      <c r="G505" s="149"/>
    </row>
    <row r="506" spans="1:7" customFormat="1" ht="14.4" customHeight="1">
      <c r="A506" s="261"/>
      <c r="B506" s="671" t="s">
        <v>312</v>
      </c>
      <c r="C506" s="10"/>
      <c r="D506" s="1758" t="s">
        <v>1171</v>
      </c>
      <c r="E506" s="1758"/>
      <c r="F506" s="1758"/>
      <c r="G506" s="149"/>
    </row>
    <row r="507" spans="1:7" customFormat="1">
      <c r="A507" s="132"/>
      <c r="B507" s="668"/>
      <c r="C507" s="10"/>
      <c r="D507" s="1758"/>
      <c r="E507" s="1758"/>
      <c r="F507" s="1758"/>
      <c r="G507" s="149"/>
    </row>
    <row r="508" spans="1:7" customFormat="1">
      <c r="A508" s="132"/>
      <c r="B508" s="668"/>
      <c r="C508" s="10"/>
      <c r="D508" s="1758"/>
      <c r="E508" s="1758"/>
      <c r="F508" s="1758"/>
      <c r="G508" s="149"/>
    </row>
    <row r="509" spans="1:7" customFormat="1" ht="12" customHeight="1">
      <c r="A509" s="135"/>
      <c r="B509" s="135"/>
      <c r="C509" s="315"/>
      <c r="D509" s="135"/>
      <c r="E509" s="149"/>
      <c r="F509" s="314"/>
      <c r="G509" s="149"/>
    </row>
    <row r="510" spans="1:7">
      <c r="A510" s="1737" t="s">
        <v>1134</v>
      </c>
      <c r="B510" s="1737"/>
      <c r="C510" s="1737"/>
      <c r="D510" s="1737"/>
      <c r="E510" s="1737"/>
      <c r="F510" s="1737"/>
      <c r="G510" s="1737"/>
    </row>
    <row r="511" spans="1:7">
      <c r="A511" s="135"/>
      <c r="B511" s="135"/>
      <c r="C511" s="266"/>
      <c r="F511" s="134"/>
    </row>
    <row r="512" spans="1:7">
      <c r="B512" s="1733" t="s">
        <v>462</v>
      </c>
      <c r="C512" s="1733"/>
      <c r="D512" s="1733"/>
      <c r="E512" s="1733"/>
      <c r="F512" s="1733"/>
    </row>
    <row r="513" spans="1:7">
      <c r="A513" s="135"/>
      <c r="B513" s="135"/>
      <c r="C513" s="266"/>
      <c r="D513" s="135"/>
      <c r="F513" s="135"/>
    </row>
    <row r="514" spans="1:7">
      <c r="A514" s="1738" t="s">
        <v>1135</v>
      </c>
      <c r="B514" s="1738"/>
      <c r="C514" s="1738"/>
      <c r="D514" s="1738"/>
      <c r="E514" s="1738"/>
      <c r="F514" s="1738"/>
      <c r="G514" s="1738"/>
    </row>
    <row r="515" spans="1:7">
      <c r="A515" s="135"/>
      <c r="B515" s="135"/>
      <c r="C515" s="266"/>
      <c r="D515" s="135"/>
      <c r="F515" s="135"/>
    </row>
    <row r="516" spans="1:7">
      <c r="C516" s="266"/>
      <c r="D516" s="1735" t="s">
        <v>707</v>
      </c>
      <c r="E516" s="1735"/>
      <c r="F516" s="1735"/>
    </row>
    <row r="517" spans="1:7" s="674" customFormat="1">
      <c r="A517" s="691"/>
      <c r="B517" s="691"/>
      <c r="C517" s="266"/>
      <c r="D517" s="1736" t="s">
        <v>1192</v>
      </c>
      <c r="E517" s="1736"/>
      <c r="F517" s="1736"/>
      <c r="G517" s="7"/>
    </row>
    <row r="518" spans="1:7" s="674" customFormat="1">
      <c r="A518" s="691"/>
      <c r="B518" s="691"/>
      <c r="C518" s="266"/>
      <c r="D518" s="696"/>
      <c r="E518" s="696"/>
      <c r="F518" s="696"/>
      <c r="G518" s="7"/>
    </row>
    <row r="519" spans="1:7" ht="13.2" customHeight="1">
      <c r="A519" s="261"/>
      <c r="B519" s="671" t="s">
        <v>312</v>
      </c>
      <c r="C519" s="266"/>
      <c r="D519" s="1736" t="s">
        <v>929</v>
      </c>
      <c r="E519" s="1736"/>
      <c r="F519" s="1736"/>
      <c r="G519" s="12"/>
    </row>
    <row r="520" spans="1:7" ht="13.2" customHeight="1">
      <c r="A520" s="266"/>
      <c r="B520" s="266"/>
      <c r="C520" s="266"/>
      <c r="D520" s="696"/>
      <c r="E520" s="669"/>
      <c r="F520" s="669"/>
      <c r="G520" s="12"/>
    </row>
    <row r="521" spans="1:7" ht="14.4">
      <c r="A521" s="261"/>
      <c r="B521" s="671" t="s">
        <v>312</v>
      </c>
      <c r="C521" s="266"/>
      <c r="D521" s="1711" t="s">
        <v>1193</v>
      </c>
      <c r="E521" s="1711"/>
      <c r="F521" s="1711"/>
      <c r="G521" s="12"/>
    </row>
    <row r="522" spans="1:7">
      <c r="A522" s="266"/>
      <c r="B522" s="266"/>
      <c r="C522" s="266"/>
      <c r="D522" s="1711"/>
      <c r="E522" s="1711"/>
      <c r="F522" s="1711"/>
      <c r="G522" s="12"/>
    </row>
    <row r="523" spans="1:7">
      <c r="A523" s="266"/>
      <c r="B523" s="266"/>
      <c r="C523" s="266"/>
      <c r="D523" s="135"/>
      <c r="E523" s="135"/>
      <c r="F523" s="135"/>
      <c r="G523" s="12"/>
    </row>
    <row r="524" spans="1:7" ht="14.4">
      <c r="A524" s="261"/>
      <c r="B524" s="671" t="s">
        <v>312</v>
      </c>
      <c r="C524" s="266"/>
      <c r="D524" s="1711" t="s">
        <v>1194</v>
      </c>
      <c r="E524" s="1711"/>
      <c r="F524" s="1711"/>
      <c r="G524" s="12"/>
    </row>
    <row r="525" spans="1:7">
      <c r="A525" s="266"/>
      <c r="B525" s="266"/>
      <c r="C525" s="266"/>
      <c r="D525" s="1711"/>
      <c r="E525" s="1711"/>
      <c r="F525" s="1711"/>
      <c r="G525" s="12"/>
    </row>
    <row r="526" spans="1:7">
      <c r="A526" s="266"/>
      <c r="B526" s="266"/>
      <c r="C526" s="266"/>
      <c r="D526" s="135"/>
      <c r="E526" s="135"/>
      <c r="F526" s="135"/>
      <c r="G526" s="12"/>
    </row>
    <row r="527" spans="1:7" ht="14.4">
      <c r="A527" s="261"/>
      <c r="B527" s="671" t="s">
        <v>312</v>
      </c>
      <c r="C527" s="266"/>
      <c r="D527" s="1711" t="s">
        <v>1195</v>
      </c>
      <c r="E527" s="1711"/>
      <c r="F527" s="1711"/>
      <c r="G527" s="12"/>
    </row>
    <row r="528" spans="1:7">
      <c r="A528" s="266"/>
      <c r="B528" s="266"/>
      <c r="C528" s="266"/>
      <c r="D528" s="1711"/>
      <c r="E528" s="1711"/>
      <c r="F528" s="1711"/>
      <c r="G528" s="12"/>
    </row>
    <row r="529" spans="1:7">
      <c r="A529" s="266"/>
      <c r="B529" s="266"/>
      <c r="C529" s="266"/>
      <c r="D529" s="135"/>
      <c r="E529" s="135"/>
      <c r="F529" s="135"/>
      <c r="G529" s="12"/>
    </row>
    <row r="530" spans="1:7" ht="14.4">
      <c r="A530" s="261"/>
      <c r="B530" s="671" t="s">
        <v>312</v>
      </c>
      <c r="C530" s="266"/>
      <c r="D530" s="1711" t="s">
        <v>1196</v>
      </c>
      <c r="E530" s="1711"/>
      <c r="F530" s="1711"/>
      <c r="G530" s="12"/>
    </row>
    <row r="531" spans="1:7">
      <c r="A531" s="266"/>
      <c r="B531" s="266"/>
      <c r="C531" s="266"/>
      <c r="D531" s="1711"/>
      <c r="E531" s="1711"/>
      <c r="F531" s="1711"/>
      <c r="G531" s="12"/>
    </row>
    <row r="532" spans="1:7">
      <c r="A532" s="266"/>
      <c r="B532" s="266"/>
      <c r="C532" s="266"/>
      <c r="D532" s="1711"/>
      <c r="E532" s="1711"/>
      <c r="F532" s="1711"/>
      <c r="G532" s="12"/>
    </row>
    <row r="533" spans="1:7">
      <c r="A533" s="266"/>
      <c r="B533" s="266"/>
      <c r="C533" s="266"/>
      <c r="D533" s="135"/>
      <c r="E533" s="135"/>
      <c r="F533" s="135"/>
    </row>
    <row r="534" spans="1:7" ht="14.4">
      <c r="A534" s="261"/>
      <c r="B534" s="671" t="s">
        <v>312</v>
      </c>
      <c r="C534" s="266"/>
      <c r="D534" s="1734" t="s">
        <v>1314</v>
      </c>
      <c r="E534" s="1734"/>
      <c r="F534" s="1734"/>
    </row>
    <row r="535" spans="1:7">
      <c r="A535" s="266"/>
      <c r="B535" s="266"/>
      <c r="C535" s="266"/>
      <c r="D535" s="1734"/>
      <c r="E535" s="1734"/>
      <c r="F535" s="1734"/>
    </row>
    <row r="536" spans="1:7">
      <c r="A536" s="266"/>
      <c r="B536" s="266"/>
      <c r="C536" s="266"/>
      <c r="D536" s="135"/>
      <c r="E536" s="135"/>
      <c r="F536" s="135"/>
    </row>
    <row r="537" spans="1:7" ht="14.4">
      <c r="A537" s="261"/>
      <c r="B537" s="671" t="s">
        <v>312</v>
      </c>
      <c r="C537" s="266"/>
      <c r="D537" s="1734" t="s">
        <v>1197</v>
      </c>
      <c r="E537" s="1734"/>
      <c r="F537" s="1734"/>
    </row>
    <row r="538" spans="1:7">
      <c r="A538" s="266"/>
      <c r="B538" s="266"/>
      <c r="C538" s="266"/>
      <c r="D538" s="1734"/>
      <c r="E538" s="1734"/>
      <c r="F538" s="1734"/>
    </row>
    <row r="539" spans="1:7">
      <c r="A539" s="266"/>
      <c r="B539" s="266"/>
      <c r="C539" s="266"/>
      <c r="D539" s="135"/>
      <c r="E539" s="135"/>
      <c r="F539" s="135"/>
    </row>
    <row r="540" spans="1:7" ht="14.4">
      <c r="A540" s="261"/>
      <c r="B540" s="671" t="s">
        <v>312</v>
      </c>
      <c r="C540" s="266"/>
      <c r="D540" s="1711" t="s">
        <v>1198</v>
      </c>
      <c r="E540" s="1711"/>
      <c r="F540" s="1711"/>
    </row>
    <row r="541" spans="1:7">
      <c r="A541" s="266"/>
      <c r="B541" s="266"/>
      <c r="C541" s="266"/>
      <c r="D541" s="1711"/>
      <c r="E541" s="1711"/>
      <c r="F541" s="1711"/>
      <c r="G541" s="57"/>
    </row>
    <row r="542" spans="1:7">
      <c r="A542" s="266"/>
      <c r="B542" s="266"/>
      <c r="C542" s="266"/>
      <c r="D542" s="135"/>
      <c r="E542" s="135"/>
      <c r="F542" s="135"/>
      <c r="G542" s="57"/>
    </row>
    <row r="543" spans="1:7" ht="14.4">
      <c r="A543" s="261"/>
      <c r="B543" s="671" t="s">
        <v>312</v>
      </c>
      <c r="C543" s="266"/>
      <c r="D543" s="1736" t="s">
        <v>1199</v>
      </c>
      <c r="E543" s="1736"/>
      <c r="F543" s="1736"/>
      <c r="G543" s="57"/>
    </row>
    <row r="544" spans="1:7">
      <c r="A544" s="23"/>
      <c r="B544" s="667"/>
      <c r="C544" s="266"/>
      <c r="D544" s="1736" t="s">
        <v>862</v>
      </c>
      <c r="E544" s="1736"/>
      <c r="F544" s="1736"/>
      <c r="G544" s="57"/>
    </row>
    <row r="545" spans="1:7">
      <c r="A545" s="23"/>
      <c r="B545" s="667"/>
      <c r="C545" s="266"/>
      <c r="D545" s="6"/>
      <c r="E545" s="1741" t="s">
        <v>1200</v>
      </c>
      <c r="F545" s="1741"/>
      <c r="G545" s="57"/>
    </row>
    <row r="546" spans="1:7" ht="14.4">
      <c r="A546" s="261"/>
      <c r="B546" s="261"/>
      <c r="C546" s="266"/>
      <c r="E546" s="135"/>
      <c r="F546" s="135"/>
      <c r="G546" s="57"/>
    </row>
    <row r="547" spans="1:7" ht="14.4">
      <c r="A547" s="261"/>
      <c r="B547" s="671" t="s">
        <v>312</v>
      </c>
      <c r="C547" s="266"/>
      <c r="D547" s="1742" t="s">
        <v>1201</v>
      </c>
      <c r="E547" s="1742"/>
      <c r="F547" s="1742"/>
      <c r="G547" s="57"/>
    </row>
    <row r="548" spans="1:7">
      <c r="C548" s="266"/>
      <c r="D548" s="1711" t="s">
        <v>1202</v>
      </c>
      <c r="E548" s="1711"/>
      <c r="F548" s="1711"/>
      <c r="G548" s="57"/>
    </row>
    <row r="549" spans="1:7">
      <c r="A549" s="266"/>
      <c r="B549" s="266"/>
      <c r="C549" s="266"/>
      <c r="D549" s="1711"/>
      <c r="E549" s="1711"/>
      <c r="F549" s="1711"/>
      <c r="G549" s="57"/>
    </row>
    <row r="550" spans="1:7">
      <c r="A550" s="266"/>
      <c r="B550" s="266"/>
      <c r="C550" s="266"/>
      <c r="D550" s="1711"/>
      <c r="E550" s="1711"/>
      <c r="F550" s="1711"/>
      <c r="G550" s="57"/>
    </row>
    <row r="551" spans="1:7">
      <c r="A551" s="266"/>
      <c r="B551" s="266"/>
      <c r="C551" s="266"/>
      <c r="D551" s="135"/>
      <c r="E551" s="135"/>
      <c r="F551" s="135"/>
      <c r="G551" s="57"/>
    </row>
    <row r="552" spans="1:7" ht="14.4">
      <c r="A552" s="261"/>
      <c r="B552" s="671" t="s">
        <v>312</v>
      </c>
      <c r="C552" s="266"/>
      <c r="D552" s="1711" t="s">
        <v>1203</v>
      </c>
      <c r="E552" s="1711"/>
      <c r="F552" s="1711"/>
      <c r="G552" s="57"/>
    </row>
    <row r="553" spans="1:7" ht="14.4">
      <c r="A553" s="261"/>
      <c r="B553" s="261"/>
      <c r="C553" s="266"/>
      <c r="D553" s="1711"/>
      <c r="E553" s="1711"/>
      <c r="F553" s="1711"/>
      <c r="G553" s="57"/>
    </row>
    <row r="554" spans="1:7" ht="14.4">
      <c r="A554" s="261"/>
      <c r="B554" s="261"/>
      <c r="C554" s="266"/>
      <c r="D554" s="1711"/>
      <c r="E554" s="1711"/>
      <c r="F554" s="1711"/>
      <c r="G554" s="57"/>
    </row>
    <row r="555" spans="1:7" ht="14.4">
      <c r="A555" s="261"/>
      <c r="B555" s="261"/>
      <c r="C555" s="266"/>
      <c r="D555" s="1711"/>
      <c r="E555" s="1711"/>
      <c r="F555" s="1711"/>
      <c r="G555" s="57"/>
    </row>
    <row r="556" spans="1:7" ht="14.4">
      <c r="A556" s="261"/>
      <c r="B556" s="261"/>
      <c r="C556" s="266"/>
      <c r="D556" s="135"/>
      <c r="E556" s="135"/>
      <c r="F556" s="135"/>
      <c r="G556" s="57"/>
    </row>
    <row r="557" spans="1:7">
      <c r="A557" s="1737" t="s">
        <v>1136</v>
      </c>
      <c r="B557" s="1737"/>
      <c r="C557" s="1737"/>
      <c r="D557" s="1737"/>
      <c r="E557" s="1737"/>
      <c r="F557" s="1737"/>
      <c r="G557" s="1737"/>
    </row>
    <row r="558" spans="1:7">
      <c r="A558" s="266"/>
      <c r="B558" s="266"/>
      <c r="C558" s="266"/>
      <c r="E558" s="135"/>
      <c r="F558" s="135"/>
      <c r="G558" s="57"/>
    </row>
    <row r="559" spans="1:7" ht="12.75" customHeight="1">
      <c r="C559" s="255"/>
      <c r="D559" s="1753" t="s">
        <v>215</v>
      </c>
      <c r="E559" s="1753"/>
      <c r="F559" s="1753"/>
      <c r="G559" s="57"/>
    </row>
    <row r="560" spans="1:7">
      <c r="A560" s="260"/>
      <c r="B560" s="260"/>
      <c r="C560" s="260"/>
      <c r="D560" s="1759" t="s">
        <v>1152</v>
      </c>
      <c r="E560" s="1759"/>
      <c r="F560" s="1759"/>
      <c r="G560" s="57"/>
    </row>
    <row r="561" spans="1:7">
      <c r="A561" s="12"/>
      <c r="B561" s="12"/>
      <c r="C561" s="260"/>
      <c r="D561" s="374"/>
      <c r="G561" s="57"/>
    </row>
    <row r="562" spans="1:7">
      <c r="A562" s="260"/>
      <c r="B562" s="671" t="s">
        <v>312</v>
      </c>
      <c r="D562" s="1759" t="s">
        <v>935</v>
      </c>
      <c r="E562" s="1759"/>
      <c r="F562" s="1759"/>
      <c r="G562" s="57"/>
    </row>
    <row r="563" spans="1:7">
      <c r="A563" s="23"/>
      <c r="B563" s="667"/>
      <c r="D563" s="325"/>
    </row>
    <row r="564" spans="1:7">
      <c r="A564" s="23"/>
      <c r="B564" s="671" t="s">
        <v>312</v>
      </c>
      <c r="D564" s="1760" t="s">
        <v>1153</v>
      </c>
      <c r="E564" s="1760"/>
      <c r="F564" s="1760"/>
    </row>
    <row r="565" spans="1:7">
      <c r="A565" s="23"/>
      <c r="B565" s="667"/>
      <c r="D565" s="1760"/>
      <c r="E565" s="1760"/>
      <c r="F565" s="1760"/>
    </row>
    <row r="566" spans="1:7">
      <c r="A566" s="23"/>
      <c r="B566" s="680"/>
      <c r="D566" s="1760"/>
      <c r="E566" s="1760"/>
      <c r="F566" s="1760"/>
    </row>
    <row r="567" spans="1:7">
      <c r="A567" s="23"/>
      <c r="B567" s="667"/>
      <c r="D567" s="473"/>
    </row>
    <row r="568" spans="1:7" s="674" customFormat="1">
      <c r="A568" s="680"/>
      <c r="B568" s="671" t="s">
        <v>312</v>
      </c>
      <c r="C568" s="681"/>
      <c r="D568" s="1760" t="s">
        <v>1154</v>
      </c>
      <c r="E568" s="1760"/>
      <c r="F568" s="1760"/>
      <c r="G568" s="7"/>
    </row>
    <row r="569" spans="1:7" s="674" customFormat="1">
      <c r="A569" s="680"/>
      <c r="B569" s="680"/>
      <c r="C569" s="681"/>
      <c r="D569" s="1760"/>
      <c r="E569" s="1760"/>
      <c r="F569" s="1760"/>
      <c r="G569" s="7"/>
    </row>
    <row r="570" spans="1:7" s="674" customFormat="1">
      <c r="A570" s="680"/>
      <c r="B570" s="680"/>
      <c r="C570" s="681"/>
      <c r="D570" s="1760"/>
      <c r="E570" s="1760"/>
      <c r="F570" s="1760"/>
      <c r="G570" s="7"/>
    </row>
    <row r="571" spans="1:7" s="674" customFormat="1">
      <c r="A571" s="680"/>
      <c r="B571" s="680"/>
      <c r="C571" s="681"/>
      <c r="D571" s="1760"/>
      <c r="E571" s="1760"/>
      <c r="F571" s="1760"/>
      <c r="G571" s="7"/>
    </row>
    <row r="572" spans="1:7" s="674" customFormat="1">
      <c r="A572" s="680"/>
      <c r="B572" s="680"/>
      <c r="C572" s="681"/>
      <c r="D572" s="686"/>
      <c r="E572" s="686"/>
      <c r="F572" s="686"/>
      <c r="G572" s="7"/>
    </row>
    <row r="573" spans="1:7">
      <c r="A573" s="23"/>
      <c r="B573" s="671" t="s">
        <v>312</v>
      </c>
      <c r="D573" s="1760" t="s">
        <v>1155</v>
      </c>
      <c r="E573" s="1760"/>
      <c r="F573" s="1760"/>
    </row>
    <row r="574" spans="1:7">
      <c r="A574" s="23"/>
      <c r="B574" s="667"/>
      <c r="D574" s="1760"/>
      <c r="E574" s="1760"/>
      <c r="F574" s="1760"/>
    </row>
    <row r="575" spans="1:7">
      <c r="A575" s="23"/>
      <c r="B575" s="667"/>
      <c r="D575" s="374"/>
    </row>
    <row r="576" spans="1:7" s="674" customFormat="1">
      <c r="A576" s="680"/>
      <c r="B576" s="671" t="s">
        <v>312</v>
      </c>
      <c r="C576" s="681"/>
      <c r="D576" s="1759" t="s">
        <v>1156</v>
      </c>
      <c r="E576" s="1759"/>
      <c r="F576" s="1759"/>
      <c r="G576" s="7"/>
    </row>
    <row r="577" spans="1:7" s="674" customFormat="1">
      <c r="A577" s="680"/>
      <c r="B577" s="680"/>
      <c r="C577" s="681"/>
      <c r="D577" s="1759"/>
      <c r="E577" s="1759"/>
      <c r="F577" s="1759"/>
      <c r="G577" s="7"/>
    </row>
    <row r="578" spans="1:7" s="674" customFormat="1">
      <c r="A578" s="680"/>
      <c r="B578" s="680"/>
      <c r="C578" s="681"/>
      <c r="D578" s="374"/>
      <c r="E578" s="7"/>
      <c r="F578" s="7"/>
      <c r="G578" s="7"/>
    </row>
    <row r="579" spans="1:7" ht="14.4">
      <c r="A579" s="261"/>
      <c r="B579" s="671" t="s">
        <v>312</v>
      </c>
      <c r="D579" s="1759" t="s">
        <v>930</v>
      </c>
      <c r="E579" s="1759"/>
      <c r="F579" s="1759"/>
    </row>
    <row r="580" spans="1:7" ht="14.4">
      <c r="A580" s="261"/>
      <c r="B580" s="261"/>
      <c r="D580" s="374"/>
    </row>
    <row r="581" spans="1:7" ht="14.4">
      <c r="A581" s="261"/>
      <c r="B581" s="671" t="s">
        <v>312</v>
      </c>
      <c r="D581" s="1759" t="s">
        <v>1157</v>
      </c>
      <c r="E581" s="1759"/>
      <c r="F581" s="1759"/>
    </row>
    <row r="582" spans="1:7" ht="14.4">
      <c r="A582" s="261"/>
      <c r="B582" s="261"/>
      <c r="D582" s="1759"/>
      <c r="E582" s="1759"/>
      <c r="F582" s="1759"/>
    </row>
    <row r="583" spans="1:7">
      <c r="D583" s="1759"/>
      <c r="E583" s="1759"/>
      <c r="F583" s="1759"/>
    </row>
    <row r="584" spans="1:7">
      <c r="D584" s="1759"/>
      <c r="E584" s="1759"/>
      <c r="F584" s="1759"/>
    </row>
    <row r="585" spans="1:7" s="674" customFormat="1">
      <c r="A585" s="681"/>
      <c r="B585" s="681"/>
      <c r="C585" s="681"/>
      <c r="D585" s="1759"/>
      <c r="E585" s="1759"/>
      <c r="F585" s="1759"/>
      <c r="G585" s="7"/>
    </row>
    <row r="586" spans="1:7" s="674" customFormat="1">
      <c r="A586" s="681"/>
      <c r="B586" s="681"/>
      <c r="C586" s="681"/>
      <c r="D586" s="1759"/>
      <c r="E586" s="1759"/>
      <c r="F586" s="1759"/>
      <c r="G586" s="7"/>
    </row>
    <row r="587" spans="1:7"/>
    <row r="588" spans="1:7">
      <c r="A588" s="1737" t="s">
        <v>1137</v>
      </c>
      <c r="B588" s="1737"/>
      <c r="C588" s="1737"/>
      <c r="D588" s="1737"/>
      <c r="E588" s="1737"/>
      <c r="F588" s="1737"/>
      <c r="G588" s="1737"/>
    </row>
    <row r="589" spans="1:7"/>
    <row r="590" spans="1:7">
      <c r="D590" s="1727" t="s">
        <v>1237</v>
      </c>
      <c r="E590" s="1727"/>
      <c r="F590" s="1727"/>
    </row>
    <row r="591" spans="1:7">
      <c r="D591" s="1728" t="s">
        <v>1238</v>
      </c>
      <c r="E591" s="1728"/>
      <c r="F591" s="1728"/>
    </row>
    <row r="592" spans="1:7" s="711" customFormat="1">
      <c r="A592" s="697"/>
      <c r="B592" s="697"/>
      <c r="C592" s="697"/>
      <c r="D592" s="715"/>
      <c r="E592" s="714"/>
      <c r="F592" s="714"/>
      <c r="G592" s="7"/>
    </row>
    <row r="593" spans="1:7" s="39" customFormat="1" ht="14.4">
      <c r="A593" s="400"/>
      <c r="B593" s="671" t="s">
        <v>312</v>
      </c>
      <c r="C593" s="273"/>
      <c r="D593" s="1729" t="s">
        <v>1239</v>
      </c>
      <c r="E593" s="1729"/>
      <c r="F593" s="1729"/>
      <c r="G593" s="130"/>
    </row>
    <row r="594" spans="1:7">
      <c r="D594" s="1729"/>
      <c r="E594" s="1729"/>
      <c r="F594" s="1729"/>
    </row>
    <row r="595" spans="1:7">
      <c r="D595" s="1729"/>
      <c r="E595" s="1729"/>
      <c r="F595" s="1729"/>
    </row>
    <row r="596" spans="1:7"/>
    <row r="597" spans="1:7">
      <c r="A597" s="1737" t="s">
        <v>1138</v>
      </c>
      <c r="B597" s="1737"/>
      <c r="C597" s="1737"/>
      <c r="D597" s="1737"/>
      <c r="E597" s="1737"/>
      <c r="F597" s="1737"/>
      <c r="G597" s="1737"/>
    </row>
    <row r="598" spans="1:7">
      <c r="A598" s="135"/>
      <c r="B598" s="135"/>
      <c r="G598" s="57"/>
    </row>
    <row r="599" spans="1:7">
      <c r="A599" s="257"/>
      <c r="B599" s="666"/>
      <c r="C599" s="255"/>
      <c r="D599" s="1730" t="s">
        <v>1240</v>
      </c>
      <c r="E599" s="1730"/>
      <c r="F599" s="1730"/>
      <c r="G599" s="57"/>
    </row>
    <row r="600" spans="1:7">
      <c r="A600" s="257"/>
      <c r="B600" s="666"/>
      <c r="C600" s="255"/>
      <c r="D600" s="1730"/>
      <c r="E600" s="1730"/>
      <c r="F600" s="1730"/>
      <c r="G600" s="57"/>
    </row>
    <row r="601" spans="1:7">
      <c r="C601" s="260"/>
      <c r="D601" s="1728" t="s">
        <v>1241</v>
      </c>
      <c r="E601" s="1728"/>
      <c r="F601" s="1728"/>
      <c r="G601" s="57"/>
    </row>
    <row r="602" spans="1:7" s="711" customFormat="1">
      <c r="A602" s="697"/>
      <c r="B602" s="697"/>
      <c r="C602" s="712"/>
      <c r="D602" s="716"/>
      <c r="E602" s="716"/>
      <c r="F602" s="716"/>
      <c r="G602" s="57"/>
    </row>
    <row r="603" spans="1:7">
      <c r="A603" s="23"/>
      <c r="B603" s="671" t="s">
        <v>312</v>
      </c>
      <c r="D603" s="1728" t="s">
        <v>447</v>
      </c>
      <c r="E603" s="1728"/>
      <c r="F603" s="1728"/>
      <c r="G603" s="57"/>
    </row>
    <row r="604" spans="1:7">
      <c r="C604" s="268"/>
      <c r="E604" s="12"/>
      <c r="G604" s="57"/>
    </row>
    <row r="605" spans="1:7">
      <c r="A605" s="23"/>
      <c r="B605" s="671" t="s">
        <v>312</v>
      </c>
      <c r="D605" s="1731" t="s">
        <v>1242</v>
      </c>
      <c r="E605" s="1731"/>
      <c r="F605" s="1731"/>
      <c r="G605" s="57"/>
    </row>
    <row r="606" spans="1:7">
      <c r="D606" s="1731"/>
      <c r="E606" s="1731"/>
      <c r="F606" s="1731"/>
      <c r="G606" s="57"/>
    </row>
    <row r="607" spans="1:7">
      <c r="D607" s="12"/>
      <c r="G607" s="57"/>
    </row>
    <row r="608" spans="1:7">
      <c r="B608" s="671" t="s">
        <v>312</v>
      </c>
      <c r="D608" s="1731" t="s">
        <v>1243</v>
      </c>
      <c r="E608" s="1731"/>
      <c r="F608" s="1731"/>
      <c r="G608" s="57"/>
    </row>
    <row r="609" spans="1:7">
      <c r="C609" s="268"/>
      <c r="D609" s="1731"/>
      <c r="E609" s="1731"/>
      <c r="F609" s="1731"/>
      <c r="G609" s="57"/>
    </row>
    <row r="610" spans="1:7">
      <c r="C610" s="268"/>
      <c r="G610" s="57"/>
    </row>
    <row r="611" spans="1:7">
      <c r="B611" s="671" t="s">
        <v>312</v>
      </c>
      <c r="C611" s="268"/>
      <c r="D611" s="1731" t="s">
        <v>1244</v>
      </c>
      <c r="E611" s="1731"/>
      <c r="F611" s="1731"/>
      <c r="G611" s="57"/>
    </row>
    <row r="612" spans="1:7">
      <c r="C612" s="268"/>
      <c r="D612" s="1731"/>
      <c r="E612" s="1731"/>
      <c r="F612" s="1731"/>
      <c r="G612" s="57"/>
    </row>
    <row r="613" spans="1:7">
      <c r="C613" s="268"/>
      <c r="G613" s="57"/>
    </row>
    <row r="614" spans="1:7">
      <c r="A614" s="1737" t="s">
        <v>1139</v>
      </c>
      <c r="B614" s="1737"/>
      <c r="C614" s="1737"/>
      <c r="D614" s="1737"/>
      <c r="E614" s="1737"/>
      <c r="F614" s="1737"/>
      <c r="G614" s="1737"/>
    </row>
    <row r="615" spans="1:7">
      <c r="A615" s="267"/>
      <c r="B615" s="267"/>
      <c r="C615" s="267"/>
      <c r="G615" s="57"/>
    </row>
    <row r="616" spans="1:7">
      <c r="C616" s="23"/>
      <c r="D616" s="1727" t="s">
        <v>1245</v>
      </c>
      <c r="E616" s="1727"/>
      <c r="F616" s="1727"/>
      <c r="G616" s="57"/>
    </row>
    <row r="617" spans="1:7">
      <c r="A617" s="23"/>
      <c r="B617" s="667"/>
      <c r="C617" s="265"/>
      <c r="D617" s="50"/>
      <c r="G617" s="57"/>
    </row>
    <row r="618" spans="1:7" ht="14.4">
      <c r="A618" s="261"/>
      <c r="B618" s="671" t="s">
        <v>312</v>
      </c>
      <c r="C618" s="265"/>
      <c r="D618" s="1772" t="s">
        <v>1246</v>
      </c>
      <c r="E618" s="1772"/>
      <c r="F618" s="1772"/>
      <c r="G618" s="57"/>
    </row>
    <row r="619" spans="1:7">
      <c r="C619" s="265"/>
      <c r="D619" s="1772"/>
      <c r="E619" s="1772"/>
      <c r="F619" s="1772"/>
      <c r="G619" s="57"/>
    </row>
    <row r="620" spans="1:7">
      <c r="C620" s="265"/>
      <c r="D620" s="1772"/>
      <c r="E620" s="1772"/>
      <c r="F620" s="1772"/>
      <c r="G620" s="57"/>
    </row>
    <row r="621" spans="1:7">
      <c r="C621" s="265"/>
      <c r="D621" s="1772"/>
      <c r="E621" s="1772"/>
      <c r="F621" s="1772"/>
      <c r="G621" s="57"/>
    </row>
    <row r="622" spans="1:7">
      <c r="C622" s="265"/>
      <c r="D622" s="1772"/>
      <c r="E622" s="1772"/>
      <c r="F622" s="1772"/>
      <c r="G622" s="57"/>
    </row>
    <row r="623" spans="1:7">
      <c r="C623" s="265"/>
      <c r="D623" s="1772"/>
      <c r="E623" s="1772"/>
      <c r="F623" s="1772"/>
      <c r="G623" s="57"/>
    </row>
    <row r="624" spans="1:7" s="711" customFormat="1">
      <c r="A624" s="697"/>
      <c r="B624" s="697"/>
      <c r="C624" s="265"/>
      <c r="D624" s="717"/>
      <c r="E624" s="717"/>
      <c r="F624" s="717"/>
      <c r="G624" s="57"/>
    </row>
    <row r="625" spans="1:7" ht="14.4">
      <c r="A625" s="261"/>
      <c r="B625" s="671" t="s">
        <v>312</v>
      </c>
      <c r="C625" s="265"/>
      <c r="D625" s="1772" t="s">
        <v>1247</v>
      </c>
      <c r="E625" s="1772"/>
      <c r="F625" s="1772"/>
      <c r="G625" s="57"/>
    </row>
    <row r="626" spans="1:7">
      <c r="A626" s="266"/>
      <c r="B626" s="266"/>
      <c r="C626" s="266"/>
      <c r="D626" s="1772"/>
      <c r="E626" s="1772"/>
      <c r="F626" s="1772"/>
      <c r="G626" s="57"/>
    </row>
    <row r="627" spans="1:7">
      <c r="A627" s="266"/>
      <c r="B627" s="266"/>
      <c r="C627" s="266"/>
      <c r="D627" s="151"/>
      <c r="E627" s="147"/>
      <c r="F627" s="147"/>
      <c r="G627" s="57"/>
    </row>
    <row r="628" spans="1:7" ht="14.4">
      <c r="A628" s="261"/>
      <c r="B628" s="671" t="s">
        <v>312</v>
      </c>
      <c r="C628" s="266"/>
      <c r="D628" s="1729" t="s">
        <v>1248</v>
      </c>
      <c r="E628" s="1729"/>
      <c r="F628" s="1729"/>
      <c r="G628" s="57"/>
    </row>
    <row r="629" spans="1:7" ht="14.4">
      <c r="A629" s="261"/>
      <c r="B629" s="261"/>
      <c r="C629" s="266"/>
      <c r="D629" s="1729"/>
      <c r="E629" s="1729"/>
      <c r="F629" s="1729"/>
      <c r="G629" s="57"/>
    </row>
    <row r="630" spans="1:7" ht="14.4">
      <c r="A630" s="261"/>
      <c r="B630" s="261"/>
      <c r="C630" s="266"/>
      <c r="D630" s="1729"/>
      <c r="E630" s="1729"/>
      <c r="F630" s="1729"/>
      <c r="G630" s="57"/>
    </row>
    <row r="631" spans="1:7">
      <c r="A631" s="266"/>
      <c r="B631" s="266"/>
      <c r="C631" s="266"/>
      <c r="D631" s="1729"/>
      <c r="E631" s="1729"/>
      <c r="F631" s="1729"/>
      <c r="G631" s="57"/>
    </row>
    <row r="632" spans="1:7" s="711" customFormat="1">
      <c r="A632" s="266"/>
      <c r="B632" s="266"/>
      <c r="C632" s="266"/>
      <c r="D632" s="718"/>
      <c r="E632" s="718"/>
      <c r="F632" s="718"/>
      <c r="G632" s="57"/>
    </row>
    <row r="633" spans="1:7">
      <c r="A633" s="266"/>
      <c r="B633" s="671" t="s">
        <v>312</v>
      </c>
      <c r="C633" s="266"/>
      <c r="D633" s="1777" t="s">
        <v>1249</v>
      </c>
      <c r="E633" s="1777"/>
      <c r="F633" s="1777"/>
      <c r="G633" s="57"/>
    </row>
    <row r="634" spans="1:7">
      <c r="A634" s="266"/>
      <c r="B634" s="266"/>
      <c r="C634" s="266"/>
      <c r="D634" s="719"/>
      <c r="E634" s="719"/>
      <c r="F634" s="719"/>
      <c r="G634" s="57"/>
    </row>
    <row r="635" spans="1:7">
      <c r="A635" s="1737" t="s">
        <v>1140</v>
      </c>
      <c r="B635" s="1737"/>
      <c r="C635" s="1737"/>
      <c r="D635" s="1737"/>
      <c r="E635" s="1737"/>
      <c r="F635" s="1737"/>
      <c r="G635" s="1737"/>
    </row>
    <row r="636" spans="1:7">
      <c r="A636" s="135"/>
      <c r="B636" s="135"/>
      <c r="C636" s="266"/>
      <c r="D636" s="147"/>
      <c r="E636" s="147"/>
      <c r="F636" s="147"/>
      <c r="G636" s="57"/>
    </row>
    <row r="637" spans="1:7">
      <c r="C637" s="267"/>
      <c r="D637" s="1778" t="s">
        <v>1299</v>
      </c>
      <c r="E637" s="1778"/>
      <c r="F637" s="1778"/>
      <c r="G637" s="57"/>
    </row>
    <row r="638" spans="1:7">
      <c r="A638" s="260"/>
      <c r="B638" s="260"/>
      <c r="C638" s="260"/>
      <c r="D638" s="1779" t="s">
        <v>1300</v>
      </c>
      <c r="E638" s="1779"/>
      <c r="F638" s="1779"/>
      <c r="G638" s="57"/>
    </row>
    <row r="639" spans="1:7" s="711" customFormat="1">
      <c r="A639" s="712"/>
      <c r="B639" s="712"/>
      <c r="C639" s="712"/>
      <c r="D639" s="726"/>
      <c r="E639" s="726"/>
      <c r="F639" s="726"/>
      <c r="G639" s="57"/>
    </row>
    <row r="640" spans="1:7" ht="14.4" customHeight="1">
      <c r="A640" s="261"/>
      <c r="B640" s="671" t="s">
        <v>312</v>
      </c>
      <c r="C640" s="266"/>
      <c r="D640" s="1725" t="s">
        <v>1301</v>
      </c>
      <c r="E640" s="1725"/>
      <c r="F640" s="1725"/>
      <c r="G640" s="57"/>
    </row>
    <row r="641" spans="1:11" ht="14.4">
      <c r="A641" s="261"/>
      <c r="B641" s="261"/>
      <c r="C641" s="266"/>
      <c r="D641" s="1725"/>
      <c r="E641" s="1725"/>
      <c r="F641" s="1725"/>
      <c r="G641" s="57"/>
    </row>
    <row r="642" spans="1:11" ht="14.4">
      <c r="A642" s="261"/>
      <c r="B642" s="261"/>
      <c r="C642" s="266"/>
      <c r="D642" s="1725"/>
      <c r="E642" s="1725"/>
      <c r="F642" s="1725"/>
      <c r="G642" s="57"/>
    </row>
    <row r="643" spans="1:11" ht="14.4">
      <c r="A643" s="261"/>
      <c r="B643" s="261"/>
      <c r="C643" s="266"/>
      <c r="D643" s="1725"/>
      <c r="E643" s="1725"/>
      <c r="F643" s="1725"/>
      <c r="G643" s="57"/>
    </row>
    <row r="644" spans="1:11" s="674" customFormat="1" ht="14.4">
      <c r="A644" s="261"/>
      <c r="B644" s="261"/>
      <c r="C644" s="266"/>
      <c r="D644" s="1725"/>
      <c r="E644" s="1725"/>
      <c r="F644" s="1725"/>
      <c r="G644" s="57"/>
    </row>
    <row r="645" spans="1:11" s="711" customFormat="1" ht="14.4">
      <c r="A645" s="706"/>
      <c r="B645" s="706"/>
      <c r="C645" s="266"/>
      <c r="D645" s="728"/>
      <c r="E645" s="728"/>
      <c r="F645" s="728"/>
      <c r="G645" s="57"/>
    </row>
    <row r="646" spans="1:11" s="674" customFormat="1" ht="14.4">
      <c r="A646" s="261"/>
      <c r="B646" s="671" t="s">
        <v>312</v>
      </c>
      <c r="C646" s="266"/>
      <c r="D646" s="1755" t="s">
        <v>1151</v>
      </c>
      <c r="E646" s="1755"/>
      <c r="F646" s="1755"/>
      <c r="G646" s="57"/>
    </row>
    <row r="647" spans="1:11" s="674" customFormat="1" ht="14.4">
      <c r="A647" s="261"/>
      <c r="B647" s="261"/>
      <c r="C647" s="266"/>
      <c r="D647" s="1756" t="s">
        <v>1302</v>
      </c>
      <c r="E647" s="1756"/>
      <c r="F647" s="1756"/>
      <c r="G647" s="57"/>
    </row>
    <row r="648" spans="1:11" s="674" customFormat="1" ht="14.4">
      <c r="A648" s="261"/>
      <c r="B648" s="261"/>
      <c r="C648" s="266"/>
      <c r="D648" s="1756"/>
      <c r="E648" s="1756"/>
      <c r="F648" s="1756"/>
      <c r="G648" s="57"/>
    </row>
    <row r="649" spans="1:11" s="674" customFormat="1" ht="14.4">
      <c r="A649" s="261"/>
      <c r="B649" s="261"/>
      <c r="C649" s="266"/>
      <c r="D649" s="1756"/>
      <c r="E649" s="1756"/>
      <c r="F649" s="1756"/>
      <c r="G649" s="57"/>
    </row>
    <row r="650" spans="1:11" s="674" customFormat="1" ht="14.4">
      <c r="A650" s="261"/>
      <c r="B650" s="261"/>
      <c r="C650" s="266"/>
      <c r="D650" s="1756"/>
      <c r="E650" s="1756"/>
      <c r="F650" s="1756"/>
      <c r="G650" s="57"/>
    </row>
    <row r="651" spans="1:11" s="674" customFormat="1" ht="14.4">
      <c r="A651" s="261"/>
      <c r="B651" s="261"/>
      <c r="C651" s="266"/>
      <c r="D651" s="1756"/>
      <c r="E651" s="1756"/>
      <c r="F651" s="1756"/>
      <c r="G651" s="57"/>
    </row>
    <row r="652" spans="1:11" s="674" customFormat="1" ht="14.4">
      <c r="A652" s="261"/>
      <c r="B652" s="261"/>
      <c r="C652" s="266"/>
      <c r="D652" s="1757" t="s">
        <v>1303</v>
      </c>
      <c r="E652" s="1757"/>
      <c r="F652" s="1757"/>
      <c r="G652" s="57"/>
    </row>
    <row r="653" spans="1:11">
      <c r="A653" s="266"/>
      <c r="B653" s="266"/>
      <c r="C653" s="266"/>
      <c r="D653" s="147"/>
      <c r="E653" s="147"/>
      <c r="F653" s="147"/>
      <c r="G653" s="57"/>
    </row>
    <row r="654" spans="1:11">
      <c r="A654" s="1737" t="s">
        <v>1141</v>
      </c>
      <c r="B654" s="1737"/>
      <c r="C654" s="1737"/>
      <c r="D654" s="1737"/>
      <c r="E654" s="1737"/>
      <c r="F654" s="1737"/>
      <c r="G654" s="1737"/>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35" t="s">
        <v>104</v>
      </c>
      <c r="E656" s="1735"/>
      <c r="F656" s="1735"/>
      <c r="G656" s="57"/>
      <c r="H656" s="269"/>
      <c r="I656" s="269"/>
      <c r="J656" s="269"/>
      <c r="K656" s="269"/>
    </row>
    <row r="657" spans="1:11">
      <c r="A657" s="267"/>
      <c r="B657" s="267"/>
      <c r="C657" s="267"/>
      <c r="D657" s="1735" t="s">
        <v>128</v>
      </c>
      <c r="E657" s="1735"/>
      <c r="F657" s="1735"/>
      <c r="G657" s="57"/>
      <c r="H657" s="269"/>
      <c r="I657" s="269"/>
      <c r="J657" s="269"/>
      <c r="K657" s="269"/>
    </row>
    <row r="658" spans="1:11">
      <c r="A658" s="260"/>
      <c r="B658" s="260"/>
      <c r="C658" s="260"/>
      <c r="D658" s="1736" t="s">
        <v>1177</v>
      </c>
      <c r="E658" s="1736"/>
      <c r="F658" s="1736"/>
      <c r="G658" s="57"/>
      <c r="H658" s="269"/>
      <c r="I658" s="269"/>
      <c r="J658" s="269"/>
      <c r="K658" s="269"/>
    </row>
    <row r="659" spans="1:11">
      <c r="A659" s="260"/>
      <c r="B659" s="260"/>
      <c r="C659" s="260"/>
      <c r="G659" s="57"/>
      <c r="H659" s="269"/>
      <c r="I659" s="269"/>
      <c r="J659" s="269"/>
      <c r="K659" s="269"/>
    </row>
    <row r="660" spans="1:11" ht="14.4">
      <c r="A660" s="261"/>
      <c r="B660" s="671" t="s">
        <v>312</v>
      </c>
      <c r="C660" s="260"/>
      <c r="D660" s="1736" t="s">
        <v>931</v>
      </c>
      <c r="E660" s="1736"/>
      <c r="F660" s="1736"/>
      <c r="G660" s="57"/>
      <c r="H660" s="269"/>
      <c r="I660" s="269"/>
      <c r="J660" s="269"/>
      <c r="K660" s="269"/>
    </row>
    <row r="661" spans="1:11">
      <c r="A661" s="260"/>
      <c r="B661" s="260"/>
      <c r="C661" s="260"/>
      <c r="D661" s="1736" t="s">
        <v>942</v>
      </c>
      <c r="E661" s="1736"/>
      <c r="F661" s="1736"/>
      <c r="G661" s="57"/>
      <c r="H661" s="269"/>
      <c r="I661" s="269"/>
      <c r="J661" s="269"/>
      <c r="K661" s="269"/>
    </row>
    <row r="662" spans="1:11">
      <c r="A662" s="260"/>
      <c r="B662" s="260"/>
      <c r="C662" s="260"/>
      <c r="D662" s="6"/>
      <c r="E662" s="1715" t="s">
        <v>1178</v>
      </c>
      <c r="F662" s="1715"/>
      <c r="G662" s="57"/>
      <c r="H662" s="269"/>
      <c r="I662" s="269"/>
      <c r="J662" s="269"/>
      <c r="K662" s="269"/>
    </row>
    <row r="663" spans="1:11">
      <c r="A663" s="260"/>
      <c r="B663" s="260"/>
      <c r="C663" s="260"/>
      <c r="D663" s="6"/>
      <c r="E663" s="1715"/>
      <c r="F663" s="1715"/>
      <c r="G663" s="57"/>
      <c r="H663" s="269"/>
      <c r="I663" s="269"/>
      <c r="J663" s="269"/>
      <c r="K663" s="269"/>
    </row>
    <row r="664" spans="1:11">
      <c r="A664" s="260"/>
      <c r="B664" s="260"/>
      <c r="C664" s="260"/>
      <c r="D664" s="270"/>
      <c r="E664" s="135"/>
      <c r="G664" s="57"/>
      <c r="H664" s="269"/>
      <c r="I664" s="269"/>
      <c r="J664" s="269"/>
      <c r="K664" s="269"/>
    </row>
    <row r="665" spans="1:11" ht="14.4">
      <c r="A665" s="261"/>
      <c r="B665" s="671" t="s">
        <v>312</v>
      </c>
      <c r="C665" s="260"/>
      <c r="D665" s="1711" t="s">
        <v>1179</v>
      </c>
      <c r="E665" s="1711"/>
      <c r="F665" s="1711"/>
      <c r="G665" s="57"/>
      <c r="H665" s="269"/>
      <c r="I665" s="269"/>
      <c r="J665" s="269"/>
      <c r="K665" s="269"/>
    </row>
    <row r="666" spans="1:11">
      <c r="A666" s="23"/>
      <c r="B666" s="667"/>
      <c r="C666" s="260"/>
      <c r="D666" s="1711"/>
      <c r="E666" s="1711"/>
      <c r="F666" s="1711"/>
      <c r="G666" s="57"/>
      <c r="H666" s="269"/>
      <c r="I666" s="269"/>
      <c r="J666" s="269"/>
      <c r="K666" s="269"/>
    </row>
    <row r="667" spans="1:11">
      <c r="A667" s="260"/>
      <c r="B667" s="260"/>
      <c r="C667" s="260"/>
      <c r="D667" s="1711"/>
      <c r="E667" s="1711"/>
      <c r="F667" s="1711"/>
      <c r="G667" s="57"/>
      <c r="H667" s="269"/>
      <c r="I667" s="269"/>
      <c r="J667" s="269"/>
      <c r="K667" s="269"/>
    </row>
    <row r="668" spans="1:11">
      <c r="A668" s="260"/>
      <c r="B668" s="260"/>
      <c r="C668" s="260"/>
      <c r="G668" s="57"/>
      <c r="H668" s="269"/>
      <c r="I668" s="269"/>
      <c r="J668" s="269"/>
      <c r="K668" s="269"/>
    </row>
    <row r="669" spans="1:11" ht="14.4">
      <c r="A669" s="261"/>
      <c r="B669" s="671" t="s">
        <v>312</v>
      </c>
      <c r="C669" s="260"/>
      <c r="D669" s="1736" t="s">
        <v>970</v>
      </c>
      <c r="E669" s="1736"/>
      <c r="F669" s="1736"/>
      <c r="G669" s="57"/>
      <c r="H669" s="269"/>
      <c r="I669" s="269"/>
      <c r="J669" s="269"/>
      <c r="K669" s="269"/>
    </row>
    <row r="670" spans="1:11" ht="14.4">
      <c r="A670" s="261"/>
      <c r="B670" s="261"/>
      <c r="C670" s="260"/>
      <c r="D670" s="1736" t="s">
        <v>942</v>
      </c>
      <c r="E670" s="1736"/>
      <c r="F670" s="1736"/>
      <c r="G670" s="57"/>
      <c r="H670" s="269"/>
      <c r="I670" s="269"/>
      <c r="J670" s="269"/>
      <c r="K670" s="269"/>
    </row>
    <row r="671" spans="1:11">
      <c r="A671" s="260"/>
      <c r="B671" s="260"/>
      <c r="C671" s="260"/>
      <c r="D671" s="6"/>
      <c r="E671" s="1741" t="s">
        <v>1180</v>
      </c>
      <c r="F671" s="1741"/>
      <c r="G671" s="57"/>
      <c r="H671" s="269"/>
      <c r="I671" s="269"/>
      <c r="J671" s="269"/>
      <c r="K671" s="269"/>
    </row>
    <row r="672" spans="1:11">
      <c r="A672" s="260"/>
      <c r="B672" s="260"/>
      <c r="C672" s="260"/>
      <c r="D672" s="50"/>
      <c r="G672" s="57"/>
      <c r="H672" s="269"/>
      <c r="I672" s="269"/>
      <c r="J672" s="269"/>
      <c r="K672" s="269"/>
    </row>
    <row r="673" spans="1:11" ht="14.4">
      <c r="A673" s="261"/>
      <c r="B673" s="671" t="s">
        <v>312</v>
      </c>
      <c r="C673" s="260"/>
      <c r="D673" s="1734" t="s">
        <v>1190</v>
      </c>
      <c r="E673" s="1734"/>
      <c r="F673" s="1734"/>
      <c r="G673" s="57"/>
      <c r="H673" s="269"/>
      <c r="I673" s="269"/>
      <c r="J673" s="269"/>
      <c r="K673" s="269"/>
    </row>
    <row r="674" spans="1:11">
      <c r="A674" s="260"/>
      <c r="B674" s="260"/>
      <c r="C674" s="260"/>
      <c r="D674" s="1734"/>
      <c r="E674" s="1734"/>
      <c r="F674" s="1734"/>
      <c r="G674" s="57"/>
      <c r="H674" s="269"/>
      <c r="I674" s="269"/>
      <c r="J674" s="269"/>
      <c r="K674" s="269"/>
    </row>
    <row r="675" spans="1:11">
      <c r="A675" s="260"/>
      <c r="B675" s="260"/>
      <c r="C675" s="260"/>
      <c r="D675" s="1734"/>
      <c r="E675" s="1734"/>
      <c r="F675" s="1734"/>
      <c r="G675" s="57"/>
      <c r="H675" s="269"/>
      <c r="I675" s="269"/>
      <c r="J675" s="269"/>
      <c r="K675" s="269"/>
    </row>
    <row r="676" spans="1:11">
      <c r="A676" s="260"/>
      <c r="B676" s="260"/>
      <c r="C676" s="260"/>
      <c r="D676" s="1734"/>
      <c r="E676" s="1734"/>
      <c r="F676" s="1734"/>
      <c r="G676" s="57"/>
      <c r="H676" s="269"/>
      <c r="I676" s="269"/>
      <c r="J676" s="269"/>
      <c r="K676" s="269"/>
    </row>
    <row r="677" spans="1:11">
      <c r="A677" s="260"/>
      <c r="B677" s="260"/>
      <c r="C677" s="260"/>
      <c r="D677" s="1734"/>
      <c r="E677" s="1734"/>
      <c r="F677" s="1734"/>
      <c r="G677" s="57"/>
      <c r="H677" s="269"/>
      <c r="I677" s="269"/>
      <c r="J677" s="269"/>
      <c r="K677" s="269"/>
    </row>
    <row r="678" spans="1:11" s="39" customFormat="1">
      <c r="A678" s="482"/>
      <c r="B678" s="482"/>
      <c r="C678" s="482"/>
      <c r="D678" s="1734"/>
      <c r="E678" s="1734"/>
      <c r="F678" s="1734"/>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312</v>
      </c>
      <c r="C680" s="260"/>
      <c r="D680" s="1734" t="s">
        <v>1181</v>
      </c>
      <c r="E680" s="1734"/>
      <c r="F680" s="1734"/>
      <c r="G680" s="57"/>
      <c r="H680" s="269"/>
      <c r="I680" s="269"/>
      <c r="J680" s="269"/>
      <c r="K680" s="269"/>
    </row>
    <row r="681" spans="1:11">
      <c r="A681" s="260"/>
      <c r="B681" s="260"/>
      <c r="C681" s="260"/>
      <c r="D681" s="1734"/>
      <c r="E681" s="1734"/>
      <c r="F681" s="1734"/>
      <c r="G681" s="57"/>
      <c r="H681" s="269"/>
      <c r="I681" s="269"/>
      <c r="J681" s="269"/>
      <c r="K681" s="269"/>
    </row>
    <row r="682" spans="1:11">
      <c r="A682" s="260"/>
      <c r="B682" s="260"/>
      <c r="C682" s="260"/>
      <c r="D682" s="1734"/>
      <c r="E682" s="1734"/>
      <c r="F682" s="1734"/>
      <c r="G682" s="57"/>
      <c r="H682" s="269"/>
      <c r="I682" s="269"/>
      <c r="J682" s="269"/>
      <c r="K682" s="269"/>
    </row>
    <row r="683" spans="1:11" ht="15" customHeight="1">
      <c r="A683" s="260"/>
      <c r="B683" s="260"/>
      <c r="C683" s="260"/>
      <c r="D683" s="1734"/>
      <c r="E683" s="1734"/>
      <c r="F683" s="1734"/>
      <c r="G683" s="57"/>
      <c r="H683" s="269"/>
      <c r="I683" s="269"/>
      <c r="J683" s="269"/>
      <c r="K683" s="269"/>
    </row>
    <row r="684" spans="1:11" ht="15" customHeight="1">
      <c r="A684" s="260"/>
      <c r="B684" s="260"/>
      <c r="C684" s="260"/>
      <c r="D684" s="1734"/>
      <c r="E684" s="1734"/>
      <c r="F684" s="1734"/>
      <c r="G684" s="57"/>
      <c r="H684" s="269"/>
      <c r="I684" s="269"/>
      <c r="J684" s="269"/>
      <c r="K684" s="269"/>
    </row>
    <row r="685" spans="1:11">
      <c r="A685" s="260"/>
      <c r="B685" s="260"/>
      <c r="C685" s="260"/>
      <c r="D685" s="1734"/>
      <c r="E685" s="1734"/>
      <c r="F685" s="1734"/>
      <c r="G685" s="57"/>
      <c r="H685" s="269"/>
      <c r="I685" s="269"/>
      <c r="J685" s="269"/>
      <c r="K685" s="269"/>
    </row>
    <row r="686" spans="1:11">
      <c r="A686" s="260"/>
      <c r="B686" s="260"/>
      <c r="C686" s="260"/>
      <c r="D686" s="1734"/>
      <c r="E686" s="1734"/>
      <c r="F686" s="1734"/>
      <c r="G686" s="57"/>
      <c r="H686" s="269"/>
      <c r="I686" s="269"/>
      <c r="J686" s="269"/>
      <c r="K686" s="269"/>
    </row>
    <row r="687" spans="1:11">
      <c r="A687" s="260"/>
      <c r="B687" s="260"/>
      <c r="C687" s="260"/>
      <c r="D687" s="1734"/>
      <c r="E687" s="1734"/>
      <c r="F687" s="1734"/>
      <c r="G687" s="57"/>
      <c r="H687" s="269"/>
      <c r="I687" s="269"/>
      <c r="J687" s="269"/>
      <c r="K687" s="269"/>
    </row>
    <row r="688" spans="1:11" ht="15" customHeight="1">
      <c r="A688" s="260"/>
      <c r="B688" s="260"/>
      <c r="C688" s="260"/>
      <c r="D688" s="1734"/>
      <c r="E688" s="1734"/>
      <c r="F688" s="1734"/>
      <c r="G688" s="57"/>
      <c r="H688" s="269"/>
      <c r="I688" s="269"/>
      <c r="J688" s="269"/>
      <c r="K688" s="269"/>
    </row>
    <row r="689" spans="1:11">
      <c r="A689" s="260"/>
      <c r="B689" s="260"/>
      <c r="C689" s="260"/>
      <c r="D689" s="1734"/>
      <c r="E689" s="1734"/>
      <c r="F689" s="1734"/>
      <c r="G689" s="57"/>
      <c r="H689" s="269"/>
      <c r="I689" s="269"/>
      <c r="J689" s="269"/>
      <c r="K689" s="269"/>
    </row>
    <row r="690" spans="1:11">
      <c r="A690" s="260"/>
      <c r="B690" s="260"/>
      <c r="C690" s="260"/>
      <c r="D690" s="1734"/>
      <c r="E690" s="1734"/>
      <c r="F690" s="1734"/>
      <c r="G690" s="57"/>
      <c r="H690" s="269"/>
      <c r="I690" s="269"/>
      <c r="J690" s="269"/>
      <c r="K690" s="269"/>
    </row>
    <row r="691" spans="1:11">
      <c r="A691" s="260"/>
      <c r="B691" s="260"/>
      <c r="C691" s="260"/>
      <c r="D691" s="1734"/>
      <c r="E691" s="1734"/>
      <c r="F691" s="1734"/>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312</v>
      </c>
      <c r="C693" s="260"/>
      <c r="D693" s="1734" t="s">
        <v>1191</v>
      </c>
      <c r="E693" s="1734"/>
      <c r="F693" s="1734"/>
      <c r="G693" s="57"/>
      <c r="H693" s="269"/>
      <c r="I693" s="269"/>
      <c r="J693" s="269"/>
      <c r="K693" s="269"/>
    </row>
    <row r="694" spans="1:11">
      <c r="A694" s="260"/>
      <c r="B694" s="260"/>
      <c r="C694" s="260"/>
      <c r="D694" s="1734"/>
      <c r="E694" s="1734"/>
      <c r="F694" s="1734"/>
      <c r="G694" s="57"/>
      <c r="H694" s="269"/>
      <c r="I694" s="269"/>
      <c r="J694" s="269"/>
      <c r="K694" s="269"/>
    </row>
    <row r="695" spans="1:11">
      <c r="A695" s="260"/>
      <c r="B695" s="260"/>
      <c r="C695" s="260"/>
      <c r="D695" s="1734"/>
      <c r="E695" s="1734"/>
      <c r="F695" s="1734"/>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734" t="s">
        <v>1188</v>
      </c>
      <c r="E697" s="1734"/>
      <c r="F697" s="1734"/>
      <c r="G697" s="57"/>
      <c r="H697" s="269"/>
      <c r="I697" s="269"/>
      <c r="J697" s="269"/>
      <c r="K697" s="269"/>
    </row>
    <row r="698" spans="1:11" s="674" customFormat="1">
      <c r="A698" s="260"/>
      <c r="B698" s="260"/>
      <c r="C698" s="260"/>
      <c r="D698" s="1734"/>
      <c r="E698" s="1734"/>
      <c r="F698" s="1734"/>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734" t="s">
        <v>1189</v>
      </c>
      <c r="E700" s="1734"/>
      <c r="F700" s="1734"/>
      <c r="G700" s="57"/>
      <c r="H700" s="269"/>
      <c r="I700" s="269"/>
      <c r="J700" s="269"/>
      <c r="K700" s="269"/>
    </row>
    <row r="701" spans="1:11" s="674" customFormat="1">
      <c r="A701" s="260"/>
      <c r="B701" s="260"/>
      <c r="C701" s="260"/>
      <c r="D701" s="1734"/>
      <c r="E701" s="1734"/>
      <c r="F701" s="1734"/>
      <c r="G701" s="57"/>
      <c r="H701" s="269"/>
      <c r="I701" s="269"/>
      <c r="J701" s="269"/>
      <c r="K701" s="269"/>
    </row>
    <row r="702" spans="1:11" s="674" customFormat="1">
      <c r="A702" s="260"/>
      <c r="B702" s="260"/>
      <c r="C702" s="260"/>
      <c r="D702" s="1734"/>
      <c r="E702" s="1734"/>
      <c r="F702" s="1734"/>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734" t="s">
        <v>1182</v>
      </c>
      <c r="E704" s="1734"/>
      <c r="F704" s="1734"/>
      <c r="G704" s="57"/>
      <c r="H704" s="269"/>
      <c r="I704" s="269"/>
      <c r="J704" s="269"/>
      <c r="K704" s="269"/>
    </row>
    <row r="705" spans="1:11">
      <c r="A705" s="260"/>
      <c r="B705" s="260"/>
      <c r="C705" s="260"/>
      <c r="D705" s="1734"/>
      <c r="E705" s="1734"/>
      <c r="F705" s="1734"/>
      <c r="G705" s="57"/>
      <c r="H705" s="269"/>
      <c r="I705" s="269"/>
      <c r="J705" s="269"/>
      <c r="K705" s="269"/>
    </row>
    <row r="706" spans="1:11">
      <c r="A706" s="260"/>
      <c r="B706" s="260"/>
      <c r="C706" s="260"/>
      <c r="D706" s="1734"/>
      <c r="E706" s="1734"/>
      <c r="F706" s="1734"/>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734" t="s">
        <v>1183</v>
      </c>
      <c r="E708" s="1734"/>
      <c r="F708" s="1734"/>
      <c r="G708" s="57"/>
      <c r="H708" s="269"/>
      <c r="I708" s="269"/>
      <c r="J708" s="269"/>
      <c r="K708" s="269"/>
    </row>
    <row r="709" spans="1:11">
      <c r="A709" s="260"/>
      <c r="B709" s="260"/>
      <c r="C709" s="260"/>
      <c r="D709" s="1734"/>
      <c r="E709" s="1734"/>
      <c r="F709" s="1734"/>
      <c r="G709" s="57"/>
      <c r="H709" s="269"/>
      <c r="I709" s="269"/>
      <c r="J709" s="269"/>
      <c r="K709" s="269"/>
    </row>
    <row r="710" spans="1:11">
      <c r="A710" s="260"/>
      <c r="B710" s="260"/>
      <c r="C710" s="260"/>
      <c r="D710" s="1734"/>
      <c r="E710" s="1734"/>
      <c r="F710" s="1734"/>
      <c r="G710" s="57"/>
      <c r="H710" s="269"/>
      <c r="I710" s="269"/>
      <c r="J710" s="269"/>
      <c r="K710" s="269"/>
    </row>
    <row r="711" spans="1:11">
      <c r="A711" s="260"/>
      <c r="B711" s="260"/>
      <c r="C711" s="260"/>
      <c r="D711" s="12"/>
      <c r="G711" s="57"/>
      <c r="H711" s="269"/>
      <c r="I711" s="269"/>
      <c r="J711" s="269"/>
      <c r="K711" s="269"/>
    </row>
    <row r="712" spans="1:11" ht="14.4">
      <c r="A712" s="261"/>
      <c r="B712" s="671" t="s">
        <v>312</v>
      </c>
      <c r="C712" s="260"/>
      <c r="D712" s="1711" t="s">
        <v>1184</v>
      </c>
      <c r="E712" s="1711"/>
      <c r="F712" s="1711"/>
      <c r="G712" s="57"/>
      <c r="H712" s="269"/>
      <c r="I712" s="269"/>
      <c r="J712" s="269"/>
      <c r="K712" s="269"/>
    </row>
    <row r="713" spans="1:11">
      <c r="A713" s="260"/>
      <c r="B713" s="260"/>
      <c r="C713" s="260"/>
      <c r="D713" s="1711"/>
      <c r="E713" s="1711"/>
      <c r="F713" s="1711"/>
      <c r="G713" s="57"/>
      <c r="H713" s="269"/>
      <c r="I713" s="269"/>
      <c r="J713" s="269"/>
      <c r="K713" s="269"/>
    </row>
    <row r="714" spans="1:11">
      <c r="A714" s="260"/>
      <c r="B714" s="260"/>
      <c r="C714" s="260"/>
      <c r="D714" s="1711"/>
      <c r="E714" s="1711"/>
      <c r="F714" s="1711"/>
      <c r="G714" s="57"/>
      <c r="H714" s="269"/>
      <c r="I714" s="269"/>
      <c r="J714" s="269"/>
      <c r="K714" s="269"/>
    </row>
    <row r="715" spans="1:11">
      <c r="A715" s="260"/>
      <c r="B715" s="260"/>
      <c r="C715" s="260"/>
      <c r="D715" s="1711"/>
      <c r="E715" s="1711"/>
      <c r="F715" s="1711"/>
      <c r="G715" s="57"/>
      <c r="H715" s="269"/>
      <c r="I715" s="269"/>
      <c r="J715" s="269"/>
      <c r="K715" s="269"/>
    </row>
    <row r="716" spans="1:11">
      <c r="A716" s="260"/>
      <c r="B716" s="260"/>
      <c r="C716" s="260"/>
      <c r="D716" s="263"/>
      <c r="G716" s="57"/>
      <c r="H716" s="269"/>
      <c r="I716" s="269"/>
      <c r="J716" s="269"/>
      <c r="K716" s="269"/>
    </row>
    <row r="717" spans="1:11" ht="14.4">
      <c r="A717" s="261"/>
      <c r="B717" s="671" t="s">
        <v>312</v>
      </c>
      <c r="C717" s="260"/>
      <c r="D717" s="1734" t="s">
        <v>1317</v>
      </c>
      <c r="E717" s="1734"/>
      <c r="F717" s="1734"/>
      <c r="G717" s="57"/>
      <c r="H717" s="269"/>
      <c r="I717" s="269"/>
      <c r="J717" s="269"/>
      <c r="K717" s="269"/>
    </row>
    <row r="718" spans="1:11">
      <c r="A718" s="260"/>
      <c r="B718" s="260"/>
      <c r="C718" s="260"/>
      <c r="D718" s="1734"/>
      <c r="E718" s="1734"/>
      <c r="F718" s="1734"/>
      <c r="G718" s="57"/>
      <c r="H718" s="269"/>
      <c r="I718" s="269"/>
      <c r="J718" s="269"/>
      <c r="K718" s="269"/>
    </row>
    <row r="719" spans="1:11">
      <c r="A719" s="260"/>
      <c r="B719" s="260"/>
      <c r="C719" s="260"/>
      <c r="D719" s="1734"/>
      <c r="E719" s="1734"/>
      <c r="F719" s="1734"/>
      <c r="G719" s="57"/>
      <c r="H719" s="269"/>
      <c r="I719" s="269"/>
      <c r="J719" s="269"/>
      <c r="K719" s="269"/>
    </row>
    <row r="720" spans="1:11">
      <c r="A720" s="260"/>
      <c r="B720" s="260"/>
      <c r="C720" s="260"/>
      <c r="D720" s="1734"/>
      <c r="E720" s="1734"/>
      <c r="F720" s="1734"/>
      <c r="G720" s="57"/>
      <c r="H720" s="269"/>
      <c r="I720" s="269"/>
      <c r="J720" s="269"/>
      <c r="K720" s="269"/>
    </row>
    <row r="721" spans="1:11">
      <c r="A721" s="260"/>
      <c r="B721" s="260"/>
      <c r="C721" s="260"/>
      <c r="D721" s="1734"/>
      <c r="E721" s="1734"/>
      <c r="F721" s="1734"/>
      <c r="G721" s="57"/>
      <c r="H721" s="269"/>
      <c r="I721" s="269"/>
      <c r="J721" s="269"/>
      <c r="K721" s="269"/>
    </row>
    <row r="722" spans="1:11">
      <c r="A722" s="260"/>
      <c r="B722" s="260"/>
      <c r="C722" s="260"/>
      <c r="D722" s="1734"/>
      <c r="E722" s="1734"/>
      <c r="F722" s="1734"/>
      <c r="G722" s="57"/>
      <c r="H722" s="269"/>
      <c r="I722" s="269"/>
      <c r="J722" s="269"/>
      <c r="K722" s="269"/>
    </row>
    <row r="723" spans="1:11">
      <c r="A723" s="260"/>
      <c r="B723" s="260"/>
      <c r="C723" s="260"/>
      <c r="D723" s="1734"/>
      <c r="E723" s="1734"/>
      <c r="F723" s="1734"/>
      <c r="G723" s="57"/>
      <c r="H723" s="269"/>
      <c r="I723" s="269"/>
      <c r="J723" s="269"/>
      <c r="K723" s="269"/>
    </row>
    <row r="724" spans="1:11">
      <c r="A724" s="260"/>
      <c r="B724" s="260"/>
      <c r="C724" s="260"/>
      <c r="D724" s="1745" t="s">
        <v>1185</v>
      </c>
      <c r="E724" s="1745"/>
      <c r="F724" s="1745"/>
      <c r="G724" s="57"/>
      <c r="H724" s="269"/>
      <c r="I724" s="269"/>
      <c r="J724" s="269"/>
      <c r="K724" s="269"/>
    </row>
    <row r="725" spans="1:11" s="674" customFormat="1">
      <c r="A725" s="260"/>
      <c r="B725" s="260"/>
      <c r="C725" s="260"/>
      <c r="D725" s="526"/>
      <c r="E725" s="7"/>
      <c r="F725" s="7"/>
      <c r="G725" s="57"/>
      <c r="H725" s="269"/>
      <c r="I725" s="269"/>
      <c r="J725" s="269"/>
      <c r="K725" s="269"/>
    </row>
    <row r="726" spans="1:11">
      <c r="A726" s="1738" t="s">
        <v>1142</v>
      </c>
      <c r="B726" s="1738"/>
      <c r="C726" s="1738"/>
      <c r="D726" s="1738"/>
      <c r="E726" s="1738"/>
      <c r="F726" s="1738"/>
      <c r="G726" s="1738"/>
      <c r="H726" s="269"/>
      <c r="I726" s="269"/>
      <c r="J726" s="269"/>
      <c r="K726" s="269"/>
    </row>
    <row r="727" spans="1:11">
      <c r="A727" s="260"/>
      <c r="B727" s="260"/>
      <c r="C727" s="260"/>
      <c r="D727" s="263"/>
      <c r="G727" s="271"/>
      <c r="H727" s="269"/>
      <c r="I727" s="269"/>
      <c r="J727" s="269"/>
      <c r="K727" s="269"/>
    </row>
    <row r="728" spans="1:11" ht="13.2" customHeight="1">
      <c r="C728" s="260"/>
      <c r="D728" s="1753" t="s">
        <v>1158</v>
      </c>
      <c r="E728" s="1753"/>
      <c r="F728" s="1753"/>
      <c r="G728" s="271"/>
      <c r="H728" s="269"/>
      <c r="I728" s="269"/>
      <c r="J728" s="269"/>
      <c r="K728" s="269"/>
    </row>
    <row r="729" spans="1:11">
      <c r="A729" s="260"/>
      <c r="B729" s="260"/>
      <c r="C729" s="260"/>
      <c r="D729" s="1740" t="s">
        <v>1159</v>
      </c>
      <c r="E729" s="1740"/>
      <c r="F729" s="1740"/>
      <c r="G729" s="271"/>
      <c r="H729" s="269"/>
      <c r="I729" s="269"/>
      <c r="J729" s="269"/>
      <c r="K729" s="269"/>
    </row>
    <row r="730" spans="1:11">
      <c r="A730" s="260"/>
      <c r="B730" s="260"/>
      <c r="C730" s="260"/>
      <c r="G730" s="271"/>
      <c r="H730" s="269"/>
      <c r="I730" s="269"/>
      <c r="J730" s="269"/>
      <c r="K730" s="269"/>
    </row>
    <row r="731" spans="1:11" s="39" customFormat="1" ht="14.4">
      <c r="A731" s="261"/>
      <c r="B731" s="671" t="s">
        <v>312</v>
      </c>
      <c r="C731" s="132"/>
      <c r="D731" s="1711" t="s">
        <v>1160</v>
      </c>
      <c r="E731" s="1711"/>
      <c r="F731" s="1711"/>
      <c r="G731" s="271"/>
      <c r="H731" s="272"/>
      <c r="I731" s="272"/>
      <c r="J731" s="272"/>
      <c r="K731" s="272"/>
    </row>
    <row r="732" spans="1:11" s="39" customFormat="1" ht="10.5" customHeight="1">
      <c r="A732" s="132"/>
      <c r="B732" s="668"/>
      <c r="C732" s="132"/>
      <c r="D732" s="1711"/>
      <c r="E732" s="1711"/>
      <c r="F732" s="1711"/>
      <c r="G732" s="271"/>
      <c r="H732" s="272"/>
      <c r="I732" s="272"/>
      <c r="J732" s="272"/>
      <c r="K732" s="272"/>
    </row>
    <row r="733" spans="1:11" s="39" customFormat="1">
      <c r="A733" s="132"/>
      <c r="B733" s="668"/>
      <c r="C733" s="132"/>
      <c r="D733" s="1711"/>
      <c r="E733" s="1711"/>
      <c r="F733" s="1711"/>
      <c r="G733" s="271"/>
      <c r="H733" s="272"/>
      <c r="I733" s="272"/>
      <c r="J733" s="272"/>
      <c r="K733" s="272"/>
    </row>
    <row r="734" spans="1:11">
      <c r="D734" s="1711"/>
      <c r="E734" s="1711"/>
      <c r="F734" s="1711"/>
      <c r="G734" s="271"/>
      <c r="H734" s="269"/>
      <c r="I734" s="269"/>
      <c r="J734" s="269"/>
      <c r="K734" s="269"/>
    </row>
    <row r="735" spans="1:11">
      <c r="A735" s="273"/>
      <c r="B735" s="273"/>
      <c r="C735" s="273"/>
      <c r="D735" s="1711"/>
      <c r="E735" s="1711"/>
      <c r="F735" s="1711"/>
      <c r="G735" s="275"/>
      <c r="H735" s="269"/>
      <c r="I735" s="269"/>
      <c r="J735" s="269"/>
      <c r="K735" s="269"/>
    </row>
    <row r="736" spans="1:11" ht="15.6" customHeight="1">
      <c r="A736" s="273"/>
      <c r="B736" s="273"/>
      <c r="C736" s="273"/>
      <c r="D736" s="1711"/>
      <c r="E736" s="1711"/>
      <c r="F736" s="1711"/>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312</v>
      </c>
      <c r="C738" s="405"/>
      <c r="D738" s="1713" t="s">
        <v>1161</v>
      </c>
      <c r="E738" s="1713"/>
      <c r="F738" s="1713"/>
      <c r="G738" s="311"/>
    </row>
    <row r="739" spans="1:11" s="406" customFormat="1">
      <c r="A739" s="405"/>
      <c r="B739" s="405"/>
      <c r="C739" s="405"/>
      <c r="D739" s="1713"/>
      <c r="E739" s="1713"/>
      <c r="F739" s="1713"/>
      <c r="G739" s="311"/>
    </row>
    <row r="740" spans="1:11" s="406" customFormat="1">
      <c r="A740" s="405"/>
      <c r="B740" s="405"/>
      <c r="C740" s="405"/>
      <c r="D740" s="1713"/>
      <c r="E740" s="1713"/>
      <c r="F740" s="1713"/>
      <c r="G740" s="311"/>
    </row>
    <row r="741" spans="1:11" s="406" customFormat="1">
      <c r="A741" s="405"/>
      <c r="B741" s="405"/>
      <c r="C741" s="405"/>
      <c r="D741" s="1713"/>
      <c r="E741" s="1713"/>
      <c r="F741" s="1713"/>
      <c r="G741" s="311"/>
    </row>
    <row r="742" spans="1:11" s="406" customFormat="1">
      <c r="A742" s="405"/>
      <c r="B742" s="405"/>
      <c r="C742" s="405"/>
      <c r="D742" s="374"/>
      <c r="E742" s="311"/>
      <c r="F742" s="311"/>
      <c r="G742" s="311"/>
    </row>
    <row r="743" spans="1:11" s="406" customFormat="1" ht="14.4">
      <c r="A743" s="261"/>
      <c r="B743" s="671" t="s">
        <v>312</v>
      </c>
      <c r="C743" s="405"/>
      <c r="D743" s="1754" t="s">
        <v>1162</v>
      </c>
      <c r="E743" s="1754"/>
      <c r="F743" s="1754"/>
      <c r="G743" s="311"/>
    </row>
    <row r="744" spans="1:11" s="406" customFormat="1">
      <c r="A744" s="405"/>
      <c r="B744" s="405"/>
      <c r="C744" s="405"/>
      <c r="D744" s="1754"/>
      <c r="E744" s="1754"/>
      <c r="F744" s="1754"/>
      <c r="G744" s="311"/>
    </row>
    <row r="745" spans="1:11" s="406" customFormat="1">
      <c r="A745" s="405"/>
      <c r="B745" s="405"/>
      <c r="C745" s="405"/>
      <c r="D745" s="1754"/>
      <c r="E745" s="1754"/>
      <c r="F745" s="1754"/>
      <c r="G745" s="311"/>
    </row>
    <row r="746" spans="1:11">
      <c r="A746" s="273"/>
      <c r="B746" s="273"/>
      <c r="C746" s="273"/>
      <c r="D746" s="374"/>
      <c r="E746" s="274"/>
      <c r="F746" s="274"/>
      <c r="G746" s="275"/>
      <c r="H746" s="269"/>
      <c r="I746" s="269"/>
      <c r="J746" s="269"/>
      <c r="K746" s="269"/>
    </row>
    <row r="747" spans="1:11" ht="14.4">
      <c r="A747" s="261"/>
      <c r="B747" s="671" t="s">
        <v>312</v>
      </c>
      <c r="C747" s="273"/>
      <c r="D747" s="1713" t="s">
        <v>1163</v>
      </c>
      <c r="E747" s="1713"/>
      <c r="F747" s="1713"/>
      <c r="G747" s="275"/>
      <c r="H747" s="269"/>
      <c r="I747" s="269"/>
      <c r="J747" s="269"/>
      <c r="K747" s="269"/>
    </row>
    <row r="748" spans="1:11">
      <c r="A748" s="273"/>
      <c r="B748" s="273"/>
      <c r="C748" s="273"/>
      <c r="D748" s="1713"/>
      <c r="E748" s="1713"/>
      <c r="F748" s="1713"/>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713" t="s">
        <v>1164</v>
      </c>
      <c r="E750" s="1713"/>
      <c r="F750" s="1713"/>
      <c r="G750" s="275"/>
      <c r="H750" s="269"/>
      <c r="I750" s="269"/>
      <c r="J750" s="269"/>
      <c r="K750" s="269"/>
    </row>
    <row r="751" spans="1:11" s="674" customFormat="1">
      <c r="A751" s="273"/>
      <c r="B751" s="273"/>
      <c r="C751" s="273"/>
      <c r="D751" s="1713"/>
      <c r="E751" s="1713"/>
      <c r="F751" s="1713"/>
      <c r="G751" s="275"/>
      <c r="H751" s="269"/>
      <c r="I751" s="269"/>
      <c r="J751" s="269"/>
      <c r="K751" s="269"/>
    </row>
    <row r="752" spans="1:11" s="674" customFormat="1">
      <c r="A752" s="273"/>
      <c r="B752" s="273"/>
      <c r="C752" s="273"/>
      <c r="D752" s="1713"/>
      <c r="E752" s="1713"/>
      <c r="F752" s="1713"/>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48" t="s">
        <v>1165</v>
      </c>
      <c r="B754" s="1748"/>
      <c r="C754" s="1748"/>
      <c r="D754" s="1748"/>
      <c r="E754" s="1748"/>
      <c r="F754" s="1748"/>
      <c r="G754" s="1748"/>
    </row>
    <row r="755" spans="1:11">
      <c r="A755" s="260"/>
      <c r="B755" s="260"/>
      <c r="C755" s="260"/>
      <c r="D755" s="276"/>
      <c r="F755" s="147"/>
      <c r="G755" s="271"/>
    </row>
    <row r="756" spans="1:11">
      <c r="A756" s="273"/>
      <c r="B756" s="273"/>
      <c r="C756" s="439"/>
      <c r="D756" s="1749" t="s">
        <v>1149</v>
      </c>
      <c r="E756" s="1749"/>
      <c r="F756" s="1749"/>
      <c r="G756" s="271"/>
    </row>
    <row r="757" spans="1:11">
      <c r="A757" s="496"/>
      <c r="B757" s="496"/>
      <c r="C757" s="495"/>
      <c r="D757" s="1750" t="s">
        <v>1166</v>
      </c>
      <c r="E757" s="1750"/>
      <c r="F757" s="1750"/>
      <c r="G757" s="271"/>
    </row>
    <row r="758" spans="1:11">
      <c r="A758" s="273"/>
      <c r="B758" s="273"/>
      <c r="C758" s="439"/>
      <c r="D758" s="685"/>
      <c r="E758" s="685"/>
      <c r="F758" s="685"/>
      <c r="G758" s="271"/>
    </row>
    <row r="759" spans="1:11" ht="14.4">
      <c r="A759" s="261"/>
      <c r="B759" s="671" t="s">
        <v>312</v>
      </c>
      <c r="C759" s="439"/>
      <c r="D759" s="1751" t="s">
        <v>1041</v>
      </c>
      <c r="E759" s="1751"/>
      <c r="F759" s="1751"/>
      <c r="G759" s="271"/>
    </row>
    <row r="760" spans="1:11">
      <c r="A760" s="273"/>
      <c r="B760" s="273"/>
      <c r="C760" s="439"/>
      <c r="D760" s="684"/>
      <c r="E760" s="1752" t="s">
        <v>1150</v>
      </c>
      <c r="F760" s="1752"/>
      <c r="G760" s="271"/>
    </row>
    <row r="761" spans="1:11">
      <c r="A761" s="267"/>
      <c r="B761" s="267"/>
      <c r="C761" s="267"/>
      <c r="D761" s="135"/>
      <c r="F761" s="57"/>
      <c r="G761" s="271"/>
    </row>
    <row r="762" spans="1:11">
      <c r="A762" s="1746" t="s">
        <v>463</v>
      </c>
      <c r="B762" s="1746"/>
      <c r="C762" s="1746"/>
      <c r="D762" s="1746"/>
      <c r="E762" s="1746"/>
      <c r="F762" s="1746"/>
      <c r="G762" s="1746"/>
    </row>
    <row r="763" spans="1:11">
      <c r="A763" s="255"/>
      <c r="B763" s="665"/>
      <c r="C763" s="266"/>
      <c r="D763" s="271"/>
      <c r="E763" s="271"/>
      <c r="F763" s="271"/>
      <c r="G763" s="271"/>
    </row>
    <row r="764" spans="1:11">
      <c r="A764" s="135"/>
      <c r="B764" s="1747" t="s">
        <v>1040</v>
      </c>
      <c r="C764" s="1747"/>
      <c r="D764" s="1747"/>
      <c r="E764" s="1747"/>
      <c r="F764" s="1747"/>
      <c r="G764" s="271"/>
    </row>
    <row r="765" spans="1:11">
      <c r="A765" s="23"/>
      <c r="B765" s="667"/>
      <c r="G765" s="271"/>
    </row>
    <row r="766" spans="1:11">
      <c r="A766" s="1746" t="s">
        <v>464</v>
      </c>
      <c r="B766" s="1746"/>
      <c r="C766" s="1746"/>
      <c r="D766" s="1746"/>
      <c r="E766" s="1746"/>
      <c r="F766" s="1746"/>
      <c r="G766" s="1746"/>
    </row>
    <row r="767" spans="1:11">
      <c r="A767" s="255"/>
      <c r="B767" s="665"/>
      <c r="C767" s="255"/>
      <c r="D767" s="263"/>
      <c r="G767" s="271"/>
    </row>
    <row r="768" spans="1:11">
      <c r="A768" s="135"/>
      <c r="B768" s="1743" t="s">
        <v>462</v>
      </c>
      <c r="C768" s="1743"/>
      <c r="D768" s="1743"/>
      <c r="E768" s="1743"/>
      <c r="F768" s="1743"/>
      <c r="G768" s="271"/>
    </row>
    <row r="769" spans="1:7" ht="14.4">
      <c r="A769" s="261"/>
      <c r="B769" s="261"/>
      <c r="D769" s="135"/>
      <c r="E769" s="135"/>
      <c r="F769" s="271"/>
      <c r="G769" s="271"/>
    </row>
    <row r="770" spans="1:7">
      <c r="A770" s="1746" t="s">
        <v>465</v>
      </c>
      <c r="B770" s="1746"/>
      <c r="C770" s="1746"/>
      <c r="D770" s="1746"/>
      <c r="E770" s="1746"/>
      <c r="F770" s="1746"/>
      <c r="G770" s="1746"/>
    </row>
    <row r="771" spans="1:7">
      <c r="C771" s="260"/>
      <c r="D771" s="259"/>
      <c r="E771" s="135"/>
      <c r="F771" s="271"/>
      <c r="G771" s="271"/>
    </row>
    <row r="772" spans="1:7">
      <c r="A772" s="135"/>
      <c r="B772" s="1743" t="s">
        <v>462</v>
      </c>
      <c r="C772" s="1743"/>
      <c r="D772" s="1743"/>
      <c r="E772" s="1743"/>
      <c r="F772" s="1743"/>
      <c r="G772" s="271"/>
    </row>
    <row r="773" spans="1:7">
      <c r="A773" s="135"/>
      <c r="B773" s="135"/>
      <c r="C773" s="266"/>
      <c r="D773" s="271"/>
      <c r="E773" s="271"/>
      <c r="F773" s="271"/>
      <c r="G773" s="271"/>
    </row>
    <row r="774" spans="1:7">
      <c r="A774" s="1746" t="s">
        <v>466</v>
      </c>
      <c r="B774" s="1746"/>
      <c r="C774" s="1746"/>
      <c r="D774" s="1746"/>
      <c r="E774" s="1746"/>
      <c r="F774" s="1746"/>
      <c r="G774" s="1746"/>
    </row>
    <row r="775" spans="1:7">
      <c r="A775" s="135"/>
      <c r="B775" s="135"/>
    </row>
    <row r="776" spans="1:7">
      <c r="A776" s="135"/>
      <c r="B776" s="1743" t="s">
        <v>462</v>
      </c>
      <c r="C776" s="1743"/>
      <c r="D776" s="1743"/>
      <c r="E776" s="1743"/>
      <c r="F776" s="1743"/>
    </row>
    <row r="777" spans="1:7">
      <c r="A777" s="266"/>
      <c r="B777" s="266"/>
      <c r="C777" s="266"/>
      <c r="D777" s="258"/>
      <c r="F777" s="271"/>
    </row>
    <row r="778" spans="1:7">
      <c r="A778" s="1746" t="s">
        <v>467</v>
      </c>
      <c r="B778" s="1746"/>
      <c r="C778" s="1746"/>
      <c r="D778" s="1746"/>
      <c r="E778" s="1746"/>
      <c r="F778" s="1746"/>
      <c r="G778" s="1746"/>
    </row>
    <row r="779" spans="1:7">
      <c r="A779" s="135"/>
      <c r="B779" s="135"/>
    </row>
    <row r="780" spans="1:7">
      <c r="A780" s="135"/>
      <c r="B780" s="1743" t="s">
        <v>462</v>
      </c>
      <c r="C780" s="1743"/>
      <c r="D780" s="1743"/>
      <c r="E780" s="1743"/>
      <c r="F780" s="1743"/>
    </row>
    <row r="781" spans="1:7">
      <c r="A781" s="266"/>
      <c r="B781" s="266"/>
      <c r="C781" s="266"/>
      <c r="D781" s="258"/>
      <c r="F781" s="271"/>
    </row>
    <row r="782" spans="1:7">
      <c r="A782" s="1746" t="s">
        <v>468</v>
      </c>
      <c r="B782" s="1746"/>
      <c r="C782" s="1746"/>
      <c r="D782" s="1746"/>
      <c r="E782" s="1746"/>
      <c r="F782" s="1746"/>
      <c r="G782" s="1746"/>
    </row>
    <row r="783" spans="1:7">
      <c r="A783" s="135"/>
      <c r="B783" s="135"/>
    </row>
    <row r="784" spans="1:7">
      <c r="A784" s="135"/>
      <c r="B784" s="1743" t="s">
        <v>462</v>
      </c>
      <c r="C784" s="1743"/>
      <c r="D784" s="1743"/>
      <c r="E784" s="1743"/>
      <c r="F784" s="1743"/>
    </row>
    <row r="785" spans="1:7">
      <c r="A785" s="265"/>
      <c r="B785" s="265"/>
      <c r="C785" s="265"/>
      <c r="D785" s="277"/>
      <c r="E785" s="57"/>
      <c r="F785" s="57"/>
      <c r="G785" s="57"/>
    </row>
    <row r="786" spans="1:7">
      <c r="A786" s="1746" t="s">
        <v>191</v>
      </c>
      <c r="B786" s="1746"/>
      <c r="C786" s="1746"/>
      <c r="D786" s="1746"/>
      <c r="E786" s="1746"/>
      <c r="F786" s="1746"/>
      <c r="G786" s="1746"/>
    </row>
    <row r="787" spans="1:7">
      <c r="A787" s="135"/>
      <c r="B787" s="135"/>
    </row>
    <row r="788" spans="1:7">
      <c r="A788" s="135"/>
      <c r="B788" s="1743" t="s">
        <v>462</v>
      </c>
      <c r="C788" s="1743"/>
      <c r="D788" s="1743"/>
      <c r="E788" s="1743"/>
      <c r="F788" s="1743"/>
    </row>
    <row r="789" spans="1:7">
      <c r="A789" s="135"/>
      <c r="B789" s="135"/>
      <c r="D789" s="258"/>
    </row>
    <row r="790" spans="1:7">
      <c r="A790" s="1746" t="s">
        <v>918</v>
      </c>
      <c r="B790" s="1746"/>
      <c r="C790" s="1746"/>
      <c r="D790" s="1746"/>
      <c r="E790" s="1746"/>
      <c r="F790" s="1746"/>
      <c r="G790" s="1746"/>
    </row>
    <row r="791" spans="1:7">
      <c r="A791" s="135"/>
      <c r="B791" s="135"/>
    </row>
    <row r="792" spans="1:7">
      <c r="A792" s="135"/>
      <c r="B792" s="1743" t="s">
        <v>462</v>
      </c>
      <c r="C792" s="1743"/>
      <c r="D792" s="1743"/>
      <c r="E792" s="1743"/>
      <c r="F792" s="1743"/>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793" t="s">
        <v>2183</v>
      </c>
      <c r="B2" s="1794"/>
      <c r="C2" s="1794"/>
      <c r="D2" s="1794"/>
      <c r="E2" s="1794"/>
      <c r="F2" s="1794"/>
      <c r="G2" s="1794"/>
      <c r="H2" s="1794"/>
      <c r="I2" s="1794"/>
      <c r="J2" s="1794"/>
    </row>
    <row r="3" spans="1:10" ht="15">
      <c r="A3" s="1798" t="s">
        <v>1443</v>
      </c>
      <c r="B3" s="1799"/>
      <c r="C3" s="1799"/>
      <c r="D3" s="1799"/>
      <c r="E3" s="1799"/>
      <c r="F3" s="1799"/>
      <c r="G3" s="1799"/>
      <c r="H3" s="1799"/>
      <c r="I3" s="1799"/>
      <c r="J3" s="1799"/>
    </row>
    <row r="4" spans="1:10" ht="13.2"/>
    <row r="5" spans="1:10" ht="12.75" customHeight="1">
      <c r="A5" s="1795" t="s">
        <v>2626</v>
      </c>
      <c r="B5" s="1795"/>
      <c r="C5" s="1795"/>
      <c r="D5" s="1795"/>
      <c r="E5" s="1795"/>
      <c r="F5" s="1795"/>
      <c r="G5" s="1795"/>
      <c r="H5" s="1795"/>
      <c r="I5" s="1795"/>
      <c r="J5" s="1795"/>
    </row>
    <row r="6" spans="1:10" ht="13.2">
      <c r="A6" s="1795"/>
      <c r="B6" s="1795"/>
      <c r="C6" s="1795"/>
      <c r="D6" s="1795"/>
      <c r="E6" s="1795"/>
      <c r="F6" s="1795"/>
      <c r="G6" s="1795"/>
      <c r="H6" s="1795"/>
      <c r="I6" s="1795"/>
      <c r="J6" s="1795"/>
    </row>
    <row r="7" spans="1:10" ht="30" customHeight="1">
      <c r="A7" s="1795"/>
      <c r="B7" s="1795"/>
      <c r="C7" s="1795"/>
      <c r="D7" s="1795"/>
      <c r="E7" s="1795"/>
      <c r="F7" s="1795"/>
      <c r="G7" s="1795"/>
      <c r="H7" s="1795"/>
      <c r="I7" s="1795"/>
      <c r="J7" s="1795"/>
    </row>
    <row r="8" spans="1:10" ht="13.2">
      <c r="A8" s="764"/>
      <c r="B8" s="764"/>
      <c r="C8" s="764"/>
      <c r="D8" s="764"/>
      <c r="E8" s="764"/>
      <c r="F8" s="764"/>
      <c r="G8" s="764"/>
      <c r="H8" s="764"/>
      <c r="I8" s="764"/>
      <c r="J8" s="764"/>
    </row>
    <row r="9" spans="1:10" ht="12.75" customHeight="1">
      <c r="A9" s="1110" t="s">
        <v>2186</v>
      </c>
      <c r="B9" s="1109"/>
      <c r="C9" s="1109"/>
      <c r="D9" s="1109"/>
      <c r="E9" s="1109"/>
      <c r="F9" s="1109"/>
      <c r="G9" s="1109"/>
      <c r="H9" s="1109"/>
      <c r="I9" s="1109"/>
      <c r="J9" s="1109"/>
    </row>
    <row r="10" spans="1:10" ht="13.2"/>
    <row r="11" spans="1:10" ht="12.75" customHeight="1">
      <c r="A11" s="1800" t="s">
        <v>2188</v>
      </c>
      <c r="B11" s="1800"/>
      <c r="C11" s="1800"/>
      <c r="D11" s="1800"/>
      <c r="E11" s="1800"/>
      <c r="F11" s="1800"/>
      <c r="G11" s="1800"/>
      <c r="H11" s="1800"/>
      <c r="I11" s="1800"/>
      <c r="J11" s="1800"/>
    </row>
    <row r="12" spans="1:10" ht="13.2">
      <c r="A12" s="1800"/>
      <c r="B12" s="1800"/>
      <c r="C12" s="1800"/>
      <c r="D12" s="1800"/>
      <c r="E12" s="1800"/>
      <c r="F12" s="1800"/>
      <c r="G12" s="1800"/>
      <c r="H12" s="1800"/>
      <c r="I12" s="1800"/>
      <c r="J12" s="1800"/>
    </row>
    <row r="13" spans="1:10" s="1077" customFormat="1" ht="13.2">
      <c r="A13" s="1800"/>
      <c r="B13" s="1800"/>
      <c r="C13" s="1800"/>
      <c r="D13" s="1800"/>
      <c r="E13" s="1800"/>
      <c r="F13" s="1800"/>
      <c r="G13" s="1800"/>
      <c r="H13" s="1800"/>
      <c r="I13" s="1800"/>
      <c r="J13" s="1800"/>
    </row>
    <row r="14" spans="1:10" ht="13.2">
      <c r="A14" s="1801"/>
      <c r="B14" s="1801"/>
      <c r="C14" s="1801"/>
      <c r="D14" s="1801"/>
      <c r="E14" s="1801"/>
      <c r="F14" s="1801"/>
      <c r="G14" s="1801"/>
      <c r="H14" s="1801"/>
      <c r="I14" s="1801"/>
      <c r="J14" s="1801"/>
    </row>
    <row r="15" spans="1:10" ht="13.2">
      <c r="A15" s="1801"/>
      <c r="B15" s="1801"/>
      <c r="C15" s="1801"/>
      <c r="D15" s="1801"/>
      <c r="E15" s="1801"/>
      <c r="F15" s="1801"/>
      <c r="G15" s="1801"/>
      <c r="H15" s="1801"/>
      <c r="I15" s="1801"/>
      <c r="J15" s="1801"/>
    </row>
    <row r="16" spans="1:10" ht="13.2">
      <c r="A16" s="1801"/>
      <c r="B16" s="1801"/>
      <c r="C16" s="1801"/>
      <c r="D16" s="1801"/>
      <c r="E16" s="1801"/>
      <c r="F16" s="1801"/>
      <c r="G16" s="1801"/>
      <c r="H16" s="1801"/>
      <c r="I16" s="1801"/>
      <c r="J16" s="1801"/>
    </row>
    <row r="17" spans="1:10" s="1077" customFormat="1" ht="13.2">
      <c r="A17" s="1112"/>
      <c r="B17" s="1112"/>
      <c r="C17" s="1112"/>
      <c r="D17" s="1112"/>
      <c r="E17" s="1112"/>
      <c r="F17" s="1112"/>
      <c r="G17" s="1112"/>
      <c r="H17" s="1112"/>
      <c r="I17" s="1112"/>
      <c r="J17" s="1112"/>
    </row>
    <row r="18" spans="1:10" ht="13.2">
      <c r="A18" s="765" t="s">
        <v>2187</v>
      </c>
      <c r="B18" s="764"/>
      <c r="C18" s="764"/>
      <c r="D18" s="764"/>
      <c r="E18" s="764"/>
      <c r="F18" s="764"/>
      <c r="G18" s="764"/>
      <c r="H18" s="764"/>
      <c r="I18" s="764"/>
      <c r="J18" s="764"/>
    </row>
    <row r="19" spans="1:10" ht="13.2">
      <c r="A19" s="766" t="s">
        <v>255</v>
      </c>
      <c r="B19" s="766"/>
      <c r="C19" s="766"/>
      <c r="D19" s="766"/>
      <c r="E19" s="766"/>
      <c r="F19" s="766"/>
      <c r="G19" s="766"/>
      <c r="H19" s="766"/>
      <c r="I19" s="766"/>
      <c r="J19" s="766"/>
    </row>
    <row r="20" spans="1:10" ht="13.2">
      <c r="A20" s="1802" t="s">
        <v>1349</v>
      </c>
      <c r="B20" s="1799"/>
      <c r="C20" s="1799"/>
      <c r="D20" s="1799"/>
      <c r="E20" s="179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795" t="s">
        <v>1350</v>
      </c>
      <c r="B57" s="1796"/>
      <c r="C57" s="1796"/>
      <c r="D57" s="1796"/>
      <c r="E57" s="1796"/>
      <c r="F57" s="1796"/>
      <c r="G57" s="1796"/>
      <c r="H57" s="1796"/>
      <c r="I57" s="1796"/>
      <c r="J57" s="1796"/>
    </row>
    <row r="58" spans="1:10" ht="13.2">
      <c r="A58" s="1796"/>
      <c r="B58" s="1796"/>
      <c r="C58" s="1796"/>
      <c r="D58" s="1796"/>
      <c r="E58" s="1796"/>
      <c r="F58" s="1796"/>
      <c r="G58" s="1796"/>
      <c r="H58" s="1796"/>
      <c r="I58" s="1796"/>
      <c r="J58" s="1796"/>
    </row>
    <row r="59" spans="1:10" ht="13.2">
      <c r="A59" s="1796"/>
      <c r="B59" s="1796"/>
      <c r="C59" s="1796"/>
      <c r="D59" s="1796"/>
      <c r="E59" s="1796"/>
      <c r="F59" s="1796"/>
      <c r="G59" s="1796"/>
      <c r="H59" s="1796"/>
      <c r="I59" s="1796"/>
      <c r="J59" s="1796"/>
    </row>
    <row r="60" spans="1:10" ht="13.2"/>
    <row r="61" spans="1:10" ht="13.2">
      <c r="A61" s="664" t="s">
        <v>1349</v>
      </c>
    </row>
    <row r="62" spans="1:10" ht="13.2"/>
    <row r="63" spans="1:10" ht="13.2"/>
    <row r="64" spans="1:10" ht="13.2"/>
    <row r="65" spans="1:9" ht="13.2"/>
    <row r="66" spans="1:9" ht="13.2"/>
    <row r="67" spans="1:9" ht="13.2"/>
    <row r="68" spans="1:9" ht="13.2"/>
    <row r="69" spans="1:9" ht="13.2"/>
    <row r="70" spans="1:9" ht="13.2"/>
    <row r="71" spans="1:9" ht="13.2"/>
    <row r="72" spans="1:9" ht="13.2">
      <c r="A72" s="1797" t="s">
        <v>2184</v>
      </c>
      <c r="B72" s="1797"/>
      <c r="C72" s="1797"/>
      <c r="D72" s="1797"/>
      <c r="E72" s="1797"/>
      <c r="F72" s="1797"/>
      <c r="G72" s="1797"/>
      <c r="H72" s="1797"/>
      <c r="I72" s="1797"/>
    </row>
    <row r="73" spans="1:9" ht="13.2">
      <c r="A73" s="1719" t="s">
        <v>2627</v>
      </c>
      <c r="B73" s="1719"/>
      <c r="C73" s="1719"/>
      <c r="D73" s="1719"/>
      <c r="E73" s="1719"/>
    </row>
    <row r="74" spans="1:9" ht="13.2">
      <c r="A74" s="1719" t="s">
        <v>2628</v>
      </c>
      <c r="B74" s="1719"/>
      <c r="C74" s="1719"/>
      <c r="D74" s="1719"/>
      <c r="E74" s="1719"/>
    </row>
    <row r="75" spans="1:9" ht="13.2">
      <c r="A75" s="1719" t="s">
        <v>2185</v>
      </c>
      <c r="B75" s="1719"/>
      <c r="C75" s="1719"/>
      <c r="D75" s="1719"/>
      <c r="E75" s="171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w3hYKKj/GqR3vnP3zNxXWowT18ILZEnysxr2z6IXnVJmL4Eoqixtqp7O+CVBzVSVpmq3S2MeI+V+xi2rkWnHw==" saltValue="JDGSjtuAzZ+RPXQFxe2aw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1026" zoomScaleNormal="100" zoomScaleSheetLayoutView="100" workbookViewId="0">
      <selection activeCell="B1051" sqref="B1051"/>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082" customWidth="1"/>
    <col min="10" max="16" width="0" style="782" hidden="1" customWidth="1"/>
    <col min="17" max="16384" width="8.88671875" style="782" hidden="1"/>
  </cols>
  <sheetData>
    <row r="1" spans="1:13"/>
    <row r="2" spans="1:13">
      <c r="A2" s="1803" t="s">
        <v>2629</v>
      </c>
      <c r="B2" s="1803"/>
      <c r="C2" s="1803"/>
      <c r="D2" s="1803"/>
      <c r="E2" s="1803"/>
      <c r="F2" s="1803"/>
      <c r="G2" s="1803"/>
      <c r="H2" s="1803"/>
      <c r="I2" s="1803"/>
    </row>
    <row r="3" spans="1:13">
      <c r="A3" s="1804" t="s">
        <v>2051</v>
      </c>
      <c r="B3" s="1804"/>
      <c r="C3" s="1804"/>
      <c r="D3" s="1804"/>
      <c r="E3" s="1804"/>
      <c r="F3" s="1804"/>
      <c r="G3" s="1804"/>
      <c r="H3" s="1804"/>
      <c r="I3" s="1804"/>
    </row>
    <row r="4" spans="1:13">
      <c r="A4" s="1831"/>
      <c r="B4" s="1831"/>
      <c r="C4" s="1832"/>
      <c r="D4" s="1832"/>
      <c r="E4" s="1832"/>
      <c r="F4" s="1832"/>
      <c r="G4" s="1832"/>
      <c r="I4" s="635"/>
    </row>
    <row r="5" spans="1:13" s="783" customFormat="1">
      <c r="A5" s="1831"/>
      <c r="B5" s="1831"/>
      <c r="C5" s="1835"/>
      <c r="D5" s="1835"/>
      <c r="E5" s="1835"/>
      <c r="F5" s="1835"/>
      <c r="G5" s="1835"/>
      <c r="I5" s="1114"/>
    </row>
    <row r="6" spans="1:13" s="783" customFormat="1">
      <c r="A6" s="1827" t="s">
        <v>1219</v>
      </c>
      <c r="B6" s="1827"/>
      <c r="C6" s="1828"/>
      <c r="D6" s="1828"/>
      <c r="E6" s="1828"/>
      <c r="F6" s="1828"/>
      <c r="G6" s="1828"/>
      <c r="I6" s="1113" t="s">
        <v>2195</v>
      </c>
    </row>
    <row r="7" spans="1:13" s="783" customFormat="1">
      <c r="A7" s="1827" t="s">
        <v>1220</v>
      </c>
      <c r="B7" s="1827"/>
      <c r="C7" s="1828"/>
      <c r="D7" s="1828"/>
      <c r="E7" s="1828"/>
      <c r="F7" s="1828"/>
      <c r="G7" s="1828"/>
      <c r="I7" s="1113" t="s">
        <v>2196</v>
      </c>
    </row>
    <row r="8" spans="1:13">
      <c r="A8" s="784"/>
      <c r="B8" s="784"/>
      <c r="C8" s="785"/>
      <c r="D8" s="785"/>
      <c r="E8" s="785"/>
      <c r="F8" s="785"/>
    </row>
    <row r="9" spans="1:13">
      <c r="A9" s="1767" t="s">
        <v>1222</v>
      </c>
      <c r="B9" s="1767"/>
      <c r="C9" s="1767"/>
      <c r="D9" s="1767"/>
      <c r="E9" s="1767"/>
      <c r="F9" s="1767"/>
      <c r="G9" s="1767"/>
      <c r="H9" s="1130"/>
      <c r="I9" s="1131"/>
    </row>
    <row r="10" spans="1:13">
      <c r="A10" s="785"/>
      <c r="B10" s="785"/>
      <c r="E10" s="786"/>
    </row>
    <row r="11" spans="1:13" ht="13.65" customHeight="1">
      <c r="C11" s="785"/>
      <c r="D11" s="1829" t="s">
        <v>1221</v>
      </c>
      <c r="E11" s="1829"/>
      <c r="F11" s="1829"/>
    </row>
    <row r="12" spans="1:13">
      <c r="C12" s="785"/>
      <c r="D12" s="1829"/>
      <c r="E12" s="1829"/>
      <c r="F12" s="1829"/>
    </row>
    <row r="13" spans="1:13">
      <c r="A13" s="787"/>
      <c r="B13" s="787"/>
      <c r="C13" s="787"/>
      <c r="D13" s="1777" t="s">
        <v>1204</v>
      </c>
      <c r="E13" s="1777"/>
      <c r="F13" s="1777"/>
      <c r="M13" s="1042"/>
    </row>
    <row r="14" spans="1:13">
      <c r="A14" s="787"/>
      <c r="B14" s="787"/>
      <c r="C14" s="787"/>
      <c r="D14" s="788"/>
      <c r="L14" s="1185"/>
    </row>
    <row r="15" spans="1:13" ht="14.4">
      <c r="A15" s="789"/>
      <c r="B15" s="790" t="s">
        <v>2751</v>
      </c>
      <c r="C15" s="791"/>
      <c r="D15" s="1772" t="s">
        <v>2364</v>
      </c>
      <c r="E15" s="1772"/>
      <c r="F15" s="1772"/>
      <c r="I15" s="1082" t="s">
        <v>2197</v>
      </c>
    </row>
    <row r="16" spans="1:13">
      <c r="A16" s="787"/>
      <c r="B16" s="787"/>
      <c r="C16" s="791"/>
      <c r="D16" s="1772"/>
      <c r="E16" s="1772"/>
      <c r="F16" s="1772"/>
    </row>
    <row r="17" spans="1:9">
      <c r="A17" s="787"/>
      <c r="B17" s="787"/>
      <c r="C17" s="791"/>
      <c r="D17" s="1772"/>
      <c r="E17" s="1772"/>
      <c r="F17" s="1772"/>
    </row>
    <row r="18" spans="1:9" s="1080" customFormat="1">
      <c r="A18" s="787"/>
      <c r="B18" s="787"/>
      <c r="C18" s="791"/>
      <c r="D18" s="1184"/>
      <c r="E18" s="1185" t="s">
        <v>2362</v>
      </c>
      <c r="F18" s="1184"/>
      <c r="G18" s="1079"/>
      <c r="I18" s="1082"/>
    </row>
    <row r="19" spans="1:9">
      <c r="A19" s="787"/>
      <c r="B19" s="787"/>
      <c r="C19" s="787"/>
    </row>
    <row r="20" spans="1:9" ht="14.4">
      <c r="A20" s="789"/>
      <c r="B20" s="790" t="s">
        <v>2751</v>
      </c>
      <c r="D20" s="1772" t="s">
        <v>2365</v>
      </c>
      <c r="E20" s="1772"/>
      <c r="F20" s="1772"/>
      <c r="I20" s="1082" t="s">
        <v>2198</v>
      </c>
    </row>
    <row r="21" spans="1:9" s="1080" customFormat="1" ht="14.4">
      <c r="A21" s="789"/>
      <c r="B21" s="780"/>
      <c r="C21" s="780"/>
      <c r="D21" s="1772"/>
      <c r="E21" s="1772"/>
      <c r="F21" s="1772"/>
      <c r="G21" s="1079"/>
      <c r="I21" s="1082"/>
    </row>
    <row r="22" spans="1:9" s="1080" customFormat="1" ht="14.4">
      <c r="A22" s="789"/>
      <c r="B22" s="780"/>
      <c r="C22" s="780"/>
      <c r="D22" s="1183"/>
      <c r="E22" s="1042" t="s">
        <v>2361</v>
      </c>
      <c r="F22" s="1183"/>
      <c r="G22" s="1079"/>
      <c r="I22" s="1082"/>
    </row>
    <row r="23" spans="1:9" ht="14.4">
      <c r="A23" s="789"/>
      <c r="B23" s="789"/>
      <c r="D23" s="792"/>
    </row>
    <row r="24" spans="1:9" ht="14.4">
      <c r="A24" s="789"/>
      <c r="B24" s="790" t="s">
        <v>2752</v>
      </c>
      <c r="D24" s="1772" t="s">
        <v>1207</v>
      </c>
      <c r="E24" s="1772"/>
      <c r="F24" s="1772"/>
      <c r="I24" s="1082" t="s">
        <v>2198</v>
      </c>
    </row>
    <row r="25" spans="1:9" ht="14.4">
      <c r="A25" s="789"/>
      <c r="B25" s="789"/>
      <c r="D25" s="1772"/>
      <c r="E25" s="1772"/>
      <c r="F25" s="1772"/>
    </row>
    <row r="26" spans="1:9"/>
    <row r="27" spans="1:9" ht="14.4">
      <c r="A27" s="789"/>
      <c r="B27" s="790" t="s">
        <v>2752</v>
      </c>
      <c r="D27" s="1816" t="s">
        <v>2630</v>
      </c>
      <c r="E27" s="1816"/>
      <c r="F27" s="1816"/>
      <c r="I27" s="1082" t="s">
        <v>2201</v>
      </c>
    </row>
    <row r="28" spans="1:9">
      <c r="D28" s="1816"/>
      <c r="E28" s="1816"/>
      <c r="F28" s="1816"/>
    </row>
    <row r="29" spans="1:9">
      <c r="D29" s="1816"/>
      <c r="E29" s="1816"/>
      <c r="F29" s="1816"/>
    </row>
    <row r="30" spans="1:9">
      <c r="D30" s="1816"/>
      <c r="E30" s="1816"/>
      <c r="F30" s="1816"/>
    </row>
    <row r="31" spans="1:9">
      <c r="D31" s="1816"/>
      <c r="E31" s="1816"/>
      <c r="F31" s="1816"/>
    </row>
    <row r="32" spans="1:9" s="783" customFormat="1">
      <c r="A32" s="793"/>
      <c r="B32" s="793"/>
      <c r="C32" s="793"/>
      <c r="D32" s="725"/>
      <c r="E32" s="794"/>
      <c r="F32" s="794"/>
      <c r="G32" s="794"/>
      <c r="I32" s="1114"/>
    </row>
    <row r="33" spans="1:9" s="783" customFormat="1">
      <c r="A33" s="793"/>
      <c r="B33" s="790" t="s">
        <v>2752</v>
      </c>
      <c r="C33" s="793"/>
      <c r="D33" s="1729" t="s">
        <v>2631</v>
      </c>
      <c r="E33" s="1729"/>
      <c r="F33" s="1729"/>
      <c r="G33" s="794"/>
      <c r="I33" s="1114" t="s">
        <v>2197</v>
      </c>
    </row>
    <row r="34" spans="1:9" s="783" customFormat="1">
      <c r="A34" s="793"/>
      <c r="B34" s="793"/>
      <c r="C34" s="793"/>
      <c r="D34" s="1729"/>
      <c r="E34" s="1729"/>
      <c r="F34" s="1729"/>
      <c r="G34" s="794"/>
      <c r="I34" s="1114"/>
    </row>
    <row r="35" spans="1:9" ht="14.4">
      <c r="A35" s="789"/>
      <c r="B35" s="789"/>
      <c r="D35" s="795"/>
    </row>
    <row r="36" spans="1:9" ht="14.4" customHeight="1">
      <c r="A36" s="789"/>
      <c r="B36" s="790" t="s">
        <v>2752</v>
      </c>
      <c r="D36" s="1729" t="s">
        <v>1375</v>
      </c>
      <c r="E36" s="1729"/>
      <c r="F36" s="1729"/>
      <c r="I36" s="1114" t="s">
        <v>2268</v>
      </c>
    </row>
    <row r="37" spans="1:9" ht="14.4">
      <c r="A37" s="789"/>
      <c r="B37" s="789"/>
      <c r="D37" s="1729"/>
      <c r="E37" s="1729"/>
      <c r="F37" s="1729"/>
    </row>
    <row r="38" spans="1:9" ht="14.4">
      <c r="A38" s="789"/>
      <c r="B38" s="789"/>
      <c r="D38" s="1729"/>
      <c r="E38" s="1729"/>
      <c r="F38" s="1729"/>
    </row>
    <row r="39" spans="1:9" ht="14.4">
      <c r="A39" s="789"/>
      <c r="B39" s="789"/>
      <c r="D39" s="1729"/>
      <c r="E39" s="1729"/>
      <c r="F39" s="1729"/>
    </row>
    <row r="40" spans="1:9" ht="14.4">
      <c r="A40" s="789"/>
      <c r="B40" s="789"/>
      <c r="D40" s="782"/>
    </row>
    <row r="41" spans="1:9" ht="14.4">
      <c r="A41" s="789"/>
      <c r="B41" s="790" t="s">
        <v>2752</v>
      </c>
      <c r="D41" s="1729" t="s">
        <v>1211</v>
      </c>
      <c r="E41" s="1729"/>
      <c r="F41" s="1729"/>
    </row>
    <row r="42" spans="1:9" ht="14.4">
      <c r="A42" s="789"/>
      <c r="B42" s="789"/>
      <c r="D42" s="1729"/>
      <c r="E42" s="1729"/>
      <c r="F42" s="1729"/>
    </row>
    <row r="43" spans="1:9" ht="14.4">
      <c r="A43" s="789"/>
      <c r="B43" s="789"/>
      <c r="D43" s="1729"/>
      <c r="E43" s="1729"/>
      <c r="F43" s="1729"/>
    </row>
    <row r="44" spans="1:9" ht="14.4">
      <c r="A44" s="789"/>
      <c r="B44" s="789"/>
      <c r="D44" s="1729"/>
      <c r="E44" s="1729"/>
      <c r="F44" s="1729"/>
    </row>
    <row r="45" spans="1:9" ht="14.4">
      <c r="A45" s="789"/>
      <c r="B45" s="789"/>
      <c r="D45" s="1729"/>
      <c r="E45" s="1729"/>
      <c r="F45" s="1729"/>
    </row>
    <row r="46" spans="1:9" ht="14.4">
      <c r="A46" s="789"/>
      <c r="B46" s="789"/>
      <c r="D46" s="773"/>
      <c r="E46" s="773"/>
      <c r="F46" s="773"/>
    </row>
    <row r="47" spans="1:9" ht="14.4">
      <c r="A47" s="789"/>
      <c r="B47" s="790" t="s">
        <v>2752</v>
      </c>
      <c r="D47" s="1729" t="s">
        <v>1212</v>
      </c>
      <c r="E47" s="1729"/>
      <c r="F47" s="1729"/>
      <c r="I47" s="1114" t="s">
        <v>2268</v>
      </c>
    </row>
    <row r="48" spans="1:9" ht="14.4">
      <c r="A48" s="789"/>
      <c r="B48" s="789"/>
      <c r="D48" s="1729"/>
      <c r="E48" s="1729"/>
      <c r="F48" s="1729"/>
    </row>
    <row r="49" spans="1:9" ht="14.4">
      <c r="A49" s="789"/>
      <c r="B49" s="789"/>
      <c r="D49" s="1729"/>
      <c r="E49" s="1729"/>
      <c r="F49" s="1729"/>
    </row>
    <row r="50" spans="1:9" ht="23.25" customHeight="1">
      <c r="A50" s="789"/>
      <c r="B50" s="789"/>
      <c r="D50" s="1729"/>
      <c r="E50" s="1729"/>
      <c r="F50" s="1729"/>
    </row>
    <row r="51" spans="1:9" ht="14.4">
      <c r="A51" s="789"/>
      <c r="B51" s="789"/>
      <c r="D51" s="777"/>
    </row>
    <row r="52" spans="1:9" ht="14.4" customHeight="1">
      <c r="A52" s="789"/>
      <c r="B52" s="790" t="s">
        <v>2752</v>
      </c>
      <c r="D52" s="1729" t="s">
        <v>1213</v>
      </c>
      <c r="E52" s="1729"/>
      <c r="F52" s="1729"/>
      <c r="I52" s="1114" t="s">
        <v>2268</v>
      </c>
    </row>
    <row r="53" spans="1:9" ht="14.4">
      <c r="A53" s="789"/>
      <c r="B53" s="789"/>
      <c r="D53" s="1729"/>
      <c r="E53" s="1729"/>
      <c r="F53" s="1729"/>
    </row>
    <row r="54" spans="1:9" ht="14.4">
      <c r="A54" s="789"/>
      <c r="B54" s="789"/>
      <c r="D54" s="1729"/>
      <c r="E54" s="1729"/>
      <c r="F54" s="1729"/>
    </row>
    <row r="55" spans="1:9" s="611" customFormat="1" ht="14.4">
      <c r="A55" s="789"/>
      <c r="B55" s="789"/>
      <c r="C55" s="796"/>
      <c r="D55" s="794"/>
      <c r="E55" s="685"/>
      <c r="F55" s="685"/>
      <c r="G55" s="685"/>
      <c r="I55" s="635"/>
    </row>
    <row r="56" spans="1:9" s="611" customFormat="1" ht="14.4">
      <c r="A56" s="797"/>
      <c r="B56" s="790" t="s">
        <v>2751</v>
      </c>
      <c r="C56" s="798"/>
      <c r="D56" s="1830" t="s">
        <v>1214</v>
      </c>
      <c r="E56" s="1830"/>
      <c r="F56" s="1830"/>
      <c r="G56" s="685"/>
      <c r="I56" s="1082"/>
    </row>
    <row r="57" spans="1:9" s="611" customFormat="1" ht="14.4">
      <c r="A57" s="797"/>
      <c r="B57" s="797"/>
      <c r="C57" s="798"/>
      <c r="D57" s="1830"/>
      <c r="E57" s="1830"/>
      <c r="F57" s="1830"/>
      <c r="G57" s="685"/>
      <c r="I57" s="635"/>
    </row>
    <row r="58" spans="1:9" s="611" customFormat="1" ht="14.4">
      <c r="A58" s="797"/>
      <c r="B58" s="797"/>
      <c r="C58" s="1084"/>
      <c r="D58" s="1196" t="s">
        <v>2363</v>
      </c>
      <c r="E58" s="1182"/>
      <c r="F58" s="1182"/>
      <c r="G58" s="685"/>
      <c r="I58" s="635"/>
    </row>
    <row r="59" spans="1:9" s="611" customFormat="1" ht="14.4">
      <c r="A59" s="797"/>
      <c r="B59" s="797"/>
      <c r="C59" s="1084"/>
      <c r="D59" s="1182"/>
      <c r="E59" s="1185" t="s">
        <v>2362</v>
      </c>
      <c r="F59" s="1182"/>
      <c r="G59" s="685"/>
      <c r="I59" s="635"/>
    </row>
    <row r="60" spans="1:9" s="783" customFormat="1">
      <c r="A60" s="793"/>
      <c r="B60" s="793"/>
      <c r="C60" s="793"/>
      <c r="D60" s="725"/>
      <c r="E60" s="794"/>
      <c r="F60" s="794"/>
      <c r="G60" s="794"/>
      <c r="I60" s="1114"/>
    </row>
    <row r="61" spans="1:9" ht="14.4">
      <c r="A61" s="789"/>
      <c r="B61" s="790" t="s">
        <v>2751</v>
      </c>
      <c r="D61" s="1729" t="s">
        <v>1215</v>
      </c>
      <c r="E61" s="1729"/>
      <c r="F61" s="1729"/>
      <c r="I61" s="1082" t="s">
        <v>2199</v>
      </c>
    </row>
    <row r="62" spans="1:9">
      <c r="D62" s="1729"/>
      <c r="E62" s="1729"/>
      <c r="F62" s="1729"/>
    </row>
    <row r="63" spans="1:9">
      <c r="D63" s="1729"/>
      <c r="E63" s="1729"/>
      <c r="F63" s="1729"/>
    </row>
    <row r="64" spans="1:9">
      <c r="D64" s="685"/>
    </row>
    <row r="65" spans="1:9" ht="14.4">
      <c r="A65" s="789"/>
      <c r="B65" s="790" t="s">
        <v>2752</v>
      </c>
      <c r="D65" s="1729" t="s">
        <v>1216</v>
      </c>
      <c r="E65" s="1729"/>
      <c r="F65" s="1729"/>
      <c r="I65" s="1082" t="s">
        <v>2200</v>
      </c>
    </row>
    <row r="66" spans="1:9">
      <c r="D66" s="1729"/>
      <c r="E66" s="1729"/>
      <c r="F66" s="1729"/>
    </row>
    <row r="67" spans="1:9"/>
    <row r="68" spans="1:9" ht="14.4">
      <c r="A68" s="789"/>
      <c r="B68" s="790" t="s">
        <v>2752</v>
      </c>
      <c r="D68" s="1729" t="s">
        <v>1217</v>
      </c>
      <c r="E68" s="1729"/>
      <c r="F68" s="1729"/>
    </row>
    <row r="69" spans="1:9">
      <c r="D69" s="1729"/>
      <c r="E69" s="1729"/>
      <c r="F69" s="1729"/>
      <c r="I69" s="1082" t="s">
        <v>2201</v>
      </c>
    </row>
    <row r="70" spans="1:9">
      <c r="D70" s="1729"/>
      <c r="E70" s="1729"/>
      <c r="F70" s="1729"/>
    </row>
    <row r="71" spans="1:9">
      <c r="D71" s="782"/>
    </row>
    <row r="72" spans="1:9" ht="14.4">
      <c r="A72" s="789"/>
      <c r="B72" s="790" t="s">
        <v>2752</v>
      </c>
      <c r="D72" s="1772" t="s">
        <v>1218</v>
      </c>
      <c r="E72" s="1772"/>
      <c r="F72" s="1772"/>
      <c r="I72" s="1082" t="s">
        <v>2201</v>
      </c>
    </row>
    <row r="73" spans="1:9">
      <c r="D73" s="1772"/>
      <c r="E73" s="1772"/>
      <c r="F73" s="1772"/>
    </row>
    <row r="74" spans="1:9" ht="14.4">
      <c r="A74" s="789"/>
      <c r="B74" s="789"/>
      <c r="D74" s="792"/>
    </row>
    <row r="75" spans="1:9">
      <c r="A75" s="1737" t="s">
        <v>1125</v>
      </c>
      <c r="B75" s="1737"/>
      <c r="C75" s="1737"/>
      <c r="D75" s="1737"/>
      <c r="E75" s="1737"/>
      <c r="F75" s="1737"/>
      <c r="G75" s="1737"/>
      <c r="H75" s="1130"/>
      <c r="I75" s="1131"/>
    </row>
    <row r="76" spans="1:9"/>
    <row r="77" spans="1:9">
      <c r="C77" s="799"/>
      <c r="D77" s="1809" t="s">
        <v>1223</v>
      </c>
      <c r="E77" s="1809"/>
      <c r="F77" s="1809"/>
    </row>
    <row r="78" spans="1:9">
      <c r="A78" s="792"/>
      <c r="B78" s="792"/>
      <c r="D78" s="1772" t="s">
        <v>1250</v>
      </c>
      <c r="E78" s="1772"/>
      <c r="F78" s="1772"/>
    </row>
    <row r="79" spans="1:9">
      <c r="A79" s="792"/>
      <c r="B79" s="792"/>
    </row>
    <row r="80" spans="1:9" ht="13.65" customHeight="1">
      <c r="A80" s="789"/>
      <c r="B80" s="790" t="s">
        <v>2751</v>
      </c>
      <c r="D80" s="1772" t="s">
        <v>1418</v>
      </c>
      <c r="E80" s="1772"/>
      <c r="F80" s="1772"/>
      <c r="I80" s="1082" t="s">
        <v>2202</v>
      </c>
    </row>
    <row r="81" spans="1:9" ht="14.4">
      <c r="A81" s="789"/>
      <c r="B81" s="789"/>
      <c r="D81" s="1772"/>
      <c r="E81" s="1772"/>
      <c r="F81" s="1772"/>
    </row>
    <row r="82" spans="1:9" ht="14.4">
      <c r="A82" s="789"/>
      <c r="B82" s="789"/>
      <c r="D82" s="1772"/>
      <c r="E82" s="1772"/>
      <c r="F82" s="1772"/>
    </row>
    <row r="83" spans="1:9" ht="14.4">
      <c r="A83" s="789"/>
      <c r="B83" s="789"/>
      <c r="D83" s="1772"/>
      <c r="E83" s="1772"/>
      <c r="F83" s="1772"/>
    </row>
    <row r="84" spans="1:9" ht="14.4">
      <c r="A84" s="789"/>
      <c r="B84" s="789"/>
      <c r="D84" s="1772"/>
      <c r="E84" s="1772"/>
      <c r="F84" s="1772"/>
    </row>
    <row r="85" spans="1:9" ht="14.4">
      <c r="A85" s="789"/>
      <c r="B85" s="789"/>
      <c r="D85" s="1772"/>
      <c r="E85" s="1772"/>
      <c r="F85" s="1772"/>
    </row>
    <row r="86" spans="1:9" ht="14.4">
      <c r="A86" s="789"/>
      <c r="B86" s="789"/>
      <c r="D86" s="1772"/>
      <c r="E86" s="1772"/>
      <c r="F86" s="1772"/>
    </row>
    <row r="87" spans="1:9" ht="14.4">
      <c r="A87" s="789"/>
      <c r="B87" s="789"/>
      <c r="D87" s="1772"/>
      <c r="E87" s="1772"/>
      <c r="F87" s="1772"/>
    </row>
    <row r="88" spans="1:9" ht="14.4">
      <c r="A88" s="789"/>
      <c r="B88" s="789"/>
      <c r="D88" s="870"/>
      <c r="E88" s="870"/>
      <c r="F88" s="870"/>
    </row>
    <row r="89" spans="1:9" ht="15" customHeight="1">
      <c r="A89" s="789"/>
      <c r="B89" s="790" t="s">
        <v>2751</v>
      </c>
      <c r="D89" s="1772" t="s">
        <v>2052</v>
      </c>
      <c r="E89" s="1772"/>
      <c r="F89" s="1772"/>
      <c r="I89" s="1082" t="s">
        <v>2203</v>
      </c>
    </row>
    <row r="90" spans="1:9" ht="14.4">
      <c r="A90" s="789"/>
      <c r="B90" s="789"/>
      <c r="D90" s="1772"/>
      <c r="E90" s="1772"/>
      <c r="F90" s="1772"/>
    </row>
    <row r="91" spans="1:9" ht="14.4">
      <c r="A91" s="789"/>
      <c r="B91" s="789"/>
      <c r="D91" s="1025"/>
      <c r="E91" s="1025"/>
      <c r="F91" s="1025"/>
    </row>
    <row r="92" spans="1:9" ht="14.4">
      <c r="A92" s="789"/>
      <c r="B92" s="790" t="s">
        <v>2751</v>
      </c>
      <c r="D92" s="1772" t="s">
        <v>2055</v>
      </c>
      <c r="E92" s="1772"/>
      <c r="F92" s="1772"/>
      <c r="I92" s="1082" t="s">
        <v>2204</v>
      </c>
    </row>
    <row r="93" spans="1:9" ht="14.4">
      <c r="A93" s="789"/>
      <c r="B93" s="789"/>
      <c r="D93" s="1772"/>
      <c r="E93" s="1772"/>
      <c r="F93" s="1772"/>
    </row>
    <row r="94" spans="1:9" ht="14.4">
      <c r="A94" s="789"/>
      <c r="B94" s="789"/>
      <c r="D94" s="1772"/>
      <c r="E94" s="1772"/>
      <c r="F94" s="1772"/>
    </row>
    <row r="95" spans="1:9" ht="14.4">
      <c r="A95" s="789"/>
      <c r="B95" s="789"/>
      <c r="D95" s="1025"/>
      <c r="E95" s="1025"/>
      <c r="F95" s="1025"/>
    </row>
    <row r="96" spans="1:9" ht="14.4">
      <c r="A96" s="789"/>
      <c r="B96" s="790" t="s">
        <v>2751</v>
      </c>
      <c r="D96" s="1772" t="s">
        <v>2054</v>
      </c>
      <c r="E96" s="1772"/>
      <c r="F96" s="1772"/>
      <c r="I96" s="1082" t="s">
        <v>2249</v>
      </c>
    </row>
    <row r="97" spans="1:9" s="1041" customFormat="1" ht="14.4">
      <c r="A97" s="1039"/>
      <c r="B97" s="1039"/>
      <c r="C97" s="1040"/>
      <c r="D97" s="1772"/>
      <c r="E97" s="1772"/>
      <c r="F97" s="1772"/>
      <c r="I97" s="1115"/>
    </row>
    <row r="98" spans="1:9" ht="14.4">
      <c r="A98" s="789"/>
      <c r="B98" s="789"/>
      <c r="D98" s="1031"/>
      <c r="E98" s="1185" t="s">
        <v>2366</v>
      </c>
      <c r="F98" s="1025"/>
    </row>
    <row r="99" spans="1:9" ht="14.4">
      <c r="A99" s="789"/>
      <c r="B99" s="789"/>
      <c r="D99" s="870"/>
      <c r="E99" s="870"/>
      <c r="F99" s="870"/>
    </row>
    <row r="100" spans="1:9" ht="14.4">
      <c r="A100" s="789"/>
      <c r="B100" s="790" t="s">
        <v>2752</v>
      </c>
      <c r="D100" s="1772" t="s">
        <v>2053</v>
      </c>
      <c r="E100" s="1772"/>
      <c r="F100" s="1772"/>
      <c r="I100" s="1082" t="s">
        <v>2205</v>
      </c>
    </row>
    <row r="101" spans="1:9" ht="14.4">
      <c r="A101" s="789"/>
      <c r="B101" s="789"/>
      <c r="D101" s="1772"/>
      <c r="E101" s="1772"/>
      <c r="F101" s="1772"/>
    </row>
    <row r="102" spans="1:9" ht="14.4">
      <c r="A102" s="789"/>
      <c r="B102" s="789"/>
      <c r="D102" s="1025"/>
      <c r="E102" s="1025"/>
      <c r="F102" s="1025"/>
    </row>
    <row r="103" spans="1:9" ht="14.4" customHeight="1">
      <c r="A103" s="789"/>
      <c r="B103" s="790" t="s">
        <v>2752</v>
      </c>
      <c r="D103" s="1772" t="s">
        <v>1354</v>
      </c>
      <c r="E103" s="1772"/>
      <c r="F103" s="1772"/>
      <c r="G103" s="782"/>
      <c r="I103" s="1082" t="s">
        <v>2206</v>
      </c>
    </row>
    <row r="104" spans="1:9" ht="14.4">
      <c r="A104" s="789"/>
      <c r="B104" s="789"/>
      <c r="D104" s="1772"/>
      <c r="E104" s="1772"/>
      <c r="F104" s="1772"/>
      <c r="G104" s="782"/>
    </row>
    <row r="105" spans="1:9" ht="14.4">
      <c r="A105" s="789"/>
      <c r="B105" s="789"/>
      <c r="D105" s="1772"/>
      <c r="E105" s="1772"/>
      <c r="F105" s="1772"/>
      <c r="G105" s="782"/>
    </row>
    <row r="106" spans="1:9" ht="14.4">
      <c r="A106" s="789"/>
      <c r="B106" s="789"/>
      <c r="D106" s="1772"/>
      <c r="E106" s="1772"/>
      <c r="F106" s="1772"/>
      <c r="G106" s="782"/>
    </row>
    <row r="107" spans="1:9" ht="14.4">
      <c r="A107" s="789"/>
      <c r="B107" s="789"/>
      <c r="D107" s="1772"/>
      <c r="E107" s="1772"/>
      <c r="F107" s="1772"/>
      <c r="G107" s="782"/>
    </row>
    <row r="108" spans="1:9" ht="14.4">
      <c r="A108" s="789"/>
      <c r="B108" s="789"/>
      <c r="D108" s="1772"/>
      <c r="E108" s="1772"/>
      <c r="F108" s="1772"/>
      <c r="G108" s="782"/>
    </row>
    <row r="109" spans="1:9" ht="14.4">
      <c r="A109" s="789"/>
      <c r="B109" s="789"/>
      <c r="D109" s="1772"/>
      <c r="E109" s="1772"/>
      <c r="F109" s="1772"/>
      <c r="G109" s="782"/>
    </row>
    <row r="110" spans="1:9" ht="14.4">
      <c r="A110" s="789"/>
      <c r="B110" s="789"/>
      <c r="D110" s="1772"/>
      <c r="E110" s="1772"/>
      <c r="F110" s="1772"/>
      <c r="G110" s="782"/>
    </row>
    <row r="111" spans="1:9" ht="14.4">
      <c r="A111" s="789"/>
      <c r="B111" s="789"/>
      <c r="D111" s="1772"/>
      <c r="E111" s="1772"/>
      <c r="F111" s="1772"/>
      <c r="G111" s="782"/>
    </row>
    <row r="112" spans="1:9" ht="14.4">
      <c r="A112" s="789"/>
      <c r="B112" s="789"/>
      <c r="D112" s="1772"/>
      <c r="E112" s="1772"/>
      <c r="F112" s="1772"/>
      <c r="G112" s="782"/>
    </row>
    <row r="113" spans="1:11" ht="14.4">
      <c r="A113" s="789"/>
      <c r="B113" s="789"/>
      <c r="D113" s="1772"/>
      <c r="E113" s="1772"/>
      <c r="F113" s="1772"/>
      <c r="G113" s="782"/>
    </row>
    <row r="114" spans="1:11" ht="14.4">
      <c r="A114" s="789"/>
      <c r="B114" s="789"/>
      <c r="D114" s="1772"/>
      <c r="E114" s="1772"/>
      <c r="F114" s="1772"/>
      <c r="G114" s="782"/>
    </row>
    <row r="115" spans="1:11" ht="14.4">
      <c r="A115" s="789"/>
      <c r="B115" s="789"/>
      <c r="D115" s="1772"/>
      <c r="E115" s="1772"/>
      <c r="F115" s="1772"/>
      <c r="G115" s="782"/>
    </row>
    <row r="116" spans="1:11" ht="14.4">
      <c r="A116" s="789"/>
      <c r="B116" s="789"/>
      <c r="D116" s="1772"/>
      <c r="E116" s="1772"/>
      <c r="F116" s="1772"/>
    </row>
    <row r="117" spans="1:11" ht="14.4">
      <c r="A117" s="789"/>
      <c r="B117" s="789"/>
      <c r="D117" s="1772"/>
      <c r="E117" s="1772"/>
      <c r="F117" s="1772"/>
    </row>
    <row r="118" spans="1:11" ht="14.4">
      <c r="A118" s="789"/>
      <c r="B118" s="789"/>
      <c r="D118" s="896"/>
      <c r="E118" s="896"/>
      <c r="F118" s="896"/>
    </row>
    <row r="119" spans="1:11" ht="14.25" customHeight="1">
      <c r="A119" s="789"/>
      <c r="B119" s="790" t="s">
        <v>2752</v>
      </c>
      <c r="D119" s="1770" t="s">
        <v>1225</v>
      </c>
      <c r="E119" s="1770"/>
      <c r="F119" s="1770"/>
    </row>
    <row r="120" spans="1:11" ht="14.4">
      <c r="A120" s="789"/>
      <c r="B120" s="789"/>
      <c r="D120" s="1770"/>
      <c r="E120" s="1770"/>
      <c r="F120" s="1770"/>
    </row>
    <row r="121" spans="1:11" ht="14.4">
      <c r="A121" s="789"/>
      <c r="B121" s="789"/>
      <c r="D121" s="1770"/>
      <c r="E121" s="1770"/>
      <c r="F121" s="1770"/>
    </row>
    <row r="122" spans="1:11" ht="14.4">
      <c r="A122" s="789"/>
      <c r="B122" s="789"/>
      <c r="D122" s="1770"/>
      <c r="E122" s="1770"/>
      <c r="F122" s="1770"/>
    </row>
    <row r="123" spans="1:11" ht="14.4">
      <c r="A123" s="789"/>
      <c r="B123" s="789"/>
      <c r="D123" s="1770"/>
      <c r="E123" s="1770"/>
      <c r="F123" s="1770"/>
    </row>
    <row r="124" spans="1:11" ht="14.4">
      <c r="A124" s="789"/>
      <c r="B124" s="789"/>
      <c r="D124" s="1770"/>
      <c r="E124" s="1770"/>
      <c r="F124" s="1770"/>
    </row>
    <row r="125" spans="1:11" ht="14.4">
      <c r="A125" s="789"/>
      <c r="B125" s="789"/>
      <c r="D125" s="1770"/>
      <c r="E125" s="1770"/>
      <c r="F125" s="1770"/>
    </row>
    <row r="126" spans="1:11" ht="14.4">
      <c r="A126" s="789"/>
      <c r="B126" s="789"/>
      <c r="D126" s="1770"/>
      <c r="E126" s="1770"/>
      <c r="F126" s="1770"/>
    </row>
    <row r="127" spans="1:11">
      <c r="C127" s="714"/>
      <c r="D127" s="897"/>
      <c r="E127" s="897"/>
      <c r="F127" s="897"/>
      <c r="G127" s="714"/>
      <c r="H127" s="714"/>
      <c r="I127" s="615"/>
      <c r="J127" s="714"/>
      <c r="K127" s="714"/>
    </row>
    <row r="128" spans="1:11" ht="14.4">
      <c r="A128" s="789"/>
      <c r="B128" s="790" t="s">
        <v>2751</v>
      </c>
      <c r="C128" s="714"/>
      <c r="D128" s="1770" t="s">
        <v>2632</v>
      </c>
      <c r="E128" s="1770"/>
      <c r="F128" s="1770"/>
      <c r="G128" s="714"/>
      <c r="H128" s="714"/>
      <c r="I128" s="615" t="s">
        <v>2207</v>
      </c>
      <c r="J128" s="714"/>
      <c r="K128" s="714"/>
    </row>
    <row r="129" spans="1:11" ht="14.4">
      <c r="A129" s="789"/>
      <c r="B129" s="789"/>
      <c r="C129" s="714"/>
      <c r="D129" s="1770"/>
      <c r="E129" s="1770"/>
      <c r="F129" s="1770"/>
      <c r="G129" s="714"/>
      <c r="H129" s="714"/>
      <c r="I129" s="615"/>
      <c r="J129" s="714"/>
      <c r="K129" s="714"/>
    </row>
    <row r="130" spans="1:11"/>
    <row r="131" spans="1:11" ht="14.4">
      <c r="A131" s="789"/>
      <c r="B131" s="790" t="s">
        <v>2751</v>
      </c>
      <c r="C131" s="796"/>
      <c r="D131" s="1772" t="s">
        <v>1228</v>
      </c>
      <c r="E131" s="1772"/>
      <c r="F131" s="1772"/>
      <c r="I131" s="615" t="s">
        <v>2207</v>
      </c>
    </row>
    <row r="132" spans="1:11">
      <c r="C132" s="796"/>
      <c r="D132" s="1772"/>
      <c r="E132" s="1772"/>
      <c r="F132" s="1772"/>
    </row>
    <row r="133" spans="1:11">
      <c r="C133" s="796"/>
      <c r="D133" s="1772"/>
      <c r="E133" s="1772"/>
      <c r="F133" s="1772"/>
    </row>
    <row r="134" spans="1:11">
      <c r="C134" s="796"/>
      <c r="D134" s="1772"/>
      <c r="E134" s="1772"/>
      <c r="F134" s="1772"/>
    </row>
    <row r="135" spans="1:11">
      <c r="C135" s="796"/>
      <c r="D135" s="1772"/>
      <c r="E135" s="1772"/>
      <c r="F135" s="1772"/>
    </row>
    <row r="136" spans="1:11">
      <c r="C136" s="796"/>
      <c r="D136" s="664"/>
      <c r="E136" s="664"/>
      <c r="F136" s="664"/>
    </row>
    <row r="137" spans="1:11" s="714" customFormat="1" ht="14.4">
      <c r="A137" s="789"/>
      <c r="B137" s="790" t="s">
        <v>2751</v>
      </c>
      <c r="C137" s="796"/>
      <c r="D137" s="1729" t="s">
        <v>1229</v>
      </c>
      <c r="E137" s="1729"/>
      <c r="F137" s="1729"/>
      <c r="G137" s="664"/>
      <c r="I137" s="615" t="s">
        <v>2208</v>
      </c>
    </row>
    <row r="138" spans="1:11" s="804" customFormat="1" ht="13.65" customHeight="1">
      <c r="A138" s="801"/>
      <c r="B138" s="801"/>
      <c r="C138" s="802"/>
      <c r="D138" s="1729"/>
      <c r="E138" s="1729"/>
      <c r="F138" s="1729"/>
      <c r="G138" s="803"/>
      <c r="I138" s="1116"/>
    </row>
    <row r="139" spans="1:11" s="714" customFormat="1" ht="13.65" customHeight="1">
      <c r="A139" s="780"/>
      <c r="B139" s="780"/>
      <c r="C139" s="796"/>
      <c r="D139" s="1729"/>
      <c r="E139" s="1729"/>
      <c r="F139" s="1729"/>
      <c r="G139" s="664"/>
      <c r="I139" s="615"/>
    </row>
    <row r="140" spans="1:11" s="714" customFormat="1" ht="13.65" customHeight="1">
      <c r="A140" s="780"/>
      <c r="B140" s="780"/>
      <c r="C140" s="796"/>
      <c r="D140" s="1729"/>
      <c r="E140" s="1729"/>
      <c r="F140" s="1729"/>
      <c r="G140" s="664"/>
      <c r="I140" s="615"/>
    </row>
    <row r="141" spans="1:11" s="714" customFormat="1" ht="13.65" customHeight="1">
      <c r="A141" s="780"/>
      <c r="B141" s="780"/>
      <c r="C141" s="796"/>
      <c r="D141" s="1729"/>
      <c r="E141" s="1729"/>
      <c r="F141" s="1729"/>
      <c r="G141" s="664"/>
      <c r="I141" s="615"/>
    </row>
    <row r="142" spans="1:11" s="714" customFormat="1" ht="13.65" customHeight="1">
      <c r="A142" s="805"/>
      <c r="B142" s="805"/>
      <c r="C142" s="796"/>
      <c r="D142" s="1729"/>
      <c r="E142" s="1729"/>
      <c r="F142" s="1729"/>
      <c r="G142" s="664"/>
      <c r="I142" s="615"/>
    </row>
    <row r="143" spans="1:11" s="611" customFormat="1" ht="13.65" customHeight="1">
      <c r="A143" s="793"/>
      <c r="B143" s="793"/>
      <c r="C143" s="798"/>
      <c r="D143" s="1729"/>
      <c r="E143" s="1729"/>
      <c r="F143" s="1729"/>
      <c r="G143" s="685"/>
      <c r="I143" s="635"/>
    </row>
    <row r="144" spans="1:11" s="611" customFormat="1" ht="13.65" customHeight="1">
      <c r="A144" s="793"/>
      <c r="B144" s="793"/>
      <c r="C144" s="798"/>
      <c r="D144" s="1729"/>
      <c r="E144" s="1729"/>
      <c r="F144" s="1729"/>
      <c r="G144" s="685"/>
      <c r="I144" s="635"/>
    </row>
    <row r="145" spans="1:9" s="611" customFormat="1" ht="13.65" customHeight="1">
      <c r="A145" s="793"/>
      <c r="B145" s="793"/>
      <c r="C145" s="1084"/>
      <c r="D145" s="1729"/>
      <c r="E145" s="1729"/>
      <c r="F145" s="1729"/>
      <c r="G145" s="685"/>
      <c r="I145" s="635"/>
    </row>
    <row r="146" spans="1:9" s="714" customFormat="1" ht="13.65" customHeight="1">
      <c r="A146" s="780"/>
      <c r="B146" s="780"/>
      <c r="C146" s="796"/>
      <c r="D146" s="1729"/>
      <c r="E146" s="1729"/>
      <c r="F146" s="1729"/>
      <c r="G146" s="664"/>
      <c r="I146" s="615"/>
    </row>
    <row r="147" spans="1:9" s="714" customFormat="1" ht="13.65" customHeight="1">
      <c r="A147" s="780"/>
      <c r="B147" s="780"/>
      <c r="C147" s="796"/>
      <c r="D147" s="1729"/>
      <c r="E147" s="1729"/>
      <c r="F147" s="1729"/>
      <c r="G147" s="664"/>
      <c r="I147" s="615"/>
    </row>
    <row r="148" spans="1:9" s="714" customFormat="1" ht="13.65" customHeight="1">
      <c r="A148" s="780"/>
      <c r="B148" s="780"/>
      <c r="C148" s="796"/>
      <c r="D148" s="1729"/>
      <c r="E148" s="1729"/>
      <c r="F148" s="1729"/>
      <c r="G148" s="664"/>
      <c r="I148" s="615"/>
    </row>
    <row r="149" spans="1:9" s="714" customFormat="1" ht="13.65" customHeight="1">
      <c r="A149" s="780"/>
      <c r="B149" s="780"/>
      <c r="C149" s="796"/>
      <c r="D149" s="1729"/>
      <c r="E149" s="1729"/>
      <c r="F149" s="1729"/>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2751</v>
      </c>
      <c r="C151" s="796"/>
      <c r="D151" s="1813" t="s">
        <v>1337</v>
      </c>
      <c r="E151" s="1813"/>
      <c r="F151" s="1813"/>
      <c r="G151" s="664"/>
      <c r="I151" s="615" t="s">
        <v>2209</v>
      </c>
    </row>
    <row r="152" spans="1:9" s="714" customFormat="1" ht="13.65" customHeight="1">
      <c r="A152" s="780"/>
      <c r="B152" s="780"/>
      <c r="C152" s="796"/>
      <c r="D152" s="1813"/>
      <c r="E152" s="1813"/>
      <c r="F152" s="1813"/>
      <c r="G152" s="664"/>
      <c r="I152" s="615"/>
    </row>
    <row r="153" spans="1:9" s="714" customFormat="1" ht="13.65" customHeight="1">
      <c r="A153" s="780"/>
      <c r="B153" s="780"/>
      <c r="C153" s="796"/>
      <c r="D153" s="1813"/>
      <c r="E153" s="1813"/>
      <c r="F153" s="1813"/>
      <c r="G153" s="664"/>
      <c r="I153" s="615"/>
    </row>
    <row r="154" spans="1:9" s="714" customFormat="1" ht="13.65" customHeight="1">
      <c r="A154" s="780"/>
      <c r="B154" s="780"/>
      <c r="C154" s="796"/>
      <c r="D154" s="1813"/>
      <c r="E154" s="1813"/>
      <c r="F154" s="1813"/>
      <c r="G154" s="664"/>
      <c r="I154" s="615"/>
    </row>
    <row r="155" spans="1:9" s="714" customFormat="1" ht="13.65" customHeight="1">
      <c r="A155" s="780"/>
      <c r="B155" s="780"/>
      <c r="C155" s="796"/>
      <c r="D155" s="1813"/>
      <c r="E155" s="1813"/>
      <c r="F155" s="1813"/>
      <c r="G155" s="664"/>
      <c r="I155" s="615"/>
    </row>
    <row r="156" spans="1:9" s="714" customFormat="1" ht="13.65" customHeight="1">
      <c r="A156" s="780"/>
      <c r="B156" s="780"/>
      <c r="C156" s="796"/>
      <c r="D156" s="1813"/>
      <c r="E156" s="1813"/>
      <c r="F156" s="1813"/>
      <c r="G156" s="664"/>
      <c r="I156" s="615"/>
    </row>
    <row r="157" spans="1:9" s="714" customFormat="1" ht="13.65" customHeight="1">
      <c r="A157" s="780"/>
      <c r="B157" s="780"/>
      <c r="C157" s="796"/>
      <c r="D157" s="1813"/>
      <c r="E157" s="1813"/>
      <c r="F157" s="1813"/>
      <c r="G157" s="664"/>
      <c r="I157" s="615"/>
    </row>
    <row r="158" spans="1:9" s="714" customFormat="1" ht="13.65" customHeight="1">
      <c r="A158" s="780"/>
      <c r="B158" s="780"/>
      <c r="C158" s="796"/>
      <c r="D158" s="1813"/>
      <c r="E158" s="1813"/>
      <c r="F158" s="1813"/>
      <c r="G158" s="664"/>
      <c r="I158" s="615"/>
    </row>
    <row r="159" spans="1:9" s="714" customFormat="1" ht="13.65" customHeight="1">
      <c r="A159" s="780"/>
      <c r="B159" s="780"/>
      <c r="C159" s="796"/>
      <c r="D159" s="1813"/>
      <c r="E159" s="1813"/>
      <c r="F159" s="1813"/>
      <c r="G159" s="664"/>
      <c r="I159" s="615"/>
    </row>
    <row r="160" spans="1:9" s="714" customFormat="1" ht="13.65" customHeight="1">
      <c r="A160" s="780"/>
      <c r="B160" s="780"/>
      <c r="C160" s="796"/>
      <c r="D160" s="1813"/>
      <c r="E160" s="1813"/>
      <c r="F160" s="1813"/>
      <c r="G160" s="664"/>
      <c r="I160" s="615"/>
    </row>
    <row r="161" spans="1:9" s="714" customFormat="1" ht="13.65" customHeight="1">
      <c r="A161" s="780"/>
      <c r="B161" s="780"/>
      <c r="C161" s="796"/>
      <c r="D161" s="1813"/>
      <c r="E161" s="1813"/>
      <c r="F161" s="1813"/>
      <c r="G161" s="664"/>
      <c r="I161" s="615"/>
    </row>
    <row r="162" spans="1:9" s="714" customFormat="1" ht="13.65" customHeight="1">
      <c r="A162" s="780"/>
      <c r="B162" s="780"/>
      <c r="C162" s="796"/>
      <c r="D162" s="1813"/>
      <c r="E162" s="1813"/>
      <c r="F162" s="1813"/>
      <c r="G162" s="664"/>
      <c r="I162" s="615"/>
    </row>
    <row r="163" spans="1:9" s="714" customFormat="1" ht="13.65" customHeight="1">
      <c r="A163" s="780"/>
      <c r="B163" s="780"/>
      <c r="C163" s="796"/>
      <c r="D163" s="1813"/>
      <c r="E163" s="1813"/>
      <c r="F163" s="1813"/>
      <c r="G163" s="664"/>
      <c r="I163" s="615"/>
    </row>
    <row r="164" spans="1:9" s="714" customFormat="1" ht="13.65" customHeight="1">
      <c r="A164" s="780"/>
      <c r="B164" s="780"/>
      <c r="C164" s="796"/>
      <c r="D164" s="1813"/>
      <c r="E164" s="1813"/>
      <c r="F164" s="1813"/>
      <c r="G164" s="664"/>
      <c r="I164" s="615"/>
    </row>
    <row r="165" spans="1:9" s="714" customFormat="1" ht="13.65" customHeight="1">
      <c r="A165" s="780"/>
      <c r="B165" s="780"/>
      <c r="C165" s="796"/>
      <c r="D165" s="1813"/>
      <c r="E165" s="1813"/>
      <c r="F165" s="1813"/>
      <c r="G165" s="664"/>
      <c r="I165" s="615"/>
    </row>
    <row r="166" spans="1:9" s="714" customFormat="1" ht="13.65" customHeight="1">
      <c r="A166" s="780"/>
      <c r="B166" s="780"/>
      <c r="C166" s="796"/>
      <c r="D166" s="1813"/>
      <c r="E166" s="1813"/>
      <c r="F166" s="1813"/>
      <c r="G166" s="664"/>
      <c r="I166" s="615"/>
    </row>
    <row r="167" spans="1:9" s="714" customFormat="1" ht="13.65" customHeight="1">
      <c r="A167" s="780"/>
      <c r="B167" s="780"/>
      <c r="C167" s="796"/>
      <c r="D167" s="1813"/>
      <c r="E167" s="1813"/>
      <c r="F167" s="1813"/>
      <c r="G167" s="664"/>
      <c r="I167" s="615"/>
    </row>
    <row r="168" spans="1:9" s="714" customFormat="1" ht="13.65" customHeight="1">
      <c r="A168" s="780"/>
      <c r="B168" s="780"/>
      <c r="C168" s="796"/>
      <c r="D168" s="1813"/>
      <c r="E168" s="1813"/>
      <c r="F168" s="1813"/>
      <c r="G168" s="664"/>
      <c r="I168" s="615"/>
    </row>
    <row r="169" spans="1:9" s="714" customFormat="1" ht="13.65" customHeight="1">
      <c r="A169" s="780"/>
      <c r="B169" s="780"/>
      <c r="C169" s="796"/>
      <c r="D169" s="1834" t="s">
        <v>2657</v>
      </c>
      <c r="E169" s="1834"/>
      <c r="F169" s="1834"/>
      <c r="G169" s="848"/>
      <c r="I169" s="615"/>
    </row>
    <row r="170" spans="1:9" s="714" customFormat="1" ht="13.65" customHeight="1">
      <c r="A170" s="780"/>
      <c r="B170" s="780"/>
      <c r="C170" s="796"/>
      <c r="D170" s="1833"/>
      <c r="E170" s="1833"/>
      <c r="F170" s="1833"/>
      <c r="G170" s="1833"/>
      <c r="I170" s="615"/>
    </row>
    <row r="171" spans="1:9" s="714" customFormat="1" ht="14.4" customHeight="1">
      <c r="A171" s="805"/>
      <c r="B171" s="790" t="s">
        <v>2751</v>
      </c>
      <c r="C171" s="806"/>
      <c r="D171" s="1771" t="s">
        <v>1385</v>
      </c>
      <c r="E171" s="1771"/>
      <c r="F171" s="1771"/>
      <c r="G171" s="807"/>
      <c r="I171" s="615" t="s">
        <v>2204</v>
      </c>
    </row>
    <row r="172" spans="1:9" s="714" customFormat="1" ht="14.4" customHeight="1">
      <c r="A172" s="805"/>
      <c r="B172" s="805"/>
      <c r="C172" s="806"/>
      <c r="D172" s="1771"/>
      <c r="E172" s="1771"/>
      <c r="F172" s="1771"/>
      <c r="G172" s="807"/>
      <c r="I172" s="615"/>
    </row>
    <row r="173" spans="1:9" s="714" customFormat="1" ht="13.65" customHeight="1">
      <c r="A173" s="805"/>
      <c r="B173" s="805"/>
      <c r="C173" s="806"/>
      <c r="D173" s="1771"/>
      <c r="E173" s="1771"/>
      <c r="F173" s="1771"/>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2752</v>
      </c>
      <c r="C175" s="806"/>
      <c r="D175" s="1714" t="s">
        <v>1231</v>
      </c>
      <c r="E175" s="1714"/>
      <c r="F175" s="1714"/>
      <c r="G175" s="807"/>
      <c r="I175" s="615" t="s">
        <v>2210</v>
      </c>
    </row>
    <row r="176" spans="1:9" s="714" customFormat="1" ht="13.65" customHeight="1">
      <c r="A176" s="805"/>
      <c r="B176" s="805"/>
      <c r="C176" s="806"/>
      <c r="D176" s="1714"/>
      <c r="E176" s="1714"/>
      <c r="F176" s="1714"/>
      <c r="G176" s="807"/>
      <c r="I176" s="615"/>
    </row>
    <row r="177" spans="1:9" s="714" customFormat="1" ht="13.65" customHeight="1">
      <c r="A177" s="805"/>
      <c r="B177" s="805"/>
      <c r="C177" s="806"/>
      <c r="D177" s="1714"/>
      <c r="E177" s="1714"/>
      <c r="F177" s="1714"/>
      <c r="G177" s="807"/>
      <c r="I177" s="615"/>
    </row>
    <row r="178" spans="1:9" s="714" customFormat="1" ht="13.65" customHeight="1">
      <c r="A178" s="805"/>
      <c r="B178" s="805"/>
      <c r="C178" s="806"/>
      <c r="D178" s="1714"/>
      <c r="E178" s="1714"/>
      <c r="F178" s="1714"/>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2752</v>
      </c>
      <c r="C180" s="796"/>
      <c r="D180" s="1759" t="s">
        <v>2633</v>
      </c>
      <c r="E180" s="1759"/>
      <c r="F180" s="1759"/>
      <c r="G180" s="664"/>
      <c r="I180" s="615" t="s">
        <v>2211</v>
      </c>
    </row>
    <row r="181" spans="1:9" s="714" customFormat="1" ht="13.65" customHeight="1">
      <c r="A181" s="780"/>
      <c r="B181" s="780"/>
      <c r="C181" s="796"/>
      <c r="D181" s="1759"/>
      <c r="E181" s="1759"/>
      <c r="F181" s="1759"/>
      <c r="G181" s="664"/>
      <c r="I181" s="615"/>
    </row>
    <row r="182" spans="1:9" s="714" customFormat="1" ht="13.65" customHeight="1">
      <c r="A182" s="780"/>
      <c r="B182" s="780"/>
      <c r="C182" s="796"/>
      <c r="D182" s="1759"/>
      <c r="E182" s="1759"/>
      <c r="F182" s="1759"/>
      <c r="G182" s="664"/>
      <c r="I182" s="615"/>
    </row>
    <row r="183" spans="1:9" s="714" customFormat="1" ht="13.65" customHeight="1">
      <c r="A183" s="808"/>
      <c r="B183" s="808"/>
      <c r="C183" s="796"/>
      <c r="D183" s="781"/>
      <c r="E183" s="777"/>
      <c r="F183" s="777"/>
      <c r="G183" s="664"/>
      <c r="I183" s="615"/>
    </row>
    <row r="184" spans="1:9">
      <c r="A184" s="1737" t="s">
        <v>2634</v>
      </c>
      <c r="B184" s="1737"/>
      <c r="C184" s="1737"/>
      <c r="D184" s="1737"/>
      <c r="E184" s="1737"/>
      <c r="F184" s="1737"/>
      <c r="G184" s="1737"/>
      <c r="H184" s="1130"/>
      <c r="I184" s="1131"/>
    </row>
    <row r="185" spans="1:9" ht="12" customHeight="1">
      <c r="D185" s="792"/>
      <c r="E185" s="792"/>
      <c r="F185" s="792"/>
    </row>
    <row r="186" spans="1:9">
      <c r="B186" s="1825" t="s">
        <v>462</v>
      </c>
      <c r="C186" s="1825"/>
      <c r="D186" s="1825"/>
      <c r="E186" s="1825"/>
      <c r="F186" s="1825"/>
    </row>
    <row r="187" spans="1:9" s="1080" customFormat="1">
      <c r="A187" s="780"/>
      <c r="B187" s="1111" t="s">
        <v>2189</v>
      </c>
      <c r="C187" s="1111"/>
      <c r="D187" s="1111"/>
      <c r="E187" s="1111"/>
      <c r="F187" s="1111"/>
      <c r="G187" s="1079"/>
      <c r="I187" s="1082"/>
    </row>
    <row r="188" spans="1:9" ht="12" customHeight="1">
      <c r="A188" s="785"/>
      <c r="B188" s="785"/>
      <c r="C188" s="785"/>
    </row>
    <row r="189" spans="1:9">
      <c r="A189" s="1737" t="s">
        <v>1127</v>
      </c>
      <c r="B189" s="1737"/>
      <c r="C189" s="1737"/>
      <c r="D189" s="1737"/>
      <c r="E189" s="1737"/>
      <c r="F189" s="1737"/>
      <c r="G189" s="1737"/>
      <c r="H189" s="1130"/>
      <c r="I189" s="1131"/>
    </row>
    <row r="190" spans="1:9" ht="12" customHeight="1">
      <c r="A190" s="809"/>
      <c r="B190" s="809"/>
      <c r="C190" s="810"/>
      <c r="D190" s="811"/>
      <c r="E190" s="812"/>
      <c r="F190" s="811"/>
      <c r="G190" s="811"/>
    </row>
    <row r="191" spans="1:9" ht="13.65" customHeight="1">
      <c r="A191" s="809"/>
      <c r="B191" s="809"/>
      <c r="C191" s="810"/>
      <c r="D191" s="1773" t="s">
        <v>2056</v>
      </c>
      <c r="E191" s="1773"/>
      <c r="F191" s="1773"/>
      <c r="G191" s="811"/>
    </row>
    <row r="192" spans="1:9">
      <c r="A192" s="809"/>
      <c r="B192" s="809"/>
      <c r="C192" s="810"/>
      <c r="D192" s="1773"/>
      <c r="E192" s="1773"/>
      <c r="F192" s="1773"/>
      <c r="G192" s="811"/>
    </row>
    <row r="193" spans="1:9">
      <c r="A193" s="809"/>
      <c r="B193" s="809"/>
      <c r="C193" s="810"/>
      <c r="D193" s="1774" t="s">
        <v>1355</v>
      </c>
      <c r="E193" s="1774"/>
      <c r="F193" s="1774"/>
      <c r="G193" s="811"/>
    </row>
    <row r="194" spans="1:9">
      <c r="A194" s="809"/>
      <c r="B194" s="809"/>
      <c r="C194" s="810"/>
      <c r="D194" s="1026"/>
      <c r="E194" s="1026"/>
      <c r="F194" s="1026"/>
      <c r="G194" s="811"/>
    </row>
    <row r="195" spans="1:9">
      <c r="A195" s="809"/>
      <c r="B195" s="790" t="s">
        <v>2752</v>
      </c>
      <c r="C195" s="810"/>
      <c r="D195" s="1736" t="s">
        <v>2057</v>
      </c>
      <c r="E195" s="1736"/>
      <c r="F195" s="1736"/>
      <c r="G195" s="811"/>
      <c r="I195" s="1082" t="s">
        <v>2260</v>
      </c>
    </row>
    <row r="196" spans="1:9">
      <c r="A196" s="809"/>
      <c r="B196" s="809"/>
      <c r="C196" s="810"/>
      <c r="D196" s="1740" t="s">
        <v>2344</v>
      </c>
      <c r="E196" s="1740"/>
      <c r="F196" s="1740"/>
      <c r="G196" s="811"/>
    </row>
    <row r="197" spans="1:9">
      <c r="A197" s="809"/>
      <c r="B197" s="809"/>
      <c r="C197" s="810"/>
      <c r="D197" s="1042" t="s">
        <v>2058</v>
      </c>
      <c r="E197" s="1826" t="s">
        <v>2367</v>
      </c>
      <c r="F197" s="1826"/>
      <c r="G197" s="811"/>
    </row>
    <row r="198" spans="1:9">
      <c r="A198" s="809"/>
      <c r="B198" s="809"/>
      <c r="C198" s="810"/>
      <c r="D198" s="155"/>
      <c r="E198" s="155"/>
      <c r="F198" s="155"/>
      <c r="G198" s="811"/>
    </row>
    <row r="199" spans="1:9">
      <c r="A199" s="809"/>
      <c r="B199" s="790" t="s">
        <v>2752</v>
      </c>
      <c r="C199" s="810"/>
      <c r="D199" s="1740" t="s">
        <v>2059</v>
      </c>
      <c r="E199" s="1740"/>
      <c r="F199" s="1740"/>
      <c r="G199" s="811"/>
      <c r="I199" s="1082" t="s">
        <v>2261</v>
      </c>
    </row>
    <row r="200" spans="1:9">
      <c r="A200" s="809"/>
      <c r="B200" s="809"/>
      <c r="C200" s="810"/>
      <c r="D200" s="1736" t="s">
        <v>2344</v>
      </c>
      <c r="E200" s="1736"/>
      <c r="F200" s="1736"/>
      <c r="G200" s="811"/>
    </row>
    <row r="201" spans="1:9">
      <c r="A201" s="809"/>
      <c r="B201" s="809"/>
      <c r="C201" s="810"/>
      <c r="D201" s="1024" t="s">
        <v>2060</v>
      </c>
      <c r="E201" s="1826" t="s">
        <v>2368</v>
      </c>
      <c r="F201" s="1826"/>
      <c r="G201" s="811"/>
    </row>
    <row r="202" spans="1:9">
      <c r="A202" s="809"/>
      <c r="B202" s="809"/>
      <c r="C202" s="810"/>
      <c r="D202" s="155"/>
      <c r="E202" s="155"/>
      <c r="F202" s="155"/>
      <c r="G202" s="811"/>
    </row>
    <row r="203" spans="1:9">
      <c r="A203" s="809"/>
      <c r="B203" s="790" t="s">
        <v>2752</v>
      </c>
      <c r="C203" s="810"/>
      <c r="D203" s="1740" t="s">
        <v>2061</v>
      </c>
      <c r="E203" s="1740"/>
      <c r="F203" s="1740"/>
      <c r="G203" s="811"/>
      <c r="I203" s="1082" t="s">
        <v>2262</v>
      </c>
    </row>
    <row r="204" spans="1:9">
      <c r="A204" s="809"/>
      <c r="B204" s="809"/>
      <c r="C204" s="810"/>
      <c r="D204" s="1736" t="s">
        <v>2344</v>
      </c>
      <c r="E204" s="1736"/>
      <c r="F204" s="1736"/>
      <c r="G204" s="811"/>
    </row>
    <row r="205" spans="1:9">
      <c r="A205" s="809"/>
      <c r="B205" s="809"/>
      <c r="C205" s="810"/>
      <c r="D205" s="1024" t="s">
        <v>2058</v>
      </c>
      <c r="E205" s="1826" t="s">
        <v>2369</v>
      </c>
      <c r="F205" s="1826"/>
      <c r="G205" s="811"/>
    </row>
    <row r="206" spans="1:9">
      <c r="A206" s="809"/>
      <c r="B206" s="809"/>
      <c r="C206" s="810"/>
      <c r="D206" s="1026"/>
      <c r="E206" s="1026"/>
      <c r="F206" s="1026"/>
      <c r="G206" s="811"/>
    </row>
    <row r="207" spans="1:9" ht="14.25" customHeight="1">
      <c r="A207" s="789"/>
      <c r="B207" s="790" t="s">
        <v>2752</v>
      </c>
      <c r="C207" s="810"/>
      <c r="D207" s="1186" t="s">
        <v>2337</v>
      </c>
      <c r="E207" s="870"/>
      <c r="F207" s="870"/>
      <c r="G207" s="811"/>
      <c r="I207" s="1082" t="s">
        <v>2263</v>
      </c>
    </row>
    <row r="208" spans="1:9" ht="14.4">
      <c r="A208" s="789"/>
      <c r="B208" s="789"/>
      <c r="C208" s="810"/>
      <c r="D208" s="1736" t="s">
        <v>2344</v>
      </c>
      <c r="E208" s="1736"/>
      <c r="F208" s="1736"/>
      <c r="G208" s="811"/>
    </row>
    <row r="209" spans="1:9">
      <c r="A209" s="810"/>
      <c r="B209" s="810"/>
      <c r="C209" s="810"/>
      <c r="D209" s="870"/>
      <c r="E209" s="1826" t="s">
        <v>2370</v>
      </c>
      <c r="F209" s="1826"/>
    </row>
    <row r="210" spans="1:9">
      <c r="A210" s="810"/>
      <c r="B210" s="810"/>
      <c r="C210" s="810"/>
      <c r="D210" s="795"/>
      <c r="E210" s="811"/>
      <c r="F210" s="811"/>
    </row>
    <row r="211" spans="1:9">
      <c r="A211" s="810"/>
      <c r="B211" s="790" t="s">
        <v>2752</v>
      </c>
      <c r="C211" s="810"/>
      <c r="D211" s="1740" t="s">
        <v>2062</v>
      </c>
      <c r="E211" s="1740"/>
      <c r="F211" s="1740"/>
      <c r="I211" s="1082" t="s">
        <v>2264</v>
      </c>
    </row>
    <row r="212" spans="1:9">
      <c r="A212" s="810"/>
      <c r="B212" s="810"/>
      <c r="C212" s="810"/>
      <c r="D212" s="1736" t="s">
        <v>2344</v>
      </c>
      <c r="E212" s="1736"/>
      <c r="F212" s="1736"/>
    </row>
    <row r="213" spans="1:9">
      <c r="A213" s="810"/>
      <c r="B213" s="810"/>
      <c r="C213" s="810"/>
      <c r="D213" s="1024" t="s">
        <v>2058</v>
      </c>
      <c r="E213" s="1826" t="s">
        <v>2371</v>
      </c>
      <c r="F213" s="1826"/>
    </row>
    <row r="214" spans="1:9">
      <c r="A214" s="810"/>
      <c r="B214" s="810"/>
      <c r="C214" s="810"/>
      <c r="D214" s="771"/>
      <c r="E214" s="771"/>
      <c r="F214" s="771"/>
    </row>
    <row r="215" spans="1:9" s="611" customFormat="1" ht="14.4">
      <c r="A215" s="789"/>
      <c r="B215" s="790" t="s">
        <v>2752</v>
      </c>
      <c r="C215" s="798"/>
      <c r="D215" s="1772" t="s">
        <v>1377</v>
      </c>
      <c r="E215" s="1772"/>
      <c r="F215" s="1772"/>
      <c r="G215" s="685"/>
      <c r="I215" s="635"/>
    </row>
    <row r="216" spans="1:9" s="611" customFormat="1" ht="14.4" customHeight="1">
      <c r="A216" s="789"/>
      <c r="C216" s="798"/>
      <c r="D216" s="1772"/>
      <c r="E216" s="1772"/>
      <c r="F216" s="1772"/>
      <c r="G216" s="685"/>
      <c r="I216" s="635"/>
    </row>
    <row r="217" spans="1:9" s="611" customFormat="1" ht="14.4">
      <c r="A217" s="789"/>
      <c r="B217" s="810"/>
      <c r="C217" s="798"/>
      <c r="D217" s="1772"/>
      <c r="E217" s="1772"/>
      <c r="F217" s="1772"/>
      <c r="G217" s="685"/>
      <c r="I217" s="635"/>
    </row>
    <row r="218" spans="1:9" s="611" customFormat="1" ht="14.4">
      <c r="A218" s="789"/>
      <c r="B218" s="810"/>
      <c r="C218" s="798"/>
      <c r="D218" s="1772"/>
      <c r="E218" s="1772"/>
      <c r="F218" s="1772"/>
      <c r="G218" s="685"/>
      <c r="I218" s="635"/>
    </row>
    <row r="219" spans="1:9">
      <c r="A219" s="810"/>
      <c r="B219" s="810"/>
      <c r="C219" s="810"/>
      <c r="D219" s="771"/>
      <c r="E219" s="771"/>
      <c r="F219" s="771"/>
    </row>
    <row r="220" spans="1:9">
      <c r="A220" s="1737" t="s">
        <v>1128</v>
      </c>
      <c r="B220" s="1737"/>
      <c r="C220" s="1737"/>
      <c r="D220" s="1737"/>
      <c r="E220" s="1737"/>
      <c r="F220" s="1737"/>
      <c r="G220" s="1737"/>
      <c r="H220" s="1130"/>
      <c r="I220" s="1131"/>
    </row>
    <row r="221" spans="1:9" ht="12" customHeight="1">
      <c r="D221" s="792"/>
      <c r="E221" s="792"/>
      <c r="F221" s="792"/>
    </row>
    <row r="222" spans="1:9">
      <c r="C222" s="799"/>
      <c r="D222" s="1824" t="s">
        <v>213</v>
      </c>
      <c r="E222" s="1824"/>
      <c r="F222" s="1824"/>
    </row>
    <row r="223" spans="1:9">
      <c r="A223" s="785"/>
      <c r="B223" s="785"/>
      <c r="C223" s="785"/>
      <c r="D223" s="1810" t="s">
        <v>1257</v>
      </c>
      <c r="E223" s="1810"/>
      <c r="F223" s="1810"/>
    </row>
    <row r="224" spans="1:9" ht="12" customHeight="1">
      <c r="A224" s="808"/>
      <c r="B224" s="808"/>
      <c r="C224" s="808"/>
    </row>
    <row r="225" spans="1:9" ht="13.65" customHeight="1">
      <c r="A225" s="808"/>
      <c r="C225" s="808"/>
      <c r="D225" s="1727" t="s">
        <v>569</v>
      </c>
      <c r="E225" s="1727"/>
      <c r="F225" s="1727"/>
      <c r="I225" s="1082" t="s">
        <v>2212</v>
      </c>
    </row>
    <row r="226" spans="1:9" ht="14.4">
      <c r="A226" s="789"/>
      <c r="B226" s="790" t="s">
        <v>2751</v>
      </c>
      <c r="D226" s="1772" t="s">
        <v>2063</v>
      </c>
      <c r="E226" s="1772"/>
      <c r="F226" s="1772"/>
    </row>
    <row r="227" spans="1:9" ht="14.25" customHeight="1">
      <c r="A227" s="789"/>
      <c r="B227" s="789"/>
      <c r="D227" s="1772"/>
      <c r="E227" s="1772"/>
      <c r="F227" s="1772"/>
    </row>
    <row r="228" spans="1:9" ht="14.25" customHeight="1">
      <c r="A228" s="789"/>
      <c r="B228" s="789"/>
      <c r="D228" s="1772"/>
      <c r="E228" s="1772"/>
      <c r="F228" s="1772"/>
    </row>
    <row r="229" spans="1:9" ht="14.4">
      <c r="A229" s="789"/>
      <c r="B229" s="789"/>
      <c r="D229" s="1772"/>
      <c r="E229" s="1772"/>
      <c r="F229" s="1772"/>
    </row>
    <row r="230" spans="1:9" ht="14.4">
      <c r="A230" s="789"/>
      <c r="B230" s="789"/>
      <c r="D230" s="1025"/>
      <c r="E230" s="1025"/>
      <c r="F230" s="1025"/>
    </row>
    <row r="231" spans="1:9" ht="14.4">
      <c r="A231" s="789"/>
      <c r="B231" s="790" t="s">
        <v>2751</v>
      </c>
      <c r="D231" s="1772" t="s">
        <v>2064</v>
      </c>
      <c r="E231" s="1772"/>
      <c r="F231" s="1772"/>
      <c r="I231" s="1082" t="s">
        <v>2213</v>
      </c>
    </row>
    <row r="232" spans="1:9" ht="14.4">
      <c r="A232" s="789"/>
      <c r="B232" s="789"/>
      <c r="D232" s="1772"/>
      <c r="E232" s="1772"/>
      <c r="F232" s="1772"/>
    </row>
    <row r="233" spans="1:9" ht="14.4">
      <c r="A233" s="789"/>
      <c r="B233" s="789"/>
      <c r="D233" s="1772"/>
      <c r="E233" s="1772"/>
      <c r="F233" s="1772"/>
    </row>
    <row r="234" spans="1:9" ht="14.4">
      <c r="A234" s="789"/>
      <c r="B234" s="789"/>
      <c r="D234" s="1772"/>
      <c r="E234" s="1772"/>
      <c r="F234" s="1772"/>
    </row>
    <row r="235" spans="1:9" ht="14.25" customHeight="1">
      <c r="A235" s="789"/>
      <c r="B235" s="789"/>
      <c r="D235" s="1772"/>
      <c r="E235" s="1772"/>
      <c r="F235" s="1772"/>
    </row>
    <row r="236" spans="1:9" ht="14.25" customHeight="1">
      <c r="A236" s="789"/>
      <c r="B236" s="789"/>
      <c r="D236" s="1025"/>
      <c r="E236" s="1025"/>
      <c r="F236" s="1025"/>
    </row>
    <row r="237" spans="1:9" ht="14.4">
      <c r="A237" s="789"/>
      <c r="B237" s="789"/>
      <c r="D237" s="1772" t="s">
        <v>1253</v>
      </c>
      <c r="E237" s="1772"/>
      <c r="F237" s="1772"/>
      <c r="I237" s="1082" t="s">
        <v>2212</v>
      </c>
    </row>
    <row r="238" spans="1:9" ht="14.4">
      <c r="A238" s="789"/>
      <c r="B238" s="789"/>
      <c r="D238" s="1772"/>
      <c r="E238" s="1772"/>
      <c r="F238" s="1772"/>
    </row>
    <row r="239" spans="1:9" ht="14.4">
      <c r="A239" s="789"/>
      <c r="B239" s="789"/>
      <c r="D239" s="1772"/>
      <c r="E239" s="1772"/>
      <c r="F239" s="1772"/>
    </row>
    <row r="240" spans="1:9" ht="14.4">
      <c r="A240" s="789"/>
      <c r="B240" s="789"/>
      <c r="D240" s="1772"/>
      <c r="E240" s="1772"/>
      <c r="F240" s="1772"/>
    </row>
    <row r="241" spans="1:9" ht="14.4">
      <c r="A241" s="789"/>
      <c r="B241" s="789"/>
      <c r="D241" s="1772"/>
      <c r="E241" s="1772"/>
      <c r="F241" s="1772"/>
    </row>
    <row r="242" spans="1:9" ht="14.4">
      <c r="A242" s="789"/>
      <c r="B242" s="789"/>
      <c r="D242" s="792"/>
      <c r="E242" s="792"/>
      <c r="F242" s="792"/>
    </row>
    <row r="243" spans="1:9" ht="14.4">
      <c r="A243" s="789"/>
      <c r="B243" s="790" t="s">
        <v>2751</v>
      </c>
      <c r="D243" s="1808" t="s">
        <v>2635</v>
      </c>
      <c r="E243" s="1808"/>
      <c r="F243" s="1808"/>
      <c r="I243" s="1082" t="s">
        <v>2251</v>
      </c>
    </row>
    <row r="244" spans="1:9" ht="14.4">
      <c r="A244" s="789"/>
      <c r="B244" s="789"/>
      <c r="D244" s="1808"/>
      <c r="E244" s="1808"/>
      <c r="F244" s="1808"/>
    </row>
    <row r="245" spans="1:9" ht="14.4">
      <c r="A245" s="789"/>
      <c r="B245" s="789"/>
      <c r="D245" s="1808"/>
      <c r="E245" s="1808"/>
      <c r="F245" s="1808"/>
    </row>
    <row r="246" spans="1:9" ht="14.4">
      <c r="A246" s="789"/>
      <c r="B246" s="789"/>
      <c r="E246" s="1187" t="s">
        <v>2338</v>
      </c>
    </row>
    <row r="247" spans="1:9" ht="14.4">
      <c r="A247" s="789"/>
      <c r="B247" s="789"/>
      <c r="D247" s="792"/>
      <c r="E247" s="792"/>
      <c r="F247" s="792"/>
    </row>
    <row r="248" spans="1:9" ht="14.4" customHeight="1">
      <c r="A248" s="789"/>
      <c r="B248" s="790" t="s">
        <v>2752</v>
      </c>
      <c r="D248" s="1808" t="s">
        <v>2636</v>
      </c>
      <c r="E248" s="1808"/>
      <c r="F248" s="1808"/>
      <c r="I248" s="1082" t="s">
        <v>2269</v>
      </c>
    </row>
    <row r="249" spans="1:9" ht="14.4">
      <c r="A249" s="789"/>
      <c r="B249" s="789"/>
      <c r="D249" s="1808"/>
      <c r="E249" s="1808"/>
      <c r="F249" s="1808"/>
    </row>
    <row r="250" spans="1:9" ht="14.4">
      <c r="A250" s="789"/>
      <c r="B250" s="789"/>
      <c r="D250" s="1808"/>
      <c r="E250" s="1808"/>
      <c r="F250" s="1808"/>
    </row>
    <row r="251" spans="1:9" ht="14.4">
      <c r="A251" s="789"/>
      <c r="B251" s="789"/>
      <c r="D251" s="1808"/>
      <c r="E251" s="1808"/>
      <c r="F251" s="1808"/>
    </row>
    <row r="252" spans="1:9" ht="14.4">
      <c r="A252" s="789"/>
      <c r="B252" s="789"/>
      <c r="D252" s="1808"/>
      <c r="E252" s="1808"/>
      <c r="F252" s="1808"/>
    </row>
    <row r="253" spans="1:9" ht="14.4">
      <c r="A253" s="789"/>
      <c r="B253" s="789"/>
      <c r="D253" s="1036"/>
      <c r="E253" s="1036"/>
      <c r="F253" s="1036"/>
    </row>
    <row r="254" spans="1:9" ht="14.4">
      <c r="A254" s="789"/>
      <c r="B254" s="790" t="s">
        <v>2751</v>
      </c>
      <c r="D254" s="1035" t="s">
        <v>2637</v>
      </c>
      <c r="E254" s="1036"/>
      <c r="F254" s="1036"/>
      <c r="I254" s="1082" t="s">
        <v>2250</v>
      </c>
    </row>
    <row r="255" spans="1:9" ht="14.4">
      <c r="A255" s="789"/>
      <c r="B255" s="789"/>
      <c r="E255" s="1187" t="s">
        <v>2339</v>
      </c>
    </row>
    <row r="256" spans="1:9">
      <c r="D256" s="792"/>
      <c r="E256" s="792"/>
      <c r="F256" s="792"/>
    </row>
    <row r="257" spans="1:9" ht="14.4">
      <c r="A257" s="789"/>
      <c r="B257" s="790" t="s">
        <v>2751</v>
      </c>
      <c r="D257" s="1772" t="s">
        <v>1255</v>
      </c>
      <c r="E257" s="1772"/>
      <c r="F257" s="1772"/>
    </row>
    <row r="258" spans="1:9" ht="14.4">
      <c r="A258" s="789"/>
      <c r="B258" s="789"/>
      <c r="D258" s="1772"/>
      <c r="E258" s="1772"/>
      <c r="F258" s="1772"/>
    </row>
    <row r="259" spans="1:9">
      <c r="D259" s="813"/>
    </row>
    <row r="260" spans="1:9">
      <c r="A260" s="1737" t="s">
        <v>1129</v>
      </c>
      <c r="B260" s="1737"/>
      <c r="C260" s="1737"/>
      <c r="D260" s="1737"/>
      <c r="E260" s="1737"/>
      <c r="F260" s="1737"/>
      <c r="G260" s="1737"/>
      <c r="H260" s="1130"/>
      <c r="I260" s="1131"/>
    </row>
    <row r="261" spans="1:9">
      <c r="D261" s="813"/>
    </row>
    <row r="262" spans="1:9">
      <c r="C262" s="799"/>
      <c r="D262" s="1727" t="s">
        <v>1258</v>
      </c>
      <c r="E262" s="1727"/>
      <c r="F262" s="1727"/>
    </row>
    <row r="263" spans="1:9">
      <c r="A263" s="785"/>
      <c r="B263" s="785"/>
      <c r="C263" s="785"/>
      <c r="D263" s="792"/>
      <c r="E263" s="792"/>
      <c r="F263" s="792"/>
    </row>
    <row r="264" spans="1:9">
      <c r="A264" s="787"/>
      <c r="B264" s="787"/>
      <c r="C264" s="787"/>
      <c r="D264" s="1727" t="s">
        <v>274</v>
      </c>
      <c r="E264" s="1727"/>
      <c r="F264" s="1727"/>
      <c r="I264" s="1082" t="s">
        <v>2252</v>
      </c>
    </row>
    <row r="265" spans="1:9" ht="14.4" customHeight="1">
      <c r="A265" s="789"/>
      <c r="B265" s="790" t="s">
        <v>2751</v>
      </c>
      <c r="D265" s="1840" t="s">
        <v>1356</v>
      </c>
      <c r="E265" s="1840"/>
      <c r="F265" s="1840"/>
    </row>
    <row r="266" spans="1:9">
      <c r="D266" s="1840"/>
      <c r="E266" s="1840"/>
      <c r="F266" s="1840"/>
    </row>
    <row r="267" spans="1:9">
      <c r="E267" s="1187" t="s">
        <v>2340</v>
      </c>
    </row>
    <row r="268" spans="1:9">
      <c r="D268" s="792"/>
      <c r="E268" s="792"/>
      <c r="F268" s="792"/>
    </row>
    <row r="269" spans="1:9" ht="14.4" customHeight="1">
      <c r="A269" s="789"/>
      <c r="B269" s="790" t="s">
        <v>2752</v>
      </c>
      <c r="D269" s="1808" t="s">
        <v>2638</v>
      </c>
      <c r="E269" s="1808"/>
      <c r="F269" s="1808"/>
      <c r="I269" s="1082" t="s">
        <v>2270</v>
      </c>
    </row>
    <row r="270" spans="1:9">
      <c r="D270" s="1808"/>
      <c r="E270" s="1808"/>
      <c r="F270" s="1808"/>
    </row>
    <row r="271" spans="1:9">
      <c r="D271" s="1808"/>
      <c r="E271" s="1808"/>
      <c r="F271" s="1808"/>
    </row>
    <row r="272" spans="1:9">
      <c r="D272" s="1808"/>
      <c r="E272" s="1808"/>
      <c r="F272" s="1808"/>
    </row>
    <row r="273" spans="1:9">
      <c r="D273" s="1808"/>
      <c r="E273" s="1808"/>
      <c r="F273" s="1808"/>
    </row>
    <row r="274" spans="1:9">
      <c r="D274" s="1808"/>
      <c r="E274" s="1808"/>
      <c r="F274" s="1808"/>
    </row>
    <row r="275" spans="1:9">
      <c r="D275" s="792"/>
      <c r="E275" s="792"/>
      <c r="F275" s="792"/>
    </row>
    <row r="276" spans="1:9" ht="14.4">
      <c r="A276" s="789"/>
      <c r="B276" s="790" t="s">
        <v>2752</v>
      </c>
      <c r="D276" s="1772" t="s">
        <v>1261</v>
      </c>
      <c r="E276" s="1772"/>
      <c r="F276" s="1772"/>
    </row>
    <row r="277" spans="1:9">
      <c r="D277" s="1772"/>
      <c r="E277" s="1772"/>
      <c r="F277" s="1772"/>
    </row>
    <row r="278" spans="1:9">
      <c r="D278" s="1772"/>
      <c r="E278" s="1772"/>
      <c r="F278" s="1772"/>
    </row>
    <row r="279" spans="1:9">
      <c r="D279" s="814"/>
      <c r="E279" s="792"/>
      <c r="F279" s="792"/>
    </row>
    <row r="280" spans="1:9">
      <c r="A280" s="1737" t="s">
        <v>1130</v>
      </c>
      <c r="B280" s="1737"/>
      <c r="C280" s="1737"/>
      <c r="D280" s="1737"/>
      <c r="E280" s="1737"/>
      <c r="F280" s="1737"/>
      <c r="G280" s="1737"/>
      <c r="H280" s="1130"/>
      <c r="I280" s="1131"/>
    </row>
    <row r="281" spans="1:9">
      <c r="D281" s="814"/>
      <c r="E281" s="792"/>
      <c r="F281" s="792"/>
    </row>
    <row r="282" spans="1:9">
      <c r="C282" s="785"/>
      <c r="D282" s="1809" t="s">
        <v>1263</v>
      </c>
      <c r="E282" s="1809"/>
      <c r="F282" s="1809"/>
    </row>
    <row r="283" spans="1:9">
      <c r="C283" s="785"/>
      <c r="D283" s="1809"/>
      <c r="E283" s="1809"/>
      <c r="F283" s="1809"/>
    </row>
    <row r="284" spans="1:9">
      <c r="A284" s="787"/>
      <c r="B284" s="787"/>
      <c r="C284" s="787"/>
      <c r="D284" s="615"/>
      <c r="E284" s="664"/>
      <c r="F284" s="664"/>
    </row>
    <row r="285" spans="1:9">
      <c r="C285" s="787"/>
      <c r="D285" s="1727" t="s">
        <v>214</v>
      </c>
      <c r="E285" s="1727"/>
      <c r="F285" s="1727"/>
    </row>
    <row r="286" spans="1:9" ht="15.75" customHeight="1">
      <c r="A286" s="789"/>
      <c r="B286" s="789"/>
      <c r="D286" s="1819" t="s">
        <v>1264</v>
      </c>
      <c r="E286" s="1819"/>
      <c r="F286" s="1819"/>
    </row>
    <row r="287" spans="1:9">
      <c r="E287" s="792"/>
      <c r="F287" s="792"/>
    </row>
    <row r="288" spans="1:9" ht="14.4">
      <c r="A288" s="789"/>
      <c r="B288" s="790" t="s">
        <v>2752</v>
      </c>
      <c r="D288" s="1772" t="s">
        <v>1265</v>
      </c>
      <c r="E288" s="1772"/>
      <c r="F288" s="1772"/>
      <c r="I288" s="1082" t="s">
        <v>2214</v>
      </c>
    </row>
    <row r="289" spans="1:9" ht="14.4">
      <c r="A289" s="789"/>
      <c r="B289" s="789"/>
      <c r="D289" s="1772"/>
      <c r="E289" s="1772"/>
      <c r="F289" s="1772"/>
    </row>
    <row r="290" spans="1:9">
      <c r="D290" s="792"/>
      <c r="E290" s="792"/>
      <c r="F290" s="792"/>
    </row>
    <row r="291" spans="1:9" ht="14.4">
      <c r="A291" s="789"/>
      <c r="B291" s="790" t="s">
        <v>2752</v>
      </c>
      <c r="D291" s="1808" t="s">
        <v>1266</v>
      </c>
      <c r="E291" s="1808"/>
      <c r="F291" s="1808"/>
      <c r="I291" s="1082" t="s">
        <v>2214</v>
      </c>
    </row>
    <row r="292" spans="1:9" ht="14.4">
      <c r="A292" s="789"/>
      <c r="B292" s="789"/>
      <c r="D292" s="1808"/>
      <c r="E292" s="1808"/>
      <c r="F292" s="1808"/>
    </row>
    <row r="293" spans="1:9" ht="14.4">
      <c r="A293" s="789"/>
      <c r="B293" s="789"/>
      <c r="D293" s="1808"/>
      <c r="E293" s="1808"/>
      <c r="F293" s="1808"/>
    </row>
    <row r="294" spans="1:9">
      <c r="D294" s="792"/>
      <c r="E294" s="792"/>
      <c r="F294" s="792"/>
    </row>
    <row r="295" spans="1:9" ht="14.4">
      <c r="A295" s="789"/>
      <c r="B295" s="790" t="s">
        <v>2752</v>
      </c>
      <c r="D295" s="1772" t="s">
        <v>1267</v>
      </c>
      <c r="E295" s="1772"/>
      <c r="F295" s="1772"/>
      <c r="I295" s="1082" t="s">
        <v>2214</v>
      </c>
    </row>
    <row r="296" spans="1:9" ht="14.4">
      <c r="A296" s="789"/>
      <c r="B296" s="789"/>
      <c r="D296" s="1772"/>
      <c r="E296" s="1772"/>
      <c r="F296" s="1772"/>
    </row>
    <row r="297" spans="1:9">
      <c r="A297" s="808"/>
      <c r="B297" s="808"/>
      <c r="E297" s="792"/>
      <c r="F297" s="792"/>
    </row>
    <row r="298" spans="1:9">
      <c r="A298" s="1737" t="s">
        <v>1131</v>
      </c>
      <c r="B298" s="1737"/>
      <c r="C298" s="1737"/>
      <c r="D298" s="1737"/>
      <c r="E298" s="1737"/>
      <c r="F298" s="1737"/>
      <c r="G298" s="1737"/>
      <c r="H298" s="1130"/>
      <c r="I298" s="1131"/>
    </row>
    <row r="299" spans="1:9">
      <c r="A299" s="808"/>
      <c r="B299" s="808"/>
      <c r="D299" s="792"/>
      <c r="E299" s="792"/>
      <c r="F299" s="792"/>
    </row>
    <row r="300" spans="1:9">
      <c r="C300" s="808"/>
      <c r="D300" s="1727" t="s">
        <v>706</v>
      </c>
      <c r="E300" s="1727"/>
      <c r="F300" s="1727"/>
    </row>
    <row r="301" spans="1:9">
      <c r="C301" s="808"/>
      <c r="D301" s="1777" t="s">
        <v>1268</v>
      </c>
      <c r="E301" s="1777"/>
      <c r="F301" s="1777"/>
    </row>
    <row r="302" spans="1:9">
      <c r="C302" s="808"/>
      <c r="D302" s="815"/>
    </row>
    <row r="303" spans="1:9">
      <c r="A303" s="793"/>
      <c r="B303" s="790" t="s">
        <v>2752</v>
      </c>
      <c r="D303" s="1777" t="s">
        <v>1269</v>
      </c>
      <c r="E303" s="1777"/>
      <c r="F303" s="1777"/>
      <c r="I303" s="1082" t="s">
        <v>2215</v>
      </c>
    </row>
    <row r="304" spans="1:9" s="783" customFormat="1" ht="14.4">
      <c r="A304" s="797"/>
      <c r="B304" s="797"/>
      <c r="C304" s="793"/>
      <c r="D304" s="816"/>
      <c r="E304" s="817"/>
      <c r="F304" s="817"/>
      <c r="G304" s="794"/>
      <c r="I304" s="1114"/>
    </row>
    <row r="305" spans="1:9" s="783" customFormat="1" ht="13.65" customHeight="1">
      <c r="A305" s="793"/>
      <c r="B305" s="790" t="s">
        <v>2752</v>
      </c>
      <c r="C305" s="793"/>
      <c r="D305" s="1814" t="s">
        <v>1381</v>
      </c>
      <c r="E305" s="1814"/>
      <c r="F305" s="1814"/>
      <c r="G305" s="794"/>
      <c r="I305" s="1114" t="s">
        <v>2215</v>
      </c>
    </row>
    <row r="306" spans="1:9" s="783" customFormat="1" ht="14.4">
      <c r="A306" s="797"/>
      <c r="B306" s="797"/>
      <c r="C306" s="793"/>
      <c r="D306" s="1814"/>
      <c r="E306" s="1814"/>
      <c r="F306" s="1814"/>
      <c r="G306" s="794"/>
      <c r="I306" s="1114"/>
    </row>
    <row r="307" spans="1:9" s="783" customFormat="1" ht="14.4">
      <c r="A307" s="797"/>
      <c r="B307" s="797"/>
      <c r="C307" s="793"/>
      <c r="D307" s="1814"/>
      <c r="E307" s="1814"/>
      <c r="F307" s="1814"/>
      <c r="G307" s="794"/>
      <c r="I307" s="1114"/>
    </row>
    <row r="308" spans="1:9" s="783" customFormat="1" ht="14.4">
      <c r="A308" s="797"/>
      <c r="B308" s="797"/>
      <c r="C308" s="793"/>
      <c r="D308" s="1814"/>
      <c r="E308" s="1814"/>
      <c r="F308" s="1814"/>
      <c r="G308" s="794"/>
      <c r="I308" s="1114"/>
    </row>
    <row r="309" spans="1:9" s="783" customFormat="1" ht="14.4">
      <c r="A309" s="797"/>
      <c r="B309" s="797"/>
      <c r="C309" s="793"/>
      <c r="D309" s="1814"/>
      <c r="E309" s="1814"/>
      <c r="F309" s="1814"/>
      <c r="G309" s="794"/>
      <c r="I309" s="1114"/>
    </row>
    <row r="310" spans="1:9" s="783" customFormat="1" ht="14.4">
      <c r="A310" s="797"/>
      <c r="B310" s="797"/>
      <c r="C310" s="793"/>
      <c r="D310" s="816"/>
      <c r="E310" s="817"/>
      <c r="F310" s="817"/>
      <c r="G310" s="794"/>
      <c r="I310" s="1114"/>
    </row>
    <row r="311" spans="1:9" s="783" customFormat="1" ht="13.65" customHeight="1">
      <c r="A311" s="793"/>
      <c r="B311" s="790" t="s">
        <v>2752</v>
      </c>
      <c r="C311" s="793"/>
      <c r="D311" s="1814" t="s">
        <v>1271</v>
      </c>
      <c r="E311" s="1814"/>
      <c r="F311" s="1814"/>
      <c r="G311" s="794"/>
      <c r="I311" s="1114" t="s">
        <v>2215</v>
      </c>
    </row>
    <row r="312" spans="1:9" s="783" customFormat="1">
      <c r="A312" s="793"/>
      <c r="B312" s="793"/>
      <c r="C312" s="793"/>
      <c r="D312" s="1814"/>
      <c r="E312" s="1814"/>
      <c r="F312" s="1814"/>
      <c r="G312" s="794"/>
      <c r="I312" s="1114"/>
    </row>
    <row r="313" spans="1:9" s="783" customFormat="1" ht="14.4">
      <c r="A313" s="797"/>
      <c r="B313" s="797"/>
      <c r="C313" s="793"/>
      <c r="D313" s="816"/>
      <c r="E313" s="817"/>
      <c r="F313" s="817"/>
      <c r="G313" s="794"/>
      <c r="I313" s="1114"/>
    </row>
    <row r="314" spans="1:9">
      <c r="A314" s="793"/>
      <c r="B314" s="790" t="s">
        <v>2752</v>
      </c>
      <c r="D314" s="1777" t="s">
        <v>1272</v>
      </c>
      <c r="E314" s="1777"/>
      <c r="F314" s="1777"/>
      <c r="I314" s="1082" t="s">
        <v>2201</v>
      </c>
    </row>
    <row r="315" spans="1:9">
      <c r="E315" s="792"/>
      <c r="F315" s="792"/>
    </row>
    <row r="316" spans="1:9" ht="14.4">
      <c r="A316" s="789"/>
      <c r="B316" s="790" t="s">
        <v>2752</v>
      </c>
      <c r="D316" s="1808" t="s">
        <v>2658</v>
      </c>
      <c r="E316" s="1808"/>
      <c r="F316" s="1808"/>
      <c r="I316" s="1082" t="s">
        <v>2216</v>
      </c>
    </row>
    <row r="317" spans="1:9" ht="14.4">
      <c r="A317" s="789"/>
      <c r="B317" s="789"/>
      <c r="D317" s="1808"/>
      <c r="E317" s="1808"/>
      <c r="F317" s="1808"/>
    </row>
    <row r="318" spans="1:9" ht="14.4">
      <c r="A318" s="789"/>
      <c r="B318" s="789"/>
      <c r="D318" s="1808"/>
      <c r="E318" s="1808"/>
      <c r="F318" s="1808"/>
    </row>
    <row r="319" spans="1:9" ht="14.4">
      <c r="A319" s="789"/>
      <c r="B319" s="789"/>
      <c r="D319" s="1808"/>
      <c r="E319" s="1808"/>
      <c r="F319" s="1808"/>
    </row>
    <row r="320" spans="1:9" ht="14.4">
      <c r="A320" s="789"/>
      <c r="B320" s="789"/>
      <c r="D320" s="1808"/>
      <c r="E320" s="1808"/>
      <c r="F320" s="1808"/>
    </row>
    <row r="321" spans="1:9" ht="14.4">
      <c r="A321" s="789"/>
      <c r="B321" s="789"/>
      <c r="D321" s="1808"/>
      <c r="E321" s="1808"/>
      <c r="F321" s="1808"/>
    </row>
    <row r="322" spans="1:9" ht="14.4">
      <c r="A322" s="789"/>
      <c r="B322" s="789"/>
      <c r="D322" s="1808"/>
      <c r="E322" s="1808"/>
      <c r="F322" s="1808"/>
    </row>
    <row r="323" spans="1:9" ht="14.4">
      <c r="A323" s="789"/>
      <c r="B323" s="789"/>
      <c r="D323" s="1808"/>
      <c r="E323" s="1808"/>
      <c r="F323" s="1808"/>
    </row>
    <row r="324" spans="1:9" ht="14.4">
      <c r="A324" s="789"/>
      <c r="B324" s="789"/>
      <c r="D324" s="1808"/>
      <c r="E324" s="1808"/>
      <c r="F324" s="1808"/>
    </row>
    <row r="325" spans="1:9" ht="14.4">
      <c r="A325" s="789"/>
      <c r="B325" s="789"/>
      <c r="D325" s="1808"/>
      <c r="E325" s="1808"/>
      <c r="F325" s="1808"/>
    </row>
    <row r="326" spans="1:9" ht="14.4">
      <c r="A326" s="789"/>
      <c r="B326" s="789"/>
      <c r="D326" s="1808"/>
      <c r="E326" s="1808"/>
      <c r="F326" s="1808"/>
    </row>
    <row r="327" spans="1:9" ht="14.4">
      <c r="A327" s="789"/>
      <c r="B327" s="789"/>
      <c r="D327" s="1808"/>
      <c r="E327" s="1808"/>
      <c r="F327" s="1808"/>
    </row>
    <row r="328" spans="1:9" ht="14.4">
      <c r="A328" s="789"/>
      <c r="B328" s="789"/>
      <c r="D328" s="1808"/>
      <c r="E328" s="1808"/>
      <c r="F328" s="1808"/>
    </row>
    <row r="329" spans="1:9" ht="14.4">
      <c r="A329" s="789"/>
      <c r="B329" s="789"/>
      <c r="D329" s="1808"/>
      <c r="E329" s="1808"/>
      <c r="F329" s="1808"/>
    </row>
    <row r="330" spans="1:9" ht="14.4">
      <c r="A330" s="789"/>
      <c r="B330" s="789"/>
      <c r="D330" s="1808"/>
      <c r="E330" s="1808"/>
      <c r="F330" s="1808"/>
    </row>
    <row r="331" spans="1:9">
      <c r="D331" s="792"/>
      <c r="E331" s="792"/>
      <c r="F331" s="792"/>
    </row>
    <row r="332" spans="1:9" ht="14.4">
      <c r="A332" s="789"/>
      <c r="B332" s="790" t="s">
        <v>2752</v>
      </c>
      <c r="D332" s="1808" t="s">
        <v>1274</v>
      </c>
      <c r="E332" s="1808"/>
      <c r="F332" s="1808"/>
      <c r="I332" s="1082" t="s">
        <v>2216</v>
      </c>
    </row>
    <row r="333" spans="1:9">
      <c r="D333" s="1808"/>
      <c r="E333" s="1808"/>
      <c r="F333" s="1808"/>
    </row>
    <row r="334" spans="1:9">
      <c r="D334" s="1808"/>
      <c r="E334" s="1808"/>
      <c r="F334" s="1808"/>
    </row>
    <row r="335" spans="1:9">
      <c r="D335" s="1808"/>
      <c r="E335" s="1808"/>
      <c r="F335" s="1808"/>
    </row>
    <row r="336" spans="1:9">
      <c r="D336" s="1808"/>
      <c r="E336" s="1808"/>
      <c r="F336" s="1808"/>
    </row>
    <row r="337" spans="1:9">
      <c r="D337" s="1808"/>
      <c r="E337" s="1808"/>
      <c r="F337" s="1808"/>
    </row>
    <row r="338" spans="1:9">
      <c r="D338" s="1808"/>
      <c r="E338" s="1808"/>
      <c r="F338" s="1808"/>
    </row>
    <row r="339" spans="1:9">
      <c r="D339" s="1808"/>
      <c r="E339" s="1808"/>
      <c r="F339" s="1808"/>
    </row>
    <row r="340" spans="1:9">
      <c r="D340" s="1808"/>
      <c r="E340" s="1808"/>
      <c r="F340" s="1808"/>
    </row>
    <row r="341" spans="1:9">
      <c r="D341" s="792"/>
      <c r="E341" s="792"/>
      <c r="F341" s="792"/>
    </row>
    <row r="342" spans="1:9" ht="14.25" customHeight="1">
      <c r="A342" s="789"/>
      <c r="B342" s="790" t="s">
        <v>2752</v>
      </c>
      <c r="D342" s="1772" t="s">
        <v>2345</v>
      </c>
      <c r="E342" s="1772"/>
      <c r="F342" s="1772"/>
      <c r="I342" s="1082" t="s">
        <v>2253</v>
      </c>
    </row>
    <row r="343" spans="1:9">
      <c r="D343" s="1772"/>
      <c r="E343" s="1772"/>
      <c r="F343" s="1772"/>
      <c r="G343" s="782"/>
    </row>
    <row r="344" spans="1:9">
      <c r="D344" s="1772"/>
      <c r="E344" s="1772"/>
      <c r="F344" s="1772"/>
      <c r="G344" s="782"/>
    </row>
    <row r="345" spans="1:9">
      <c r="D345" s="1772"/>
      <c r="E345" s="1772"/>
      <c r="F345" s="1772"/>
      <c r="G345" s="782"/>
    </row>
    <row r="346" spans="1:9">
      <c r="D346" s="1186" t="s">
        <v>2344</v>
      </c>
      <c r="E346" s="870"/>
      <c r="F346" s="870"/>
      <c r="G346" s="782"/>
    </row>
    <row r="347" spans="1:9">
      <c r="D347" s="870"/>
      <c r="E347" s="1042" t="s">
        <v>2341</v>
      </c>
      <c r="G347" s="1042"/>
    </row>
    <row r="348" spans="1:9" s="1080" customFormat="1">
      <c r="A348" s="780"/>
      <c r="B348" s="780"/>
      <c r="C348" s="780"/>
      <c r="D348" s="1107"/>
      <c r="E348" s="1107"/>
      <c r="F348" s="1107"/>
      <c r="I348" s="1082"/>
    </row>
    <row r="349" spans="1:9" ht="13.8" thickBot="1">
      <c r="A349" s="1108"/>
      <c r="B349" s="1108"/>
      <c r="C349" s="1108"/>
      <c r="D349" s="1839" t="s">
        <v>1034</v>
      </c>
      <c r="E349" s="1839"/>
      <c r="F349" s="1839"/>
      <c r="G349" s="1128"/>
      <c r="H349" s="1128"/>
      <c r="I349" s="1129"/>
    </row>
    <row r="350" spans="1:9" ht="13.8" thickTop="1">
      <c r="D350" s="1815" t="s">
        <v>1276</v>
      </c>
      <c r="E350" s="1815"/>
      <c r="F350" s="1815"/>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2217</v>
      </c>
    </row>
    <row r="353" spans="1:9" ht="14.4">
      <c r="A353" s="789"/>
      <c r="B353" s="790" t="s">
        <v>2752</v>
      </c>
      <c r="C353" s="821"/>
      <c r="D353" s="1777" t="s">
        <v>2343</v>
      </c>
      <c r="E353" s="1777"/>
      <c r="F353" s="1777"/>
      <c r="I353" s="1805" t="s">
        <v>2267</v>
      </c>
    </row>
    <row r="354" spans="1:9" ht="12.75" customHeight="1">
      <c r="D354" s="1188"/>
      <c r="E354" s="1042" t="s">
        <v>2342</v>
      </c>
      <c r="F354" s="1188"/>
      <c r="I354" s="1806"/>
    </row>
    <row r="355" spans="1:9">
      <c r="D355" s="1808" t="s">
        <v>1404</v>
      </c>
      <c r="E355" s="1808"/>
      <c r="F355" s="1808"/>
      <c r="I355" s="1806"/>
    </row>
    <row r="356" spans="1:9">
      <c r="D356" s="1808"/>
      <c r="E356" s="1808"/>
      <c r="F356" s="1808"/>
      <c r="I356" s="1806"/>
    </row>
    <row r="357" spans="1:9">
      <c r="D357" s="1808"/>
      <c r="E357" s="1808"/>
      <c r="F357" s="1808"/>
      <c r="I357" s="1807"/>
    </row>
    <row r="358" spans="1:9" ht="14.4">
      <c r="A358" s="789"/>
      <c r="B358" s="790" t="s">
        <v>2752</v>
      </c>
      <c r="C358" s="806"/>
      <c r="D358" s="1784" t="s">
        <v>2639</v>
      </c>
      <c r="E358" s="1784"/>
      <c r="F358" s="1784"/>
      <c r="G358" s="782"/>
      <c r="I358" s="612"/>
    </row>
    <row r="359" spans="1:9">
      <c r="A359" s="806"/>
      <c r="B359" s="806"/>
      <c r="C359" s="806"/>
      <c r="D359" s="778"/>
      <c r="E359" s="778"/>
      <c r="F359" s="792"/>
      <c r="G359" s="782"/>
    </row>
    <row r="360" spans="1:9">
      <c r="A360" s="806"/>
      <c r="B360" s="790" t="s">
        <v>2752</v>
      </c>
      <c r="C360" s="806"/>
      <c r="D360" s="1768" t="s">
        <v>2640</v>
      </c>
      <c r="E360" s="1768"/>
      <c r="F360" s="1768"/>
      <c r="G360" s="782"/>
    </row>
    <row r="361" spans="1:9">
      <c r="A361" s="806"/>
      <c r="B361" s="806"/>
      <c r="C361" s="806"/>
      <c r="D361" s="1768"/>
      <c r="E361" s="1768"/>
      <c r="F361" s="1768"/>
      <c r="G361" s="782"/>
    </row>
    <row r="362" spans="1:9">
      <c r="A362" s="806"/>
      <c r="B362" s="806"/>
      <c r="C362" s="806"/>
      <c r="D362" s="1768"/>
      <c r="E362" s="1768"/>
      <c r="F362" s="1768"/>
      <c r="G362" s="782"/>
    </row>
    <row r="363" spans="1:9">
      <c r="A363" s="806"/>
      <c r="B363" s="806"/>
      <c r="C363" s="806"/>
      <c r="D363" s="1768"/>
      <c r="E363" s="1768"/>
      <c r="F363" s="1768"/>
      <c r="G363" s="782"/>
    </row>
    <row r="364" spans="1:9">
      <c r="A364" s="806"/>
      <c r="B364" s="806"/>
      <c r="C364" s="806"/>
      <c r="D364" s="1768"/>
      <c r="E364" s="1768"/>
      <c r="F364" s="1768"/>
      <c r="G364" s="782"/>
    </row>
    <row r="365" spans="1:9">
      <c r="A365" s="806"/>
      <c r="B365" s="806"/>
      <c r="C365" s="806"/>
      <c r="D365" s="1768"/>
      <c r="E365" s="1768"/>
      <c r="F365" s="1768"/>
      <c r="G365" s="782"/>
    </row>
    <row r="366" spans="1:9">
      <c r="A366" s="806"/>
      <c r="B366" s="806"/>
      <c r="C366" s="806"/>
      <c r="D366" s="1768"/>
      <c r="E366" s="1768"/>
      <c r="F366" s="1768"/>
      <c r="G366" s="782"/>
    </row>
    <row r="367" spans="1:9">
      <c r="A367" s="806"/>
      <c r="B367" s="806"/>
      <c r="C367" s="806"/>
      <c r="D367" s="1768"/>
      <c r="E367" s="1768"/>
      <c r="F367" s="1768"/>
      <c r="G367" s="782"/>
    </row>
    <row r="368" spans="1:9">
      <c r="A368" s="806"/>
      <c r="B368" s="806"/>
      <c r="C368" s="806"/>
      <c r="D368" s="1768"/>
      <c r="E368" s="1768"/>
      <c r="F368" s="1768"/>
      <c r="G368" s="782"/>
    </row>
    <row r="369" spans="1:9">
      <c r="A369" s="806"/>
      <c r="B369" s="806"/>
      <c r="C369" s="806"/>
      <c r="D369" s="1768"/>
      <c r="E369" s="1768"/>
      <c r="F369" s="1768"/>
      <c r="G369" s="782"/>
    </row>
    <row r="370" spans="1:9">
      <c r="A370" s="806"/>
      <c r="B370" s="806"/>
      <c r="C370" s="806"/>
      <c r="D370" s="1768"/>
      <c r="E370" s="1768"/>
      <c r="F370" s="1768"/>
      <c r="G370" s="782"/>
    </row>
    <row r="371" spans="1:9">
      <c r="A371" s="806"/>
      <c r="B371" s="806"/>
      <c r="C371" s="806"/>
      <c r="D371" s="1768"/>
      <c r="E371" s="1768"/>
      <c r="F371" s="1768"/>
      <c r="G371" s="782"/>
    </row>
    <row r="372" spans="1:9" s="1080" customFormat="1">
      <c r="A372" s="1085"/>
      <c r="B372" s="1085"/>
      <c r="C372" s="1085"/>
      <c r="D372" s="1087"/>
      <c r="E372" s="1087"/>
      <c r="F372" s="1087"/>
      <c r="I372" s="1082"/>
    </row>
    <row r="373" spans="1:9" ht="12.45" customHeight="1">
      <c r="A373" s="806"/>
      <c r="B373" s="790" t="s">
        <v>2752</v>
      </c>
      <c r="C373" s="806"/>
      <c r="D373" s="1811" t="s">
        <v>1384</v>
      </c>
      <c r="E373" s="1811"/>
      <c r="F373" s="1811"/>
      <c r="G373" s="782"/>
    </row>
    <row r="374" spans="1:9">
      <c r="A374" s="806"/>
      <c r="B374" s="806"/>
      <c r="C374" s="806"/>
      <c r="D374" s="1811"/>
      <c r="E374" s="1811"/>
      <c r="F374" s="1811"/>
      <c r="G374" s="782"/>
    </row>
    <row r="375" spans="1:9">
      <c r="A375" s="806"/>
      <c r="B375" s="806"/>
      <c r="C375" s="806"/>
      <c r="D375" s="1811"/>
      <c r="E375" s="1811"/>
      <c r="F375" s="1811"/>
      <c r="G375" s="782"/>
    </row>
    <row r="376" spans="1:9">
      <c r="A376" s="806"/>
      <c r="B376" s="806"/>
      <c r="C376" s="806"/>
      <c r="D376" s="1811"/>
      <c r="E376" s="1811"/>
      <c r="F376" s="1811"/>
      <c r="G376" s="782"/>
    </row>
    <row r="377" spans="1:9" s="1080" customFormat="1">
      <c r="A377" s="1085"/>
      <c r="B377" s="1085"/>
      <c r="C377" s="1085"/>
      <c r="D377" s="1086"/>
      <c r="E377" s="1086"/>
      <c r="F377" s="1086"/>
      <c r="I377" s="1082"/>
    </row>
    <row r="378" spans="1:9" s="1080" customFormat="1">
      <c r="A378" s="1085"/>
      <c r="B378" s="1083" t="s">
        <v>2752</v>
      </c>
      <c r="C378" s="1085"/>
      <c r="D378" s="1080" t="s">
        <v>2145</v>
      </c>
      <c r="E378" s="1086"/>
      <c r="F378" s="1086"/>
      <c r="I378" s="1082"/>
    </row>
    <row r="379" spans="1:9" s="1080" customFormat="1">
      <c r="A379" s="1085"/>
      <c r="B379" s="1085"/>
      <c r="C379" s="1085"/>
      <c r="D379" s="1080" t="s">
        <v>2146</v>
      </c>
      <c r="E379" s="1086"/>
      <c r="F379" s="1086"/>
      <c r="I379" s="1082"/>
    </row>
    <row r="380" spans="1:9" s="1080" customFormat="1">
      <c r="A380" s="1085"/>
      <c r="B380" s="1085"/>
      <c r="C380" s="1085"/>
      <c r="D380" s="1080" t="s">
        <v>2147</v>
      </c>
      <c r="E380" s="1086"/>
      <c r="F380" s="1086"/>
      <c r="I380" s="1082"/>
    </row>
    <row r="381" spans="1:9" s="1080" customFormat="1">
      <c r="A381" s="1085"/>
      <c r="B381" s="1085"/>
      <c r="C381" s="1085"/>
      <c r="D381" s="1080" t="s">
        <v>2148</v>
      </c>
      <c r="E381" s="1086"/>
      <c r="F381" s="1086"/>
      <c r="I381" s="1082"/>
    </row>
    <row r="382" spans="1:9" s="1080" customFormat="1">
      <c r="A382" s="1085"/>
      <c r="B382" s="1085"/>
      <c r="C382" s="1085"/>
      <c r="D382" s="1080" t="s">
        <v>2149</v>
      </c>
      <c r="E382" s="1086"/>
      <c r="F382" s="1086"/>
      <c r="I382" s="1082"/>
    </row>
    <row r="383" spans="1:9" s="1080" customFormat="1">
      <c r="A383" s="1085"/>
      <c r="B383" s="1085"/>
      <c r="C383" s="1085"/>
      <c r="D383" s="1080" t="s">
        <v>2150</v>
      </c>
      <c r="E383" s="1086"/>
      <c r="F383" s="1086"/>
      <c r="I383" s="1082"/>
    </row>
    <row r="384" spans="1:9">
      <c r="A384" s="806"/>
      <c r="B384" s="806"/>
      <c r="C384" s="806"/>
      <c r="D384" s="782"/>
      <c r="E384" s="778"/>
      <c r="F384" s="792"/>
      <c r="G384" s="782"/>
    </row>
    <row r="385" spans="1:7" ht="14.4">
      <c r="A385" s="789"/>
      <c r="B385" s="790" t="s">
        <v>2752</v>
      </c>
      <c r="C385" s="806"/>
      <c r="D385" s="1787" t="s">
        <v>1279</v>
      </c>
      <c r="E385" s="1787"/>
      <c r="F385" s="1787"/>
      <c r="G385" s="782"/>
    </row>
    <row r="386" spans="1:7">
      <c r="A386" s="806"/>
      <c r="B386" s="806"/>
      <c r="C386" s="806"/>
      <c r="D386" s="1787"/>
      <c r="E386" s="1787"/>
      <c r="F386" s="1787"/>
      <c r="G386" s="782"/>
    </row>
    <row r="387" spans="1:7">
      <c r="A387" s="806"/>
      <c r="B387" s="806"/>
      <c r="C387" s="806"/>
      <c r="D387" s="1787"/>
      <c r="E387" s="1787"/>
      <c r="F387" s="1787"/>
      <c r="G387" s="782"/>
    </row>
    <row r="388" spans="1:7">
      <c r="A388" s="806"/>
      <c r="B388" s="806"/>
      <c r="C388" s="806"/>
      <c r="D388" s="1787"/>
      <c r="E388" s="1787"/>
      <c r="F388" s="1787"/>
      <c r="G388" s="782"/>
    </row>
    <row r="389" spans="1:7">
      <c r="A389" s="806"/>
      <c r="B389" s="806"/>
      <c r="C389" s="806"/>
      <c r="D389" s="818"/>
      <c r="E389" s="778"/>
      <c r="F389" s="792"/>
      <c r="G389" s="782"/>
    </row>
    <row r="390" spans="1:7">
      <c r="A390" s="806"/>
      <c r="B390" s="806"/>
      <c r="C390" s="806"/>
      <c r="D390" s="1787" t="s">
        <v>1280</v>
      </c>
      <c r="E390" s="1787"/>
      <c r="F390" s="1787"/>
      <c r="G390" s="782"/>
    </row>
    <row r="391" spans="1:7">
      <c r="A391" s="806"/>
      <c r="B391" s="806"/>
      <c r="C391" s="806"/>
      <c r="D391" s="1787"/>
      <c r="E391" s="1787"/>
      <c r="F391" s="1787"/>
      <c r="G391" s="782"/>
    </row>
    <row r="392" spans="1:7">
      <c r="A392" s="806"/>
      <c r="B392" s="806"/>
      <c r="C392" s="806"/>
      <c r="D392" s="1787"/>
      <c r="E392" s="1787"/>
      <c r="F392" s="1787"/>
      <c r="G392" s="782"/>
    </row>
    <row r="393" spans="1:7">
      <c r="A393" s="806"/>
      <c r="B393" s="806"/>
      <c r="C393" s="806"/>
      <c r="D393" s="1787"/>
      <c r="E393" s="1787"/>
      <c r="F393" s="1787"/>
      <c r="G393" s="782"/>
    </row>
    <row r="394" spans="1:7" ht="18" customHeight="1">
      <c r="A394" s="806"/>
      <c r="B394" s="806"/>
      <c r="C394" s="806"/>
      <c r="D394" s="1787"/>
      <c r="E394" s="1787"/>
      <c r="F394" s="1787"/>
      <c r="G394" s="782"/>
    </row>
    <row r="395" spans="1:7">
      <c r="A395" s="806"/>
      <c r="B395" s="806"/>
      <c r="C395" s="806"/>
      <c r="D395" s="1787"/>
      <c r="E395" s="1787"/>
      <c r="F395" s="1787"/>
      <c r="G395" s="782"/>
    </row>
    <row r="396" spans="1:7">
      <c r="A396" s="806"/>
      <c r="B396" s="806"/>
      <c r="C396" s="806"/>
      <c r="D396" s="1787"/>
      <c r="E396" s="1787"/>
      <c r="F396" s="1787"/>
      <c r="G396" s="782"/>
    </row>
    <row r="397" spans="1:7">
      <c r="A397" s="806"/>
      <c r="B397" s="806"/>
      <c r="C397" s="806"/>
      <c r="D397" s="1787"/>
      <c r="E397" s="1787"/>
      <c r="F397" s="1787"/>
      <c r="G397" s="782"/>
    </row>
    <row r="398" spans="1:7" ht="8.25" customHeight="1">
      <c r="A398" s="806"/>
      <c r="B398" s="806"/>
      <c r="C398" s="806"/>
      <c r="D398" s="1787"/>
      <c r="E398" s="1787"/>
      <c r="F398" s="1787"/>
      <c r="G398" s="782"/>
    </row>
    <row r="399" spans="1:7" ht="13.65" customHeight="1">
      <c r="A399" s="806"/>
      <c r="B399" s="806"/>
      <c r="C399" s="806"/>
      <c r="D399" s="1780" t="s">
        <v>1281</v>
      </c>
      <c r="E399" s="1780"/>
      <c r="F399" s="1780"/>
      <c r="G399" s="782"/>
    </row>
    <row r="400" spans="1:7">
      <c r="A400" s="806"/>
      <c r="B400" s="806"/>
      <c r="C400" s="806"/>
      <c r="D400" s="1780"/>
      <c r="E400" s="1780"/>
      <c r="F400" s="1780"/>
      <c r="G400" s="782"/>
    </row>
    <row r="401" spans="1:7">
      <c r="A401" s="806"/>
      <c r="B401" s="806"/>
      <c r="C401" s="806"/>
      <c r="D401" s="1780"/>
      <c r="E401" s="1780"/>
      <c r="F401" s="1780"/>
      <c r="G401" s="782"/>
    </row>
    <row r="402" spans="1:7">
      <c r="A402" s="806"/>
      <c r="B402" s="806"/>
      <c r="C402" s="806"/>
      <c r="D402" s="1780"/>
      <c r="E402" s="1780"/>
      <c r="F402" s="1780"/>
      <c r="G402" s="782"/>
    </row>
    <row r="403" spans="1:7">
      <c r="A403" s="806"/>
      <c r="B403" s="806"/>
      <c r="C403" s="806"/>
      <c r="D403" s="1780"/>
      <c r="E403" s="1780"/>
      <c r="F403" s="1780"/>
      <c r="G403" s="782"/>
    </row>
    <row r="404" spans="1:7">
      <c r="A404" s="806"/>
      <c r="B404" s="806"/>
      <c r="C404" s="806"/>
      <c r="D404" s="1780"/>
      <c r="E404" s="1780"/>
      <c r="F404" s="1780"/>
      <c r="G404" s="782"/>
    </row>
    <row r="405" spans="1:7">
      <c r="A405" s="806"/>
      <c r="B405" s="806"/>
      <c r="C405" s="806"/>
      <c r="D405" s="1780"/>
      <c r="E405" s="1780"/>
      <c r="F405" s="1780"/>
      <c r="G405" s="782"/>
    </row>
    <row r="406" spans="1:7">
      <c r="A406" s="806"/>
      <c r="B406" s="806"/>
      <c r="C406" s="806"/>
      <c r="D406" s="1780"/>
      <c r="E406" s="1780"/>
      <c r="F406" s="1780"/>
      <c r="G406" s="782"/>
    </row>
    <row r="407" spans="1:7">
      <c r="A407" s="806"/>
      <c r="B407" s="806"/>
      <c r="C407" s="806"/>
      <c r="D407" s="1780"/>
      <c r="E407" s="1780"/>
      <c r="F407" s="1780"/>
      <c r="G407" s="782"/>
    </row>
    <row r="408" spans="1:7">
      <c r="A408" s="806"/>
      <c r="B408" s="806"/>
      <c r="C408" s="806"/>
      <c r="D408" s="1780"/>
      <c r="E408" s="1780"/>
      <c r="F408" s="1780"/>
      <c r="G408" s="782"/>
    </row>
    <row r="409" spans="1:7">
      <c r="A409" s="806"/>
      <c r="B409" s="806"/>
      <c r="C409" s="806"/>
      <c r="D409" s="1780"/>
      <c r="E409" s="1780"/>
      <c r="F409" s="1780"/>
      <c r="G409" s="782"/>
    </row>
    <row r="410" spans="1:7">
      <c r="A410" s="806"/>
      <c r="B410" s="806"/>
      <c r="C410" s="806"/>
      <c r="D410" s="1780"/>
      <c r="E410" s="1780"/>
      <c r="F410" s="1780"/>
      <c r="G410" s="782"/>
    </row>
    <row r="411" spans="1:7">
      <c r="A411" s="806"/>
      <c r="B411" s="806"/>
      <c r="C411" s="819"/>
      <c r="D411" s="1780"/>
      <c r="E411" s="1780"/>
      <c r="F411" s="1780"/>
      <c r="G411" s="782"/>
    </row>
    <row r="412" spans="1:7">
      <c r="A412" s="806"/>
      <c r="B412" s="806"/>
      <c r="C412" s="819"/>
      <c r="D412" s="1780"/>
      <c r="E412" s="1780"/>
      <c r="F412" s="1780"/>
      <c r="G412" s="782"/>
    </row>
    <row r="413" spans="1:7">
      <c r="A413" s="806"/>
      <c r="B413" s="806"/>
      <c r="C413" s="806"/>
      <c r="D413" s="1780"/>
      <c r="E413" s="1780"/>
      <c r="F413" s="1780"/>
      <c r="G413" s="782"/>
    </row>
    <row r="414" spans="1:7">
      <c r="A414" s="806"/>
      <c r="B414" s="806"/>
      <c r="C414" s="819"/>
      <c r="D414" s="1780"/>
      <c r="E414" s="1780"/>
      <c r="F414" s="1780"/>
      <c r="G414" s="782"/>
    </row>
    <row r="415" spans="1:7">
      <c r="A415" s="806"/>
      <c r="B415" s="806"/>
      <c r="C415" s="819"/>
      <c r="D415" s="1780"/>
      <c r="E415" s="1780"/>
      <c r="F415" s="1780"/>
      <c r="G415" s="782"/>
    </row>
    <row r="416" spans="1:7">
      <c r="A416" s="806"/>
      <c r="B416" s="806"/>
      <c r="C416" s="819"/>
      <c r="D416" s="1780"/>
      <c r="E416" s="1780"/>
      <c r="F416" s="1780"/>
      <c r="G416" s="782"/>
    </row>
    <row r="417" spans="1:7">
      <c r="A417" s="806"/>
      <c r="B417" s="806"/>
      <c r="C417" s="806"/>
      <c r="D417" s="818"/>
      <c r="E417" s="778"/>
      <c r="F417" s="792"/>
      <c r="G417" s="782"/>
    </row>
    <row r="418" spans="1:7">
      <c r="A418" s="806"/>
      <c r="B418" s="790" t="s">
        <v>2752</v>
      </c>
      <c r="C418" s="806"/>
      <c r="D418" s="1780" t="s">
        <v>1282</v>
      </c>
      <c r="E418" s="1780"/>
      <c r="F418" s="1780"/>
      <c r="G418" s="782"/>
    </row>
    <row r="419" spans="1:7">
      <c r="A419" s="806"/>
      <c r="B419" s="806"/>
      <c r="C419" s="806"/>
      <c r="D419" s="1780"/>
      <c r="E419" s="1780"/>
      <c r="F419" s="1780"/>
      <c r="G419" s="782"/>
    </row>
    <row r="420" spans="1:7">
      <c r="A420" s="806"/>
      <c r="B420" s="806"/>
      <c r="C420" s="806"/>
      <c r="D420" s="895"/>
      <c r="E420" s="895"/>
      <c r="F420" s="895"/>
      <c r="G420" s="782"/>
    </row>
    <row r="421" spans="1:7" ht="14.4" customHeight="1">
      <c r="A421" s="789"/>
      <c r="B421" s="790" t="s">
        <v>2752</v>
      </c>
      <c r="D421" s="1780" t="s">
        <v>2254</v>
      </c>
      <c r="E421" s="1780"/>
      <c r="F421" s="1780"/>
    </row>
    <row r="422" spans="1:7" ht="14.4" customHeight="1">
      <c r="A422" s="789"/>
      <c r="D422" s="1780"/>
      <c r="E422" s="1780"/>
      <c r="F422" s="1780"/>
    </row>
    <row r="423" spans="1:7" ht="14.4" customHeight="1">
      <c r="A423" s="789"/>
      <c r="D423" s="1780"/>
      <c r="E423" s="1780"/>
      <c r="F423" s="1780"/>
    </row>
    <row r="424" spans="1:7" ht="14.4" customHeight="1">
      <c r="A424" s="789"/>
      <c r="D424" s="1780"/>
      <c r="E424" s="1780"/>
      <c r="F424" s="1780"/>
    </row>
    <row r="425" spans="1:7" ht="14.4" customHeight="1">
      <c r="A425" s="789"/>
      <c r="D425" s="1780"/>
      <c r="E425" s="1780"/>
      <c r="F425" s="1780"/>
    </row>
    <row r="426" spans="1:7" ht="14.4" customHeight="1">
      <c r="A426" s="789"/>
      <c r="D426" s="870"/>
      <c r="E426" s="870"/>
      <c r="F426" s="870"/>
    </row>
    <row r="427" spans="1:7" ht="13.65" customHeight="1">
      <c r="A427" s="789"/>
      <c r="B427" s="790" t="s">
        <v>2752</v>
      </c>
      <c r="C427" s="806"/>
      <c r="D427" s="1768" t="s">
        <v>1405</v>
      </c>
      <c r="E427" s="1768"/>
      <c r="F427" s="1768"/>
      <c r="G427" s="782"/>
    </row>
    <row r="428" spans="1:7" ht="14.4">
      <c r="A428" s="820"/>
      <c r="B428" s="820"/>
      <c r="C428" s="806"/>
      <c r="D428" s="1768"/>
      <c r="E428" s="1768"/>
      <c r="F428" s="1768"/>
      <c r="G428" s="782"/>
    </row>
    <row r="429" spans="1:7" ht="14.4">
      <c r="A429" s="820"/>
      <c r="B429" s="820"/>
      <c r="C429" s="806"/>
      <c r="D429" s="1768"/>
      <c r="E429" s="1768"/>
      <c r="F429" s="1768"/>
      <c r="G429" s="782"/>
    </row>
    <row r="430" spans="1:7" ht="14.4">
      <c r="A430" s="820"/>
      <c r="B430" s="820"/>
      <c r="C430" s="806"/>
      <c r="D430" s="1768"/>
      <c r="E430" s="1768"/>
      <c r="F430" s="1768"/>
      <c r="G430" s="782"/>
    </row>
    <row r="431" spans="1:7" ht="15.75" customHeight="1">
      <c r="A431" s="820"/>
      <c r="B431" s="820"/>
      <c r="C431" s="806"/>
      <c r="D431" s="1817" t="s">
        <v>2659</v>
      </c>
      <c r="E431" s="1768"/>
      <c r="F431" s="1768"/>
      <c r="G431" s="782"/>
    </row>
    <row r="432" spans="1:7">
      <c r="D432" s="792"/>
      <c r="E432" s="792"/>
      <c r="F432" s="792"/>
      <c r="G432" s="782"/>
    </row>
    <row r="433" spans="1:7" ht="14.4">
      <c r="A433" s="789"/>
      <c r="B433" s="790" t="s">
        <v>2752</v>
      </c>
      <c r="C433" s="821"/>
      <c r="D433" s="1772" t="s">
        <v>2641</v>
      </c>
      <c r="E433" s="1772"/>
      <c r="F433" s="1772"/>
      <c r="G433" s="782"/>
    </row>
    <row r="434" spans="1:7" ht="14.4">
      <c r="A434" s="789"/>
      <c r="B434" s="789"/>
      <c r="D434" s="1772"/>
      <c r="E434" s="1772"/>
      <c r="F434" s="1772"/>
      <c r="G434" s="782"/>
    </row>
    <row r="435" spans="1:7">
      <c r="D435" s="1772"/>
      <c r="E435" s="1772"/>
      <c r="F435" s="1772"/>
      <c r="G435" s="782"/>
    </row>
    <row r="436" spans="1:7">
      <c r="D436" s="1772"/>
      <c r="E436" s="1772"/>
      <c r="F436" s="1772"/>
      <c r="G436" s="782"/>
    </row>
    <row r="437" spans="1:7">
      <c r="D437" s="1772"/>
      <c r="E437" s="1772"/>
      <c r="F437" s="1772"/>
      <c r="G437" s="782"/>
    </row>
    <row r="438" spans="1:7">
      <c r="D438" s="1772"/>
      <c r="E438" s="1772"/>
      <c r="F438" s="1772"/>
      <c r="G438" s="782"/>
    </row>
    <row r="439" spans="1:7">
      <c r="D439" s="1772"/>
      <c r="E439" s="1772"/>
      <c r="F439" s="1772"/>
      <c r="G439" s="782"/>
    </row>
    <row r="440" spans="1:7">
      <c r="D440" s="1772"/>
      <c r="E440" s="1772"/>
      <c r="F440" s="1772"/>
      <c r="G440" s="782"/>
    </row>
    <row r="441" spans="1:7">
      <c r="D441" s="1772"/>
      <c r="E441" s="1772"/>
      <c r="F441" s="1772"/>
      <c r="G441" s="782"/>
    </row>
    <row r="442" spans="1:7">
      <c r="D442" s="1772"/>
      <c r="E442" s="1772"/>
      <c r="F442" s="1772"/>
      <c r="G442" s="782"/>
    </row>
    <row r="443" spans="1:7">
      <c r="D443" s="1772"/>
      <c r="E443" s="1772"/>
      <c r="F443" s="1772"/>
      <c r="G443" s="782"/>
    </row>
    <row r="444" spans="1:7">
      <c r="D444" s="1772"/>
      <c r="E444" s="1772"/>
      <c r="F444" s="1772"/>
      <c r="G444" s="782"/>
    </row>
    <row r="445" spans="1:7">
      <c r="D445" s="1772"/>
      <c r="E445" s="1772"/>
      <c r="F445" s="1772"/>
      <c r="G445" s="782"/>
    </row>
    <row r="446" spans="1:7">
      <c r="A446" s="782"/>
      <c r="B446" s="782"/>
      <c r="C446" s="782"/>
      <c r="D446" s="1772"/>
      <c r="E446" s="1772"/>
      <c r="F446" s="1772"/>
      <c r="G446" s="782"/>
    </row>
    <row r="447" spans="1:7">
      <c r="A447" s="782"/>
      <c r="B447" s="782"/>
      <c r="C447" s="782"/>
      <c r="D447" s="1772"/>
      <c r="E447" s="1772"/>
      <c r="F447" s="1772"/>
      <c r="G447" s="782"/>
    </row>
    <row r="448" spans="1:7">
      <c r="A448" s="782"/>
      <c r="B448" s="782"/>
      <c r="C448" s="782"/>
      <c r="D448" s="1772"/>
      <c r="E448" s="1772"/>
      <c r="F448" s="1772"/>
      <c r="G448" s="782"/>
    </row>
    <row r="449" spans="1:9">
      <c r="A449" s="782"/>
      <c r="B449" s="782"/>
      <c r="C449" s="782"/>
      <c r="D449" s="1772"/>
      <c r="E449" s="1772"/>
      <c r="F449" s="1772"/>
      <c r="G449" s="782"/>
    </row>
    <row r="450" spans="1:9">
      <c r="A450" s="782"/>
      <c r="B450" s="782"/>
      <c r="C450" s="782"/>
      <c r="D450" s="1772"/>
      <c r="E450" s="1772"/>
      <c r="F450" s="1772"/>
      <c r="G450" s="782"/>
    </row>
    <row r="451" spans="1:9">
      <c r="A451" s="782"/>
      <c r="B451" s="782"/>
      <c r="C451" s="782"/>
      <c r="D451" s="1772"/>
      <c r="E451" s="1772"/>
      <c r="F451" s="1772"/>
      <c r="G451" s="782"/>
    </row>
    <row r="452" spans="1:9">
      <c r="A452" s="782"/>
      <c r="B452" s="782"/>
      <c r="C452" s="782"/>
      <c r="D452" s="1772"/>
      <c r="E452" s="1772"/>
      <c r="F452" s="1772"/>
      <c r="G452" s="782"/>
    </row>
    <row r="453" spans="1:9">
      <c r="A453" s="782"/>
      <c r="B453" s="782"/>
      <c r="C453" s="782"/>
      <c r="D453" s="1772"/>
      <c r="E453" s="1772"/>
      <c r="F453" s="1772"/>
      <c r="G453" s="782"/>
    </row>
    <row r="454" spans="1:9">
      <c r="A454" s="782"/>
      <c r="B454" s="782"/>
      <c r="C454" s="782"/>
      <c r="D454" s="1772"/>
      <c r="E454" s="1772"/>
      <c r="F454" s="1772"/>
      <c r="G454" s="782"/>
    </row>
    <row r="455" spans="1:9">
      <c r="A455" s="782"/>
      <c r="B455" s="782"/>
      <c r="C455" s="782"/>
      <c r="D455" s="1772"/>
      <c r="E455" s="1772"/>
      <c r="F455" s="1772"/>
      <c r="G455" s="782"/>
    </row>
    <row r="456" spans="1:9">
      <c r="A456" s="782"/>
      <c r="B456" s="782"/>
      <c r="C456" s="782"/>
      <c r="D456" s="1772"/>
      <c r="E456" s="1772"/>
      <c r="F456" s="1772"/>
      <c r="G456" s="782"/>
    </row>
    <row r="457" spans="1:9">
      <c r="A457" s="782"/>
      <c r="B457" s="782"/>
      <c r="C457" s="782"/>
      <c r="D457" s="1772"/>
      <c r="E457" s="1772"/>
      <c r="F457" s="1772"/>
      <c r="G457" s="782"/>
    </row>
    <row r="458" spans="1:9">
      <c r="A458" s="782"/>
      <c r="B458" s="782"/>
      <c r="C458" s="782"/>
      <c r="D458" s="1772"/>
      <c r="E458" s="1772"/>
      <c r="F458" s="1772"/>
      <c r="G458" s="782"/>
    </row>
    <row r="459" spans="1:9">
      <c r="A459" s="782"/>
      <c r="B459" s="782"/>
      <c r="C459" s="782"/>
      <c r="D459" s="1772"/>
      <c r="E459" s="1772"/>
      <c r="F459" s="1772"/>
      <c r="G459" s="782"/>
    </row>
    <row r="460" spans="1:9">
      <c r="A460" s="782"/>
      <c r="B460" s="782"/>
      <c r="C460" s="782"/>
      <c r="D460" s="1772"/>
      <c r="E460" s="1772"/>
      <c r="F460" s="1772"/>
      <c r="G460" s="782"/>
    </row>
    <row r="461" spans="1:9">
      <c r="A461" s="782"/>
      <c r="B461" s="782"/>
      <c r="C461" s="782"/>
      <c r="D461" s="1772"/>
      <c r="E461" s="1772"/>
      <c r="F461" s="1772"/>
      <c r="G461" s="782"/>
    </row>
    <row r="462" spans="1:9" s="823" customFormat="1">
      <c r="A462" s="780"/>
      <c r="B462" s="780"/>
      <c r="C462" s="780"/>
      <c r="D462" s="1772"/>
      <c r="E462" s="1772"/>
      <c r="F462" s="1772"/>
      <c r="G462" s="822"/>
      <c r="I462" s="1117"/>
    </row>
    <row r="463" spans="1:9" s="823" customFormat="1" ht="40.65" customHeight="1">
      <c r="A463" s="780"/>
      <c r="B463" s="780"/>
      <c r="C463" s="780"/>
      <c r="D463" s="1772"/>
      <c r="E463" s="1772"/>
      <c r="F463" s="1772"/>
      <c r="G463" s="822"/>
      <c r="I463" s="1117"/>
    </row>
    <row r="464" spans="1:9">
      <c r="D464" s="792"/>
      <c r="E464" s="792"/>
      <c r="F464" s="792"/>
      <c r="G464" s="782"/>
    </row>
    <row r="465" spans="1:7" ht="14.4">
      <c r="A465" s="789"/>
      <c r="B465" s="790" t="s">
        <v>2752</v>
      </c>
      <c r="C465" s="821"/>
      <c r="D465" s="1772" t="s">
        <v>1287</v>
      </c>
      <c r="E465" s="1772"/>
      <c r="F465" s="1772"/>
      <c r="G465" s="782"/>
    </row>
    <row r="466" spans="1:7">
      <c r="D466" s="1772"/>
      <c r="E466" s="1772"/>
      <c r="F466" s="1772"/>
      <c r="G466" s="782"/>
    </row>
    <row r="467" spans="1:7">
      <c r="D467" s="1772"/>
      <c r="E467" s="1772"/>
      <c r="F467" s="1772"/>
      <c r="G467" s="782"/>
    </row>
    <row r="468" spans="1:7">
      <c r="D468" s="776"/>
      <c r="E468" s="776"/>
      <c r="F468" s="776"/>
      <c r="G468" s="782"/>
    </row>
    <row r="469" spans="1:7" ht="14.4">
      <c r="B469" s="790" t="s">
        <v>2752</v>
      </c>
      <c r="C469" s="789"/>
      <c r="D469" s="1808" t="s">
        <v>1357</v>
      </c>
      <c r="E469" s="1808"/>
      <c r="F469" s="1808"/>
      <c r="G469" s="782"/>
    </row>
    <row r="470" spans="1:7">
      <c r="D470" s="1808"/>
      <c r="E470" s="1808"/>
      <c r="F470" s="1808"/>
      <c r="G470" s="782"/>
    </row>
    <row r="471" spans="1:7">
      <c r="D471" s="792"/>
      <c r="E471" s="792"/>
      <c r="F471" s="792"/>
      <c r="G471" s="782"/>
    </row>
    <row r="472" spans="1:7" ht="14.4">
      <c r="B472" s="790" t="s">
        <v>2752</v>
      </c>
      <c r="C472" s="789"/>
      <c r="D472" s="1808" t="s">
        <v>1289</v>
      </c>
      <c r="E472" s="1808"/>
      <c r="F472" s="1808"/>
      <c r="G472" s="782"/>
    </row>
    <row r="473" spans="1:7">
      <c r="D473" s="1808"/>
      <c r="E473" s="1808"/>
      <c r="F473" s="1808"/>
      <c r="G473" s="782"/>
    </row>
    <row r="474" spans="1:7">
      <c r="D474" s="1808"/>
      <c r="E474" s="1808"/>
      <c r="F474" s="1808"/>
      <c r="G474" s="782"/>
    </row>
    <row r="475" spans="1:7">
      <c r="D475" s="1808"/>
      <c r="E475" s="1808"/>
      <c r="F475" s="1808"/>
      <c r="G475" s="782"/>
    </row>
    <row r="476" spans="1:7">
      <c r="B476" s="790" t="s">
        <v>2752</v>
      </c>
      <c r="D476" s="1808"/>
      <c r="E476" s="1808"/>
      <c r="F476" s="1808"/>
      <c r="G476" s="782"/>
    </row>
    <row r="477" spans="1:7">
      <c r="A477" s="782"/>
      <c r="B477" s="782"/>
      <c r="C477" s="782"/>
      <c r="D477" s="1808"/>
      <c r="E477" s="1808"/>
      <c r="F477" s="1808"/>
      <c r="G477" s="782"/>
    </row>
    <row r="478" spans="1:7">
      <c r="A478" s="782"/>
      <c r="C478" s="782"/>
      <c r="D478" s="1808"/>
      <c r="E478" s="1808"/>
      <c r="F478" s="1808"/>
      <c r="G478" s="782"/>
    </row>
    <row r="479" spans="1:7">
      <c r="A479" s="782"/>
      <c r="B479" s="790" t="s">
        <v>2752</v>
      </c>
      <c r="C479" s="782"/>
      <c r="D479" s="1808"/>
      <c r="E479" s="1808"/>
      <c r="F479" s="1808"/>
      <c r="G479" s="782"/>
    </row>
    <row r="480" spans="1:7">
      <c r="A480" s="782"/>
      <c r="B480" s="782"/>
      <c r="C480" s="782"/>
      <c r="D480" s="1808"/>
      <c r="E480" s="1808"/>
      <c r="F480" s="1808"/>
      <c r="G480" s="782"/>
    </row>
    <row r="481" spans="1:9">
      <c r="A481" s="782"/>
      <c r="C481" s="782"/>
      <c r="D481" s="1808"/>
      <c r="E481" s="1808"/>
      <c r="F481" s="1808"/>
      <c r="G481" s="782"/>
    </row>
    <row r="482" spans="1:9">
      <c r="A482" s="782"/>
      <c r="C482" s="782"/>
      <c r="D482" s="1808"/>
      <c r="E482" s="1808"/>
      <c r="F482" s="1808"/>
      <c r="G482" s="782"/>
    </row>
    <row r="483" spans="1:9">
      <c r="A483" s="782"/>
      <c r="C483" s="782"/>
      <c r="D483" s="1808"/>
      <c r="E483" s="1808"/>
      <c r="F483" s="1808"/>
      <c r="G483" s="782"/>
    </row>
    <row r="484" spans="1:9">
      <c r="A484" s="782"/>
      <c r="B484" s="790" t="s">
        <v>2752</v>
      </c>
      <c r="C484" s="782"/>
      <c r="D484" s="1808"/>
      <c r="E484" s="1808"/>
      <c r="F484" s="1808"/>
      <c r="G484" s="782"/>
    </row>
    <row r="485" spans="1:9">
      <c r="A485" s="782"/>
      <c r="C485" s="782"/>
      <c r="D485" s="1808"/>
      <c r="E485" s="1808"/>
      <c r="F485" s="1808"/>
      <c r="G485" s="782"/>
    </row>
    <row r="486" spans="1:9">
      <c r="A486" s="782"/>
      <c r="B486" s="790" t="s">
        <v>2752</v>
      </c>
      <c r="C486" s="782"/>
      <c r="D486" s="1808" t="s">
        <v>1290</v>
      </c>
      <c r="E486" s="1808"/>
      <c r="F486" s="1808"/>
      <c r="G486" s="782"/>
    </row>
    <row r="487" spans="1:9">
      <c r="A487" s="782"/>
      <c r="B487" s="782"/>
      <c r="C487" s="782"/>
      <c r="D487" s="1808"/>
      <c r="E487" s="1808"/>
      <c r="F487" s="1808"/>
      <c r="G487" s="782"/>
    </row>
    <row r="488" spans="1:9">
      <c r="A488" s="782"/>
      <c r="B488" s="782"/>
      <c r="C488" s="782"/>
      <c r="D488" s="1808"/>
      <c r="E488" s="1808"/>
      <c r="F488" s="1808"/>
      <c r="G488" s="782"/>
    </row>
    <row r="489" spans="1:9">
      <c r="A489" s="782"/>
      <c r="B489" s="782"/>
      <c r="C489" s="782"/>
      <c r="D489" s="1808"/>
      <c r="E489" s="1808"/>
      <c r="F489" s="1808"/>
      <c r="G489" s="782"/>
    </row>
    <row r="490" spans="1:9">
      <c r="D490" s="1808"/>
      <c r="E490" s="1808"/>
      <c r="F490" s="1808"/>
    </row>
    <row r="491" spans="1:9">
      <c r="D491" s="792"/>
      <c r="E491" s="792"/>
      <c r="F491" s="792"/>
    </row>
    <row r="492" spans="1:9">
      <c r="B492" s="790" t="s">
        <v>2752</v>
      </c>
      <c r="D492" s="1810" t="s">
        <v>1291</v>
      </c>
      <c r="E492" s="1810"/>
      <c r="F492" s="1810"/>
    </row>
    <row r="493" spans="1:9">
      <c r="A493" s="792"/>
      <c r="B493" s="792"/>
    </row>
    <row r="494" spans="1:9">
      <c r="A494" s="1737" t="s">
        <v>1132</v>
      </c>
      <c r="B494" s="1737"/>
      <c r="C494" s="1737"/>
      <c r="D494" s="1737"/>
      <c r="E494" s="1737"/>
      <c r="F494" s="1737"/>
      <c r="G494" s="1737"/>
      <c r="H494" s="1130"/>
      <c r="I494" s="1131"/>
    </row>
    <row r="495" spans="1:9">
      <c r="A495" s="792"/>
      <c r="B495" s="792"/>
    </row>
    <row r="496" spans="1:9">
      <c r="D496" s="1788" t="s">
        <v>928</v>
      </c>
      <c r="E496" s="1788"/>
      <c r="F496" s="1788"/>
    </row>
    <row r="497" spans="1:9" s="783" customFormat="1" ht="14.4">
      <c r="A497" s="797"/>
      <c r="B497" s="797"/>
      <c r="C497" s="793"/>
      <c r="D497" s="1789" t="s">
        <v>1292</v>
      </c>
      <c r="E497" s="1789"/>
      <c r="F497" s="1789"/>
      <c r="G497" s="794"/>
      <c r="I497" s="1114"/>
    </row>
    <row r="498" spans="1:9" s="783" customFormat="1" ht="14.4">
      <c r="A498" s="797"/>
      <c r="B498" s="797"/>
      <c r="C498" s="793"/>
      <c r="D498" s="779"/>
      <c r="E498" s="664"/>
      <c r="F498" s="664"/>
      <c r="G498" s="794"/>
      <c r="I498" s="1114"/>
    </row>
    <row r="499" spans="1:9" s="783" customFormat="1" ht="14.4">
      <c r="A499" s="789"/>
      <c r="B499" s="790" t="s">
        <v>2752</v>
      </c>
      <c r="C499" s="793"/>
      <c r="D499" s="1790" t="s">
        <v>1293</v>
      </c>
      <c r="E499" s="1790"/>
      <c r="F499" s="1790"/>
      <c r="G499" s="794"/>
      <c r="I499" s="1114" t="s">
        <v>2218</v>
      </c>
    </row>
    <row r="500" spans="1:9" s="783" customFormat="1" ht="14.4">
      <c r="A500" s="789"/>
      <c r="B500" s="789"/>
      <c r="C500" s="793"/>
      <c r="D500" s="1790"/>
      <c r="E500" s="1790"/>
      <c r="F500" s="1790"/>
      <c r="G500" s="794"/>
      <c r="I500" s="1114"/>
    </row>
    <row r="501" spans="1:9" s="783" customFormat="1" ht="14.4">
      <c r="A501" s="789"/>
      <c r="B501" s="789"/>
      <c r="C501" s="793"/>
      <c r="D501" s="777"/>
      <c r="E501" s="664"/>
      <c r="F501" s="664"/>
      <c r="G501" s="794"/>
      <c r="I501" s="1114"/>
    </row>
    <row r="502" spans="1:9" ht="12.75" customHeight="1">
      <c r="B502" s="790" t="s">
        <v>2751</v>
      </c>
      <c r="D502" s="1760" t="s">
        <v>1448</v>
      </c>
      <c r="E502" s="1760"/>
      <c r="F502" s="1760"/>
      <c r="I502" s="1082" t="s">
        <v>2219</v>
      </c>
    </row>
    <row r="503" spans="1:9" ht="14.4">
      <c r="A503" s="789"/>
      <c r="D503" s="1760"/>
      <c r="E503" s="1760"/>
      <c r="F503" s="1760"/>
    </row>
    <row r="504" spans="1:9" ht="14.4">
      <c r="A504" s="789"/>
      <c r="B504" s="789"/>
      <c r="D504" s="1760"/>
      <c r="E504" s="1760"/>
      <c r="F504" s="1760"/>
    </row>
    <row r="505" spans="1:9" ht="14.4">
      <c r="A505" s="789"/>
      <c r="B505" s="789"/>
      <c r="D505" s="1760"/>
      <c r="E505" s="1760"/>
      <c r="F505" s="1760"/>
    </row>
    <row r="506" spans="1:9" ht="14.4">
      <c r="A506" s="789"/>
      <c r="D506" s="885"/>
      <c r="E506" s="885"/>
      <c r="F506" s="885"/>
      <c r="G506" s="782"/>
    </row>
    <row r="507" spans="1:9" ht="14.4">
      <c r="A507" s="789"/>
      <c r="B507" s="790" t="s">
        <v>2752</v>
      </c>
      <c r="D507" s="1777" t="s">
        <v>1296</v>
      </c>
      <c r="E507" s="1777"/>
      <c r="F507" s="1777"/>
      <c r="G507" s="782"/>
      <c r="I507" s="1082" t="s">
        <v>2220</v>
      </c>
    </row>
    <row r="508" spans="1:9" ht="14.4">
      <c r="A508" s="789"/>
      <c r="B508" s="789"/>
      <c r="D508" s="777"/>
      <c r="E508" s="664"/>
      <c r="F508" s="664"/>
      <c r="G508" s="782"/>
    </row>
    <row r="509" spans="1:9" ht="14.4">
      <c r="A509" s="789"/>
      <c r="B509" s="790" t="s">
        <v>2752</v>
      </c>
      <c r="D509" s="1772" t="s">
        <v>1297</v>
      </c>
      <c r="E509" s="1772"/>
      <c r="F509" s="1772"/>
      <c r="G509" s="782"/>
      <c r="I509" s="1082" t="s">
        <v>2220</v>
      </c>
    </row>
    <row r="510" spans="1:9" ht="14.4">
      <c r="A510" s="789"/>
      <c r="D510" s="1772"/>
      <c r="E510" s="1772"/>
      <c r="F510" s="1772"/>
      <c r="G510" s="782"/>
    </row>
    <row r="511" spans="1:9">
      <c r="A511" s="808"/>
      <c r="B511" s="808"/>
      <c r="D511" s="725"/>
      <c r="E511" s="664"/>
      <c r="F511" s="664"/>
      <c r="G511" s="782"/>
    </row>
    <row r="512" spans="1:9">
      <c r="A512" s="808"/>
      <c r="B512" s="790" t="s">
        <v>2752</v>
      </c>
      <c r="D512" s="1777" t="s">
        <v>1298</v>
      </c>
      <c r="E512" s="1777"/>
      <c r="F512" s="1777"/>
      <c r="G512" s="782"/>
      <c r="I512" s="1082" t="s">
        <v>2273</v>
      </c>
    </row>
    <row r="513" spans="1:9" ht="14.4">
      <c r="A513" s="789"/>
      <c r="B513" s="789"/>
      <c r="D513" s="792"/>
    </row>
    <row r="514" spans="1:9">
      <c r="A514" s="1737" t="s">
        <v>1133</v>
      </c>
      <c r="B514" s="1737"/>
      <c r="C514" s="1737"/>
      <c r="D514" s="1737"/>
      <c r="E514" s="1737"/>
      <c r="F514" s="1737"/>
      <c r="G514" s="1737"/>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12" t="s">
        <v>832</v>
      </c>
      <c r="E516" s="1812"/>
      <c r="F516" s="1812"/>
      <c r="G516" s="685"/>
      <c r="I516" s="615"/>
    </row>
    <row r="517" spans="1:9" s="714" customFormat="1">
      <c r="A517" s="793"/>
      <c r="B517" s="793"/>
      <c r="C517" s="824"/>
      <c r="D517" s="847" t="s">
        <v>1359</v>
      </c>
      <c r="E517" s="847"/>
      <c r="F517" s="847"/>
      <c r="G517" s="685"/>
      <c r="I517" s="615"/>
    </row>
    <row r="518" spans="1:9" s="714" customFormat="1">
      <c r="A518" s="793"/>
      <c r="B518" s="793"/>
      <c r="C518" s="824"/>
      <c r="D518" s="847" t="s">
        <v>1360</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2751</v>
      </c>
      <c r="C520" s="791"/>
      <c r="D520" s="1771" t="s">
        <v>2642</v>
      </c>
      <c r="E520" s="1771"/>
      <c r="F520" s="1771"/>
      <c r="G520" s="664"/>
      <c r="I520" s="615" t="s">
        <v>2255</v>
      </c>
    </row>
    <row r="521" spans="1:9" s="714" customFormat="1">
      <c r="A521" s="787"/>
      <c r="B521" s="787"/>
      <c r="C521" s="791"/>
      <c r="D521" s="1771"/>
      <c r="E521" s="1771"/>
      <c r="F521" s="1771"/>
      <c r="G521" s="664"/>
      <c r="I521" s="615"/>
    </row>
    <row r="522" spans="1:9" s="714" customFormat="1">
      <c r="A522" s="787"/>
      <c r="B522" s="787"/>
      <c r="C522" s="791"/>
      <c r="D522" s="1020"/>
      <c r="E522" s="1020"/>
      <c r="F522" s="1020"/>
      <c r="G522" s="664"/>
    </row>
    <row r="523" spans="1:9" s="714" customFormat="1" ht="12.75" customHeight="1">
      <c r="A523" s="787"/>
      <c r="B523" s="790" t="s">
        <v>2752</v>
      </c>
      <c r="C523" s="796"/>
      <c r="D523" s="1186" t="s">
        <v>2346</v>
      </c>
      <c r="E523" s="870"/>
      <c r="F523" s="870"/>
      <c r="G523" s="664"/>
      <c r="I523" s="615" t="s">
        <v>2221</v>
      </c>
    </row>
    <row r="524" spans="1:9" s="1077" customFormat="1">
      <c r="A524" s="787"/>
      <c r="B524" s="1189"/>
      <c r="C524" s="796"/>
      <c r="D524" s="870"/>
      <c r="E524" s="1042" t="s">
        <v>2347</v>
      </c>
      <c r="F524" s="1079"/>
      <c r="G524" s="664"/>
      <c r="I524" s="615"/>
    </row>
    <row r="525" spans="1:9" s="714" customFormat="1">
      <c r="A525" s="787"/>
      <c r="B525" s="787"/>
      <c r="C525" s="796"/>
      <c r="D525" s="1823" t="s">
        <v>2643</v>
      </c>
      <c r="E525" s="1823"/>
      <c r="F525" s="1823"/>
      <c r="G525" s="664"/>
      <c r="I525" s="615"/>
    </row>
    <row r="526" spans="1:9" s="1077" customFormat="1">
      <c r="A526" s="787"/>
      <c r="B526" s="787"/>
      <c r="C526" s="796"/>
      <c r="D526" s="1823"/>
      <c r="E526" s="1823"/>
      <c r="F526" s="1823"/>
      <c r="G526" s="664"/>
      <c r="I526" s="615"/>
    </row>
    <row r="527" spans="1:9" s="714" customFormat="1">
      <c r="A527" s="787"/>
      <c r="B527" s="787"/>
      <c r="C527" s="791"/>
      <c r="D527" s="1823"/>
      <c r="E527" s="1823"/>
      <c r="F527" s="1823"/>
      <c r="G527" s="664"/>
      <c r="I527" s="615"/>
    </row>
    <row r="528" spans="1:9" s="714" customFormat="1">
      <c r="A528" s="787"/>
      <c r="B528" s="787"/>
      <c r="C528" s="791"/>
      <c r="D528" s="825"/>
      <c r="E528" s="664"/>
      <c r="F528" s="777"/>
      <c r="G528" s="664"/>
      <c r="I528" s="615"/>
    </row>
    <row r="529" spans="1:9" s="714" customFormat="1" ht="13.2" customHeight="1">
      <c r="A529" s="787"/>
      <c r="B529" s="790" t="s">
        <v>2752</v>
      </c>
      <c r="C529" s="791"/>
      <c r="D529" s="1816" t="s">
        <v>2644</v>
      </c>
      <c r="E529" s="1816"/>
      <c r="F529" s="1816"/>
      <c r="G529" s="664"/>
      <c r="I529" s="615" t="s">
        <v>2221</v>
      </c>
    </row>
    <row r="530" spans="1:9" s="714" customFormat="1">
      <c r="A530" s="787"/>
      <c r="B530" s="787"/>
      <c r="C530" s="791"/>
      <c r="D530" s="1816"/>
      <c r="E530" s="1816"/>
      <c r="F530" s="1816"/>
      <c r="G530" s="664"/>
      <c r="I530" s="615"/>
    </row>
    <row r="531" spans="1:9" s="714" customFormat="1" ht="12" customHeight="1">
      <c r="A531" s="792"/>
      <c r="B531" s="792"/>
      <c r="C531" s="800"/>
      <c r="D531" s="792"/>
      <c r="E531" s="664"/>
      <c r="F531" s="827"/>
      <c r="G531" s="664"/>
      <c r="I531" s="615"/>
    </row>
    <row r="532" spans="1:9">
      <c r="A532" s="1737" t="s">
        <v>1134</v>
      </c>
      <c r="B532" s="1737"/>
      <c r="C532" s="1737"/>
      <c r="D532" s="1737"/>
      <c r="E532" s="1737"/>
      <c r="F532" s="1737"/>
      <c r="G532" s="1737"/>
      <c r="H532" s="1130"/>
      <c r="I532" s="1131"/>
    </row>
    <row r="533" spans="1:9">
      <c r="A533" s="792"/>
      <c r="B533" s="792"/>
      <c r="C533" s="821"/>
      <c r="F533" s="828"/>
    </row>
    <row r="534" spans="1:9">
      <c r="B534" s="1825" t="s">
        <v>462</v>
      </c>
      <c r="C534" s="1825"/>
      <c r="D534" s="1825"/>
      <c r="E534" s="1825"/>
      <c r="F534" s="1825"/>
    </row>
    <row r="535" spans="1:9">
      <c r="A535" s="792"/>
      <c r="B535" s="792"/>
      <c r="C535" s="821"/>
      <c r="D535" s="792"/>
      <c r="F535" s="792"/>
    </row>
    <row r="536" spans="1:9">
      <c r="A536" s="1738" t="s">
        <v>1135</v>
      </c>
      <c r="B536" s="1738"/>
      <c r="C536" s="1738"/>
      <c r="D536" s="1738"/>
      <c r="E536" s="1738"/>
      <c r="F536" s="1738"/>
      <c r="G536" s="1738"/>
      <c r="H536" s="1130"/>
      <c r="I536" s="1131"/>
    </row>
    <row r="537" spans="1:9">
      <c r="A537" s="792"/>
      <c r="B537" s="792"/>
      <c r="C537" s="821"/>
      <c r="D537" s="792"/>
      <c r="F537" s="792"/>
    </row>
    <row r="538" spans="1:9">
      <c r="C538" s="821"/>
      <c r="D538" s="1727" t="s">
        <v>707</v>
      </c>
      <c r="E538" s="1727"/>
      <c r="F538" s="1727"/>
    </row>
    <row r="539" spans="1:9">
      <c r="C539" s="821"/>
      <c r="D539" s="1777" t="s">
        <v>1192</v>
      </c>
      <c r="E539" s="1777"/>
      <c r="F539" s="1777"/>
    </row>
    <row r="540" spans="1:9">
      <c r="C540" s="821"/>
      <c r="D540" s="777"/>
      <c r="E540" s="777"/>
      <c r="F540" s="777"/>
    </row>
    <row r="541" spans="1:9" ht="13.65" customHeight="1">
      <c r="A541" s="789"/>
      <c r="B541" s="790" t="s">
        <v>2751</v>
      </c>
      <c r="C541" s="821"/>
      <c r="D541" s="1777" t="s">
        <v>929</v>
      </c>
      <c r="E541" s="1777"/>
      <c r="F541" s="1777"/>
      <c r="G541" s="782"/>
      <c r="I541" s="1082" t="s">
        <v>2271</v>
      </c>
    </row>
    <row r="542" spans="1:9" ht="13.65" customHeight="1">
      <c r="A542" s="821"/>
      <c r="B542" s="821"/>
      <c r="C542" s="821"/>
      <c r="D542" s="777"/>
      <c r="E542" s="611"/>
      <c r="F542" s="611"/>
      <c r="G542" s="782"/>
    </row>
    <row r="543" spans="1:9" ht="14.4">
      <c r="A543" s="789"/>
      <c r="B543" s="790" t="s">
        <v>2751</v>
      </c>
      <c r="C543" s="821"/>
      <c r="D543" s="1772" t="s">
        <v>1193</v>
      </c>
      <c r="E543" s="1772"/>
      <c r="F543" s="1772"/>
      <c r="G543" s="782"/>
      <c r="I543" s="1082" t="s">
        <v>2271</v>
      </c>
    </row>
    <row r="544" spans="1:9">
      <c r="A544" s="821"/>
      <c r="B544" s="821"/>
      <c r="C544" s="821"/>
      <c r="D544" s="1772"/>
      <c r="E544" s="1772"/>
      <c r="F544" s="1772"/>
      <c r="G544" s="782"/>
    </row>
    <row r="545" spans="1:9">
      <c r="A545" s="821"/>
      <c r="B545" s="821"/>
      <c r="C545" s="821"/>
      <c r="D545" s="792"/>
      <c r="E545" s="792"/>
      <c r="F545" s="792"/>
      <c r="G545" s="782"/>
    </row>
    <row r="546" spans="1:9" ht="14.4">
      <c r="A546" s="789"/>
      <c r="B546" s="790" t="s">
        <v>2751</v>
      </c>
      <c r="C546" s="821"/>
      <c r="D546" s="1772" t="s">
        <v>1194</v>
      </c>
      <c r="E546" s="1772"/>
      <c r="F546" s="1772"/>
      <c r="G546" s="782"/>
      <c r="I546" s="1082" t="s">
        <v>2222</v>
      </c>
    </row>
    <row r="547" spans="1:9">
      <c r="A547" s="821"/>
      <c r="B547" s="821"/>
      <c r="C547" s="821"/>
      <c r="D547" s="1772"/>
      <c r="E547" s="1772"/>
      <c r="F547" s="1772"/>
      <c r="G547" s="782"/>
    </row>
    <row r="548" spans="1:9">
      <c r="A548" s="821"/>
      <c r="B548" s="821"/>
      <c r="C548" s="821"/>
      <c r="D548" s="792"/>
      <c r="E548" s="792"/>
      <c r="F548" s="792"/>
      <c r="G548" s="782"/>
    </row>
    <row r="549" spans="1:9" ht="14.4">
      <c r="A549" s="789"/>
      <c r="B549" s="790" t="s">
        <v>2751</v>
      </c>
      <c r="C549" s="821"/>
      <c r="D549" s="1772" t="s">
        <v>1195</v>
      </c>
      <c r="E549" s="1772"/>
      <c r="F549" s="1772"/>
      <c r="G549" s="782"/>
      <c r="I549" s="1082" t="s">
        <v>2223</v>
      </c>
    </row>
    <row r="550" spans="1:9">
      <c r="A550" s="821"/>
      <c r="B550" s="821"/>
      <c r="C550" s="821"/>
      <c r="D550" s="1772"/>
      <c r="E550" s="1772"/>
      <c r="F550" s="1772"/>
      <c r="G550" s="782"/>
    </row>
    <row r="551" spans="1:9">
      <c r="A551" s="821"/>
      <c r="B551" s="821"/>
      <c r="C551" s="821"/>
      <c r="D551" s="792"/>
      <c r="E551" s="792"/>
      <c r="F551" s="792"/>
      <c r="G551" s="782"/>
    </row>
    <row r="552" spans="1:9" ht="14.4">
      <c r="A552" s="789"/>
      <c r="B552" s="790" t="s">
        <v>2751</v>
      </c>
      <c r="C552" s="821"/>
      <c r="D552" s="1772" t="s">
        <v>1196</v>
      </c>
      <c r="E552" s="1772"/>
      <c r="F552" s="1772"/>
      <c r="G552" s="782"/>
      <c r="I552" s="1082" t="s">
        <v>2272</v>
      </c>
    </row>
    <row r="553" spans="1:9">
      <c r="A553" s="821"/>
      <c r="B553" s="821"/>
      <c r="C553" s="821"/>
      <c r="D553" s="1772"/>
      <c r="E553" s="1772"/>
      <c r="F553" s="1772"/>
      <c r="G553" s="782"/>
    </row>
    <row r="554" spans="1:9">
      <c r="A554" s="821"/>
      <c r="B554" s="821"/>
      <c r="C554" s="821"/>
      <c r="D554" s="1772"/>
      <c r="E554" s="1772"/>
      <c r="F554" s="1772"/>
      <c r="G554" s="782"/>
    </row>
    <row r="555" spans="1:9">
      <c r="A555" s="821"/>
      <c r="B555" s="821"/>
      <c r="C555" s="821"/>
      <c r="D555" s="792"/>
      <c r="E555" s="792"/>
      <c r="F555" s="792"/>
    </row>
    <row r="556" spans="1:9" ht="14.4">
      <c r="A556" s="789"/>
      <c r="B556" s="790" t="s">
        <v>2752</v>
      </c>
      <c r="C556" s="821"/>
      <c r="D556" s="1816" t="s">
        <v>1314</v>
      </c>
      <c r="E556" s="1816"/>
      <c r="F556" s="1816"/>
      <c r="I556" s="1082" t="s">
        <v>2271</v>
      </c>
    </row>
    <row r="557" spans="1:9">
      <c r="A557" s="821"/>
      <c r="B557" s="821"/>
      <c r="C557" s="821"/>
      <c r="D557" s="1816"/>
      <c r="E557" s="1816"/>
      <c r="F557" s="1816"/>
    </row>
    <row r="558" spans="1:9">
      <c r="A558" s="821"/>
      <c r="B558" s="821"/>
      <c r="C558" s="821"/>
      <c r="D558" s="792"/>
      <c r="E558" s="792"/>
      <c r="F558" s="792"/>
    </row>
    <row r="559" spans="1:9" ht="14.4">
      <c r="A559" s="789"/>
      <c r="B559" s="790" t="s">
        <v>2752</v>
      </c>
      <c r="C559" s="821"/>
      <c r="D559" s="1772" t="s">
        <v>1198</v>
      </c>
      <c r="E559" s="1772"/>
      <c r="F559" s="1772"/>
      <c r="I559" s="1082" t="s">
        <v>2271</v>
      </c>
    </row>
    <row r="560" spans="1:9">
      <c r="A560" s="821"/>
      <c r="B560" s="821"/>
      <c r="C560" s="821"/>
      <c r="D560" s="1772"/>
      <c r="E560" s="1772"/>
      <c r="F560" s="1772"/>
      <c r="G560" s="811"/>
    </row>
    <row r="561" spans="1:16">
      <c r="A561" s="821"/>
      <c r="B561" s="821"/>
      <c r="C561" s="821"/>
      <c r="D561" s="792"/>
      <c r="E561" s="792"/>
      <c r="F561" s="792"/>
      <c r="G561" s="811"/>
    </row>
    <row r="562" spans="1:16" ht="14.4">
      <c r="A562" s="789"/>
      <c r="B562" s="790" t="s">
        <v>2751</v>
      </c>
      <c r="C562" s="821"/>
      <c r="D562" s="1777" t="s">
        <v>1199</v>
      </c>
      <c r="E562" s="1777"/>
      <c r="F562" s="1777"/>
      <c r="G562" s="811"/>
      <c r="I562" s="1082" t="s">
        <v>2274</v>
      </c>
      <c r="P562" s="1080"/>
    </row>
    <row r="563" spans="1:16">
      <c r="A563" s="808"/>
      <c r="B563" s="808"/>
      <c r="C563" s="821"/>
      <c r="D563" s="1777" t="s">
        <v>2349</v>
      </c>
      <c r="E563" s="1777"/>
      <c r="F563" s="1777"/>
      <c r="G563" s="811"/>
    </row>
    <row r="564" spans="1:16">
      <c r="A564" s="808"/>
      <c r="B564" s="808"/>
      <c r="C564" s="821"/>
      <c r="D564" s="782"/>
      <c r="E564" s="1042" t="s">
        <v>2348</v>
      </c>
      <c r="F564" s="1190"/>
      <c r="G564" s="811"/>
    </row>
    <row r="565" spans="1:16" ht="14.4">
      <c r="A565" s="789"/>
      <c r="B565" s="789"/>
      <c r="C565" s="821"/>
      <c r="E565" s="792"/>
      <c r="F565" s="792"/>
      <c r="G565" s="811"/>
    </row>
    <row r="566" spans="1:16" ht="14.4">
      <c r="A566" s="789"/>
      <c r="B566" s="790" t="s">
        <v>2751</v>
      </c>
      <c r="C566" s="821"/>
      <c r="D566" s="1818" t="s">
        <v>1201</v>
      </c>
      <c r="E566" s="1818"/>
      <c r="F566" s="1818"/>
      <c r="G566" s="811"/>
      <c r="I566" s="1082" t="s">
        <v>2224</v>
      </c>
    </row>
    <row r="567" spans="1:16">
      <c r="C567" s="821"/>
      <c r="D567" s="1772" t="s">
        <v>1202</v>
      </c>
      <c r="E567" s="1772"/>
      <c r="F567" s="1772"/>
      <c r="G567" s="811"/>
    </row>
    <row r="568" spans="1:16">
      <c r="A568" s="821"/>
      <c r="B568" s="821"/>
      <c r="C568" s="821"/>
      <c r="D568" s="1772"/>
      <c r="E568" s="1772"/>
      <c r="F568" s="1772"/>
      <c r="G568" s="811"/>
    </row>
    <row r="569" spans="1:16">
      <c r="A569" s="821"/>
      <c r="B569" s="821"/>
      <c r="C569" s="821"/>
      <c r="D569" s="1772"/>
      <c r="E569" s="1772"/>
      <c r="F569" s="1772"/>
      <c r="G569" s="811"/>
    </row>
    <row r="570" spans="1:16">
      <c r="A570" s="821"/>
      <c r="B570" s="821"/>
      <c r="C570" s="821"/>
      <c r="D570" s="792"/>
      <c r="E570" s="792"/>
      <c r="F570" s="792"/>
      <c r="G570" s="811"/>
    </row>
    <row r="571" spans="1:16" ht="14.4">
      <c r="A571" s="789"/>
      <c r="B571" s="790" t="s">
        <v>2751</v>
      </c>
      <c r="C571" s="821"/>
      <c r="D571" s="1772" t="s">
        <v>2645</v>
      </c>
      <c r="E571" s="1772"/>
      <c r="F571" s="1772"/>
      <c r="G571" s="811"/>
      <c r="I571" s="1082" t="s">
        <v>2225</v>
      </c>
    </row>
    <row r="572" spans="1:16" ht="14.4">
      <c r="A572" s="789"/>
      <c r="B572" s="789"/>
      <c r="C572" s="821"/>
      <c r="D572" s="1772"/>
      <c r="E572" s="1772"/>
      <c r="F572" s="1772"/>
      <c r="G572" s="811"/>
    </row>
    <row r="573" spans="1:16" ht="14.4">
      <c r="A573" s="789"/>
      <c r="B573" s="789"/>
      <c r="C573" s="821"/>
      <c r="D573" s="1772"/>
      <c r="E573" s="1772"/>
      <c r="F573" s="1772"/>
      <c r="G573" s="811"/>
    </row>
    <row r="574" spans="1:16" ht="14.4">
      <c r="A574" s="789"/>
      <c r="B574" s="789"/>
      <c r="C574" s="821"/>
      <c r="D574" s="1772"/>
      <c r="E574" s="1772"/>
      <c r="F574" s="1772"/>
      <c r="G574" s="811"/>
    </row>
    <row r="575" spans="1:16" ht="14.4">
      <c r="A575" s="789"/>
      <c r="B575" s="789"/>
      <c r="C575" s="821"/>
      <c r="D575" s="792"/>
      <c r="E575" s="792"/>
      <c r="F575" s="792"/>
      <c r="G575" s="811"/>
    </row>
    <row r="576" spans="1:16">
      <c r="A576" s="1737" t="s">
        <v>1136</v>
      </c>
      <c r="B576" s="1737"/>
      <c r="C576" s="1737"/>
      <c r="D576" s="1737"/>
      <c r="E576" s="1737"/>
      <c r="F576" s="1737"/>
      <c r="G576" s="1737"/>
      <c r="H576" s="1130"/>
      <c r="I576" s="1131"/>
    </row>
    <row r="577" spans="1:9">
      <c r="A577" s="821"/>
      <c r="B577" s="821"/>
      <c r="C577" s="821"/>
      <c r="E577" s="792"/>
      <c r="F577" s="792"/>
      <c r="G577" s="811"/>
    </row>
    <row r="578" spans="1:9" ht="12.75" customHeight="1">
      <c r="C578" s="785"/>
      <c r="D578" s="1809" t="s">
        <v>215</v>
      </c>
      <c r="E578" s="1809"/>
      <c r="F578" s="1809"/>
      <c r="G578" s="811"/>
    </row>
    <row r="579" spans="1:9">
      <c r="A579" s="787"/>
      <c r="B579" s="787"/>
      <c r="C579" s="787"/>
      <c r="D579" s="1759" t="s">
        <v>1152</v>
      </c>
      <c r="E579" s="1759"/>
      <c r="F579" s="1759"/>
      <c r="G579" s="811"/>
    </row>
    <row r="580" spans="1:9">
      <c r="A580" s="782"/>
      <c r="B580" s="782"/>
      <c r="C580" s="787"/>
      <c r="D580" s="829"/>
      <c r="G580" s="811"/>
      <c r="I580" s="1082" t="s">
        <v>2226</v>
      </c>
    </row>
    <row r="581" spans="1:9">
      <c r="A581" s="787"/>
      <c r="B581" s="790" t="s">
        <v>2751</v>
      </c>
      <c r="D581" s="1759" t="s">
        <v>935</v>
      </c>
      <c r="E581" s="1759"/>
      <c r="F581" s="1759"/>
      <c r="G581" s="811"/>
    </row>
    <row r="582" spans="1:9">
      <c r="A582" s="808"/>
      <c r="B582" s="808"/>
      <c r="D582" s="806"/>
    </row>
    <row r="583" spans="1:9">
      <c r="A583" s="808"/>
      <c r="B583" s="790" t="s">
        <v>2751</v>
      </c>
      <c r="D583" s="1760" t="s">
        <v>2646</v>
      </c>
      <c r="E583" s="1760"/>
      <c r="F583" s="1760"/>
      <c r="I583" s="1082" t="s">
        <v>2228</v>
      </c>
    </row>
    <row r="584" spans="1:9">
      <c r="A584" s="808"/>
      <c r="B584" s="808"/>
      <c r="D584" s="1760"/>
      <c r="E584" s="1760"/>
      <c r="F584" s="1760"/>
      <c r="G584" s="782"/>
      <c r="I584" s="1082" t="s">
        <v>2227</v>
      </c>
    </row>
    <row r="585" spans="1:9">
      <c r="A585" s="808"/>
      <c r="B585" s="808"/>
      <c r="D585" s="1760"/>
      <c r="E585" s="1760"/>
      <c r="F585" s="1760"/>
      <c r="G585" s="782"/>
    </row>
    <row r="586" spans="1:9">
      <c r="A586" s="808"/>
      <c r="B586" s="808"/>
      <c r="D586" s="1760"/>
      <c r="E586" s="1760"/>
      <c r="F586" s="1760"/>
      <c r="G586" s="782"/>
    </row>
    <row r="587" spans="1:9">
      <c r="A587" s="808"/>
      <c r="B587" s="790" t="s">
        <v>2752</v>
      </c>
      <c r="D587" s="1760" t="s">
        <v>1154</v>
      </c>
      <c r="E587" s="1760"/>
      <c r="F587" s="1760"/>
      <c r="G587" s="782"/>
    </row>
    <row r="588" spans="1:9">
      <c r="A588" s="808"/>
      <c r="B588" s="808"/>
      <c r="D588" s="1760"/>
      <c r="E588" s="1760"/>
      <c r="F588" s="1760"/>
      <c r="G588" s="782"/>
    </row>
    <row r="589" spans="1:9">
      <c r="A589" s="808"/>
      <c r="B589" s="808"/>
      <c r="D589" s="1760"/>
      <c r="E589" s="1760"/>
      <c r="F589" s="1760"/>
      <c r="G589" s="782"/>
    </row>
    <row r="590" spans="1:9">
      <c r="A590" s="808"/>
      <c r="B590" s="808"/>
      <c r="D590" s="1760"/>
      <c r="E590" s="1760"/>
      <c r="F590" s="1760"/>
      <c r="G590" s="782"/>
    </row>
    <row r="591" spans="1:9">
      <c r="A591" s="808"/>
      <c r="B591" s="808"/>
      <c r="D591" s="775"/>
      <c r="E591" s="775"/>
      <c r="F591" s="775"/>
      <c r="G591" s="782"/>
    </row>
    <row r="592" spans="1:9">
      <c r="A592" s="808"/>
      <c r="B592" s="790" t="s">
        <v>2751</v>
      </c>
      <c r="D592" s="1760" t="s">
        <v>2647</v>
      </c>
      <c r="E592" s="1760"/>
      <c r="F592" s="1760"/>
      <c r="G592" s="782"/>
    </row>
    <row r="593" spans="1:9">
      <c r="A593" s="808"/>
      <c r="B593" s="808"/>
      <c r="D593" s="1760"/>
      <c r="E593" s="1760"/>
      <c r="F593" s="1760"/>
      <c r="G593" s="782"/>
    </row>
    <row r="594" spans="1:9">
      <c r="A594" s="808"/>
      <c r="B594" s="808"/>
      <c r="D594" s="829"/>
      <c r="G594" s="782"/>
    </row>
    <row r="595" spans="1:9">
      <c r="A595" s="808"/>
      <c r="B595" s="790" t="s">
        <v>2752</v>
      </c>
      <c r="D595" s="1759" t="s">
        <v>1156</v>
      </c>
      <c r="E595" s="1759"/>
      <c r="F595" s="1759"/>
      <c r="G595" s="782"/>
      <c r="I595" s="1082" t="s">
        <v>2275</v>
      </c>
    </row>
    <row r="596" spans="1:9">
      <c r="A596" s="808"/>
      <c r="B596" s="808"/>
      <c r="D596" s="1759"/>
      <c r="E596" s="1759"/>
      <c r="F596" s="1759"/>
      <c r="G596" s="782"/>
    </row>
    <row r="597" spans="1:9" ht="14.4">
      <c r="A597" s="789"/>
      <c r="B597" s="789"/>
      <c r="D597" s="829"/>
      <c r="G597" s="782"/>
    </row>
    <row r="598" spans="1:9">
      <c r="A598" s="1737" t="s">
        <v>1137</v>
      </c>
      <c r="B598" s="1737"/>
      <c r="C598" s="1737"/>
      <c r="D598" s="1737"/>
      <c r="E598" s="1737"/>
      <c r="F598" s="1737"/>
      <c r="G598" s="1737"/>
      <c r="H598" s="1130"/>
      <c r="I598" s="1131"/>
    </row>
    <row r="599" spans="1:9"/>
    <row r="600" spans="1:9">
      <c r="D600" s="1727" t="s">
        <v>1237</v>
      </c>
      <c r="E600" s="1727"/>
      <c r="F600" s="1727"/>
    </row>
    <row r="601" spans="1:9">
      <c r="D601" s="1728" t="s">
        <v>1238</v>
      </c>
      <c r="E601" s="1728"/>
      <c r="F601" s="1728"/>
    </row>
    <row r="602" spans="1:9">
      <c r="D602" s="772"/>
      <c r="E602" s="714"/>
      <c r="F602" s="714"/>
    </row>
    <row r="603" spans="1:9" s="783" customFormat="1" ht="14.25" customHeight="1">
      <c r="A603" s="797"/>
      <c r="B603" s="790" t="s">
        <v>2751</v>
      </c>
      <c r="C603" s="793"/>
      <c r="D603" s="1841" t="s">
        <v>2350</v>
      </c>
      <c r="E603" s="1841"/>
      <c r="F603" s="1841"/>
      <c r="G603" s="794"/>
      <c r="I603" s="1114" t="s">
        <v>2256</v>
      </c>
    </row>
    <row r="604" spans="1:9">
      <c r="D604" s="1841"/>
      <c r="E604" s="1841"/>
      <c r="F604" s="1841"/>
    </row>
    <row r="605" spans="1:9">
      <c r="D605" s="1191"/>
      <c r="E605" s="1187" t="s">
        <v>2351</v>
      </c>
      <c r="F605" s="1191"/>
    </row>
    <row r="606" spans="1:9"/>
    <row r="607" spans="1:9">
      <c r="A607" s="1737" t="s">
        <v>1138</v>
      </c>
      <c r="B607" s="1737"/>
      <c r="C607" s="1737"/>
      <c r="D607" s="1737"/>
      <c r="E607" s="1737"/>
      <c r="F607" s="1737"/>
      <c r="G607" s="1737"/>
      <c r="H607" s="1130"/>
      <c r="I607" s="1131"/>
    </row>
    <row r="608" spans="1:9">
      <c r="A608" s="792"/>
      <c r="B608" s="792"/>
      <c r="G608" s="811"/>
    </row>
    <row r="609" spans="1:13">
      <c r="A609" s="830"/>
      <c r="B609" s="830"/>
      <c r="C609" s="785"/>
      <c r="D609" s="1730" t="s">
        <v>1240</v>
      </c>
      <c r="E609" s="1730"/>
      <c r="F609" s="1730"/>
      <c r="G609" s="811"/>
    </row>
    <row r="610" spans="1:13">
      <c r="A610" s="830"/>
      <c r="B610" s="830"/>
      <c r="C610" s="785"/>
      <c r="D610" s="1730"/>
      <c r="E610" s="1730"/>
      <c r="F610" s="1730"/>
      <c r="G610" s="811"/>
    </row>
    <row r="611" spans="1:13">
      <c r="C611" s="787"/>
      <c r="D611" s="1728" t="s">
        <v>1241</v>
      </c>
      <c r="E611" s="1728"/>
      <c r="F611" s="1728"/>
      <c r="G611" s="811"/>
    </row>
    <row r="612" spans="1:13">
      <c r="C612" s="787"/>
      <c r="D612" s="772"/>
      <c r="E612" s="772"/>
      <c r="F612" s="772"/>
      <c r="G612" s="811"/>
    </row>
    <row r="613" spans="1:13" ht="12.75" customHeight="1">
      <c r="A613" s="808"/>
      <c r="B613" s="790" t="s">
        <v>2751</v>
      </c>
      <c r="D613" s="1731" t="s">
        <v>1242</v>
      </c>
      <c r="E613" s="1731"/>
      <c r="F613" s="1731"/>
      <c r="G613" s="811"/>
      <c r="I613" s="1082" t="s">
        <v>2276</v>
      </c>
    </row>
    <row r="614" spans="1:13">
      <c r="D614" s="1731"/>
      <c r="E614" s="1731"/>
      <c r="F614" s="1731"/>
      <c r="G614" s="811"/>
    </row>
    <row r="615" spans="1:13">
      <c r="D615" s="782"/>
      <c r="G615" s="811"/>
    </row>
    <row r="616" spans="1:13">
      <c r="B616" s="790" t="s">
        <v>2751</v>
      </c>
      <c r="D616" s="1731" t="s">
        <v>1243</v>
      </c>
      <c r="E616" s="1731"/>
      <c r="F616" s="1731"/>
      <c r="G616" s="811"/>
      <c r="I616" s="1082" t="s">
        <v>2229</v>
      </c>
    </row>
    <row r="617" spans="1:13">
      <c r="C617" s="831"/>
      <c r="D617" s="1731"/>
      <c r="E617" s="1731"/>
      <c r="F617" s="1731"/>
      <c r="G617" s="811"/>
    </row>
    <row r="618" spans="1:13">
      <c r="C618" s="831"/>
      <c r="G618" s="811"/>
    </row>
    <row r="619" spans="1:13">
      <c r="B619" s="790" t="s">
        <v>2752</v>
      </c>
      <c r="C619" s="831"/>
      <c r="D619" s="1731" t="s">
        <v>1244</v>
      </c>
      <c r="E619" s="1731"/>
      <c r="F619" s="1731"/>
      <c r="G619" s="811"/>
      <c r="I619" s="1082" t="s">
        <v>2277</v>
      </c>
    </row>
    <row r="620" spans="1:13">
      <c r="C620" s="831"/>
      <c r="D620" s="1731"/>
      <c r="E620" s="1731"/>
      <c r="F620" s="1731"/>
      <c r="G620" s="811"/>
      <c r="I620" s="1127" t="s">
        <v>2278</v>
      </c>
    </row>
    <row r="621" spans="1:13">
      <c r="C621" s="831"/>
      <c r="G621" s="811"/>
    </row>
    <row r="622" spans="1:13">
      <c r="A622" s="1737" t="s">
        <v>1139</v>
      </c>
      <c r="B622" s="1737"/>
      <c r="C622" s="1737"/>
      <c r="D622" s="1737"/>
      <c r="E622" s="1737"/>
      <c r="F622" s="1737"/>
      <c r="G622" s="1737"/>
      <c r="H622" s="1130"/>
      <c r="I622" s="1131"/>
    </row>
    <row r="623" spans="1:13">
      <c r="A623" s="832"/>
      <c r="B623" s="832"/>
      <c r="C623" s="832"/>
      <c r="G623" s="811"/>
    </row>
    <row r="624" spans="1:13">
      <c r="C624" s="808"/>
      <c r="D624" s="1727" t="s">
        <v>1245</v>
      </c>
      <c r="E624" s="1727"/>
      <c r="F624" s="1727"/>
      <c r="G624" s="811"/>
      <c r="M624" s="1080"/>
    </row>
    <row r="625" spans="1:13">
      <c r="A625" s="808"/>
      <c r="B625" s="808"/>
      <c r="C625" s="810"/>
      <c r="D625" s="786"/>
      <c r="G625" s="811"/>
      <c r="M625" s="1080"/>
    </row>
    <row r="626" spans="1:13" ht="14.25" customHeight="1">
      <c r="A626" s="789"/>
      <c r="B626" s="790" t="s">
        <v>2751</v>
      </c>
      <c r="C626" s="810"/>
      <c r="D626" s="1842" t="s">
        <v>2648</v>
      </c>
      <c r="E626" s="1842"/>
      <c r="F626" s="1842"/>
      <c r="G626" s="811"/>
      <c r="I626" s="1082" t="s">
        <v>2257</v>
      </c>
      <c r="M626" s="1080"/>
    </row>
    <row r="627" spans="1:13">
      <c r="C627" s="810"/>
      <c r="D627" s="1842"/>
      <c r="E627" s="1842"/>
      <c r="F627" s="1842"/>
      <c r="G627" s="811"/>
      <c r="M627" s="1080"/>
    </row>
    <row r="628" spans="1:13">
      <c r="C628" s="810"/>
      <c r="D628" s="870"/>
      <c r="E628" s="1187" t="s">
        <v>2353</v>
      </c>
      <c r="F628" s="870"/>
      <c r="G628" s="811"/>
      <c r="M628" s="1080"/>
    </row>
    <row r="629" spans="1:13">
      <c r="C629" s="810"/>
      <c r="D629" s="1772" t="s">
        <v>2352</v>
      </c>
      <c r="E629" s="1772"/>
      <c r="F629" s="1772"/>
      <c r="G629" s="811"/>
      <c r="M629" s="1080"/>
    </row>
    <row r="630" spans="1:13">
      <c r="C630" s="810"/>
      <c r="D630" s="1772"/>
      <c r="E630" s="1772"/>
      <c r="F630" s="1772"/>
      <c r="G630" s="811"/>
    </row>
    <row r="631" spans="1:13">
      <c r="C631" s="810"/>
      <c r="D631" s="1772"/>
      <c r="E631" s="1772"/>
      <c r="F631" s="1772"/>
      <c r="G631" s="811"/>
    </row>
    <row r="632" spans="1:13">
      <c r="C632" s="810"/>
      <c r="D632" s="776"/>
      <c r="E632" s="776"/>
      <c r="F632" s="776"/>
      <c r="G632" s="811"/>
    </row>
    <row r="633" spans="1:13" ht="14.4">
      <c r="A633" s="789"/>
      <c r="B633" s="790" t="s">
        <v>2751</v>
      </c>
      <c r="C633" s="810"/>
      <c r="D633" s="1772" t="s">
        <v>1247</v>
      </c>
      <c r="E633" s="1772"/>
      <c r="F633" s="1772"/>
      <c r="G633" s="811"/>
      <c r="I633" s="1082" t="s">
        <v>2279</v>
      </c>
    </row>
    <row r="634" spans="1:13">
      <c r="A634" s="821"/>
      <c r="B634" s="821"/>
      <c r="C634" s="821"/>
      <c r="D634" s="1772"/>
      <c r="E634" s="1772"/>
      <c r="F634" s="1772"/>
      <c r="G634" s="811"/>
    </row>
    <row r="635" spans="1:13">
      <c r="A635" s="821"/>
      <c r="B635" s="821"/>
      <c r="C635" s="821"/>
      <c r="D635" s="777"/>
      <c r="E635" s="833"/>
      <c r="F635" s="833"/>
      <c r="G635" s="811"/>
    </row>
    <row r="636" spans="1:13" ht="14.4">
      <c r="A636" s="789"/>
      <c r="B636" s="790" t="s">
        <v>2751</v>
      </c>
      <c r="C636" s="821"/>
      <c r="D636" s="1729" t="s">
        <v>1390</v>
      </c>
      <c r="E636" s="1729"/>
      <c r="F636" s="1729"/>
      <c r="G636" s="811"/>
      <c r="I636" s="1082" t="s">
        <v>2230</v>
      </c>
    </row>
    <row r="637" spans="1:13" ht="14.4">
      <c r="A637" s="789"/>
      <c r="B637" s="789"/>
      <c r="C637" s="821"/>
      <c r="D637" s="1729"/>
      <c r="E637" s="1729"/>
      <c r="F637" s="1729"/>
      <c r="G637" s="811"/>
    </row>
    <row r="638" spans="1:13" ht="14.4">
      <c r="A638" s="789"/>
      <c r="B638" s="789"/>
      <c r="C638" s="821"/>
      <c r="D638" s="1729"/>
      <c r="E638" s="1729"/>
      <c r="F638" s="1729"/>
      <c r="G638" s="811"/>
    </row>
    <row r="639" spans="1:13">
      <c r="A639" s="821"/>
      <c r="B639" s="790" t="s">
        <v>2751</v>
      </c>
      <c r="C639" s="821"/>
      <c r="D639" s="1777" t="s">
        <v>1249</v>
      </c>
      <c r="E639" s="1777"/>
      <c r="F639" s="1777"/>
      <c r="G639" s="811"/>
      <c r="I639" s="1082" t="s">
        <v>2230</v>
      </c>
    </row>
    <row r="640" spans="1:13">
      <c r="A640" s="821"/>
      <c r="B640" s="821"/>
      <c r="C640" s="821"/>
      <c r="D640" s="719"/>
      <c r="E640" s="719"/>
      <c r="F640" s="719"/>
      <c r="G640" s="811"/>
    </row>
    <row r="641" spans="1:9">
      <c r="A641" s="1737" t="s">
        <v>1140</v>
      </c>
      <c r="B641" s="1737"/>
      <c r="C641" s="1737"/>
      <c r="D641" s="1737"/>
      <c r="E641" s="1737"/>
      <c r="F641" s="1737"/>
      <c r="G641" s="1737"/>
      <c r="H641" s="1130"/>
      <c r="I641" s="1131"/>
    </row>
    <row r="642" spans="1:9">
      <c r="A642" s="792"/>
      <c r="B642" s="792"/>
      <c r="C642" s="821"/>
      <c r="D642" s="833"/>
      <c r="E642" s="833"/>
      <c r="F642" s="833"/>
      <c r="G642" s="811"/>
    </row>
    <row r="643" spans="1:9">
      <c r="C643" s="832"/>
      <c r="D643" s="1837" t="s">
        <v>1299</v>
      </c>
      <c r="E643" s="1837"/>
      <c r="F643" s="1837"/>
      <c r="G643" s="811"/>
    </row>
    <row r="644" spans="1:9">
      <c r="A644" s="787"/>
      <c r="B644" s="787"/>
      <c r="C644" s="787"/>
      <c r="D644" s="1838" t="s">
        <v>1300</v>
      </c>
      <c r="E644" s="1838"/>
      <c r="F644" s="1838"/>
      <c r="G644" s="811"/>
    </row>
    <row r="645" spans="1:9">
      <c r="A645" s="787"/>
      <c r="B645" s="787"/>
      <c r="C645" s="787"/>
      <c r="D645" s="719"/>
      <c r="E645" s="719"/>
      <c r="F645" s="719"/>
      <c r="G645" s="811"/>
    </row>
    <row r="646" spans="1:9" ht="12.75" customHeight="1">
      <c r="B646" s="790" t="s">
        <v>2752</v>
      </c>
      <c r="C646" s="821"/>
      <c r="D646" s="1813" t="s">
        <v>1462</v>
      </c>
      <c r="E646" s="1813"/>
      <c r="F646" s="1813"/>
      <c r="I646" s="1082" t="s">
        <v>2282</v>
      </c>
    </row>
    <row r="647" spans="1:9">
      <c r="D647" s="1813"/>
      <c r="E647" s="1813"/>
      <c r="F647" s="1813"/>
    </row>
    <row r="648" spans="1:9">
      <c r="D648" s="1813"/>
      <c r="E648" s="1813"/>
      <c r="F648" s="1813"/>
    </row>
    <row r="649" spans="1:9">
      <c r="D649" s="1813"/>
      <c r="E649" s="1813"/>
      <c r="F649" s="1813"/>
    </row>
    <row r="650" spans="1:9" ht="14.4" customHeight="1">
      <c r="A650" s="789"/>
      <c r="B650" s="789"/>
      <c r="C650" s="821"/>
      <c r="D650" s="892"/>
      <c r="E650" s="892"/>
      <c r="F650" s="892"/>
      <c r="G650" s="811"/>
    </row>
    <row r="651" spans="1:9" ht="12.75" customHeight="1">
      <c r="A651" s="787"/>
      <c r="B651" s="790" t="s">
        <v>2752</v>
      </c>
      <c r="C651" s="821"/>
      <c r="D651" s="1813" t="s">
        <v>1464</v>
      </c>
      <c r="E651" s="1813"/>
      <c r="F651" s="1813"/>
      <c r="G651" s="811"/>
      <c r="I651" s="1082" t="s">
        <v>2282</v>
      </c>
    </row>
    <row r="652" spans="1:9" ht="14.4">
      <c r="A652" s="787"/>
      <c r="B652" s="789"/>
      <c r="C652" s="821"/>
      <c r="D652" s="1813"/>
      <c r="E652" s="1813"/>
      <c r="F652" s="1813"/>
      <c r="G652" s="811"/>
    </row>
    <row r="653" spans="1:9" ht="14.4">
      <c r="A653" s="787"/>
      <c r="B653" s="789"/>
      <c r="C653" s="821"/>
      <c r="D653" s="1813"/>
      <c r="E653" s="1813"/>
      <c r="F653" s="1813"/>
      <c r="G653" s="811"/>
    </row>
    <row r="654" spans="1:9" ht="14.4">
      <c r="A654" s="787"/>
      <c r="B654" s="789"/>
      <c r="C654" s="821"/>
      <c r="D654" s="1813"/>
      <c r="E654" s="1813"/>
      <c r="F654" s="1813"/>
      <c r="G654" s="811"/>
    </row>
    <row r="655" spans="1:9" ht="14.4">
      <c r="A655" s="787"/>
      <c r="B655" s="789"/>
      <c r="C655" s="821"/>
      <c r="D655" s="1813"/>
      <c r="E655" s="1813"/>
      <c r="F655" s="1813"/>
      <c r="G655" s="811"/>
    </row>
    <row r="656" spans="1:9" ht="14.25" customHeight="1">
      <c r="A656" s="787"/>
      <c r="B656" s="789"/>
      <c r="C656" s="821"/>
      <c r="F656" s="893"/>
      <c r="G656" s="811"/>
    </row>
    <row r="657" spans="1:11" ht="12.75" customHeight="1">
      <c r="A657" s="787"/>
      <c r="B657" s="790" t="s">
        <v>2752</v>
      </c>
      <c r="C657" s="821"/>
      <c r="D657" s="1813" t="s">
        <v>1463</v>
      </c>
      <c r="E657" s="1813"/>
      <c r="F657" s="1813"/>
      <c r="G657" s="811"/>
      <c r="I657" s="1082" t="s">
        <v>2282</v>
      </c>
    </row>
    <row r="658" spans="1:11" ht="14.4">
      <c r="A658" s="787"/>
      <c r="B658" s="789"/>
      <c r="C658" s="821"/>
      <c r="D658" s="1813"/>
      <c r="E658" s="1813"/>
      <c r="F658" s="1813"/>
      <c r="G658" s="811"/>
    </row>
    <row r="659" spans="1:11" ht="14.4">
      <c r="A659" s="789"/>
      <c r="B659" s="789"/>
      <c r="C659" s="821"/>
      <c r="D659" s="1813"/>
      <c r="E659" s="1813"/>
      <c r="F659" s="1813"/>
      <c r="G659" s="811"/>
    </row>
    <row r="660" spans="1:11" ht="14.4">
      <c r="A660" s="789"/>
      <c r="B660" s="789"/>
      <c r="C660" s="821"/>
      <c r="D660" s="1813"/>
      <c r="E660" s="1813"/>
      <c r="F660" s="1813"/>
      <c r="G660" s="811"/>
    </row>
    <row r="661" spans="1:11" ht="14.4">
      <c r="A661" s="789"/>
      <c r="B661" s="789"/>
      <c r="C661" s="821"/>
      <c r="D661" s="884"/>
      <c r="E661" s="884"/>
      <c r="F661" s="884"/>
      <c r="G661" s="811"/>
    </row>
    <row r="662" spans="1:11" ht="12.75" customHeight="1">
      <c r="A662" s="787"/>
      <c r="B662" s="790" t="s">
        <v>2752</v>
      </c>
      <c r="C662" s="821"/>
      <c r="D662" s="1813" t="s">
        <v>2649</v>
      </c>
      <c r="E662" s="1813"/>
      <c r="F662" s="1813"/>
      <c r="G662" s="811"/>
      <c r="I662" s="1082" t="s">
        <v>2282</v>
      </c>
    </row>
    <row r="663" spans="1:11" ht="12.75" customHeight="1">
      <c r="A663" s="787"/>
      <c r="B663" s="789"/>
      <c r="C663" s="821"/>
      <c r="D663" s="1813"/>
      <c r="E663" s="1813"/>
      <c r="F663" s="1813"/>
      <c r="G663" s="811"/>
    </row>
    <row r="664" spans="1:11" ht="12.75" customHeight="1">
      <c r="A664" s="787"/>
      <c r="B664" s="789"/>
      <c r="C664" s="821"/>
      <c r="D664" s="1813"/>
      <c r="E664" s="1813"/>
      <c r="F664" s="1813"/>
      <c r="G664" s="811"/>
    </row>
    <row r="665" spans="1:11" ht="12.75" customHeight="1">
      <c r="A665" s="787"/>
      <c r="B665" s="789"/>
      <c r="C665" s="821"/>
      <c r="D665" s="1813"/>
      <c r="E665" s="1813"/>
      <c r="F665" s="1813"/>
      <c r="G665" s="811"/>
    </row>
    <row r="666" spans="1:11" ht="12.75" customHeight="1">
      <c r="A666" s="787"/>
      <c r="B666" s="789"/>
      <c r="C666" s="821"/>
      <c r="D666" s="1813"/>
      <c r="E666" s="1813"/>
      <c r="F666" s="1813"/>
      <c r="G666" s="811"/>
    </row>
    <row r="667" spans="1:11" ht="12.75" customHeight="1">
      <c r="A667" s="787"/>
      <c r="B667" s="789"/>
      <c r="C667" s="821"/>
      <c r="D667" s="1813"/>
      <c r="E667" s="1813"/>
      <c r="F667" s="1813"/>
      <c r="G667" s="811"/>
    </row>
    <row r="668" spans="1:11" ht="12.75" customHeight="1">
      <c r="A668" s="787"/>
      <c r="B668" s="789"/>
      <c r="C668" s="821"/>
      <c r="D668" s="1813"/>
      <c r="E668" s="1813"/>
      <c r="F668" s="1813"/>
      <c r="G668" s="811"/>
    </row>
    <row r="669" spans="1:11" ht="12.75" customHeight="1">
      <c r="A669" s="787"/>
      <c r="B669" s="789"/>
      <c r="C669" s="821"/>
      <c r="D669" s="1813"/>
      <c r="E669" s="1813"/>
      <c r="F669" s="1813"/>
      <c r="G669" s="811"/>
    </row>
    <row r="670" spans="1:11" ht="12.75" customHeight="1">
      <c r="A670" s="787"/>
      <c r="B670" s="789"/>
      <c r="C670" s="821"/>
      <c r="D670" s="1813"/>
      <c r="E670" s="1813"/>
      <c r="F670" s="1813"/>
      <c r="G670" s="811"/>
    </row>
    <row r="671" spans="1:11">
      <c r="A671" s="821"/>
      <c r="B671" s="821"/>
      <c r="C671" s="821"/>
      <c r="D671" s="833"/>
      <c r="E671" s="833"/>
      <c r="F671" s="833"/>
      <c r="G671" s="811"/>
    </row>
    <row r="672" spans="1:11">
      <c r="A672" s="1737" t="s">
        <v>1141</v>
      </c>
      <c r="B672" s="1737"/>
      <c r="C672" s="1737"/>
      <c r="D672" s="1737"/>
      <c r="E672" s="1737"/>
      <c r="F672" s="1737"/>
      <c r="G672" s="1737"/>
      <c r="H672" s="1132"/>
      <c r="I672" s="1133"/>
      <c r="J672" s="834"/>
      <c r="K672" s="834"/>
    </row>
    <row r="673" spans="1:11">
      <c r="A673" s="727"/>
      <c r="B673" s="727"/>
      <c r="C673" s="727"/>
      <c r="D673" s="727"/>
      <c r="E673" s="727"/>
      <c r="F673" s="727"/>
      <c r="G673" s="727"/>
      <c r="H673" s="834"/>
      <c r="I673" s="1118"/>
      <c r="J673" s="834"/>
      <c r="K673" s="834"/>
    </row>
    <row r="674" spans="1:11">
      <c r="C674" s="832"/>
      <c r="D674" s="1727" t="s">
        <v>104</v>
      </c>
      <c r="E674" s="1727"/>
      <c r="F674" s="1727"/>
      <c r="G674" s="811"/>
      <c r="H674" s="834"/>
      <c r="I674" s="1118"/>
      <c r="J674" s="834"/>
      <c r="K674" s="834"/>
    </row>
    <row r="675" spans="1:11">
      <c r="A675" s="832"/>
      <c r="B675" s="832"/>
      <c r="C675" s="832"/>
      <c r="D675" s="1727" t="s">
        <v>128</v>
      </c>
      <c r="E675" s="1727"/>
      <c r="F675" s="1727"/>
      <c r="G675" s="811"/>
      <c r="H675" s="834"/>
      <c r="I675" s="1118"/>
      <c r="J675" s="834"/>
      <c r="K675" s="834"/>
    </row>
    <row r="676" spans="1:11">
      <c r="A676" s="787"/>
      <c r="B676" s="787"/>
      <c r="C676" s="787"/>
      <c r="D676" s="1777" t="s">
        <v>1177</v>
      </c>
      <c r="E676" s="1777"/>
      <c r="F676" s="1777"/>
      <c r="G676" s="811"/>
      <c r="H676" s="834"/>
      <c r="I676" s="1118"/>
      <c r="J676" s="834"/>
      <c r="K676" s="834"/>
    </row>
    <row r="677" spans="1:11">
      <c r="A677" s="787"/>
      <c r="B677" s="787"/>
      <c r="C677" s="787"/>
      <c r="G677" s="811"/>
      <c r="H677" s="834"/>
      <c r="I677" s="1118"/>
      <c r="J677" s="834"/>
      <c r="K677" s="834"/>
    </row>
    <row r="678" spans="1:11" ht="14.4">
      <c r="A678" s="789"/>
      <c r="B678" s="790" t="s">
        <v>2752</v>
      </c>
      <c r="C678" s="787"/>
      <c r="D678" s="1777" t="s">
        <v>931</v>
      </c>
      <c r="E678" s="1777"/>
      <c r="F678" s="1777"/>
      <c r="G678" s="811"/>
      <c r="H678" s="834"/>
      <c r="I678" s="1118" t="s">
        <v>2258</v>
      </c>
      <c r="J678" s="834"/>
      <c r="K678" s="834"/>
    </row>
    <row r="679" spans="1:11">
      <c r="A679" s="787"/>
      <c r="B679" s="787"/>
      <c r="C679" s="787"/>
      <c r="D679" s="1777" t="s">
        <v>942</v>
      </c>
      <c r="E679" s="1777"/>
      <c r="F679" s="1777"/>
      <c r="G679" s="811"/>
      <c r="H679" s="834"/>
      <c r="I679" s="1118"/>
      <c r="J679" s="834"/>
      <c r="K679" s="834"/>
    </row>
    <row r="680" spans="1:11" ht="12.75" customHeight="1">
      <c r="A680" s="787"/>
      <c r="B680" s="787"/>
      <c r="C680" s="787"/>
      <c r="D680" s="664"/>
      <c r="E680" s="1187" t="s">
        <v>2355</v>
      </c>
      <c r="F680" s="638"/>
      <c r="G680" s="811"/>
      <c r="H680" s="834"/>
      <c r="I680" s="1118"/>
      <c r="J680" s="834"/>
      <c r="K680" s="834"/>
    </row>
    <row r="681" spans="1:11">
      <c r="A681" s="787"/>
      <c r="B681" s="787"/>
      <c r="C681" s="787"/>
      <c r="D681" s="664"/>
      <c r="E681" s="834" t="s">
        <v>2354</v>
      </c>
      <c r="F681" s="638"/>
      <c r="G681" s="811"/>
      <c r="I681" s="1118"/>
      <c r="J681" s="834"/>
      <c r="K681" s="834"/>
    </row>
    <row r="682" spans="1:11">
      <c r="A682" s="787"/>
      <c r="B682" s="787"/>
      <c r="C682" s="787"/>
      <c r="D682" s="835"/>
      <c r="E682" s="792"/>
      <c r="G682" s="811"/>
      <c r="H682" s="834"/>
      <c r="I682" s="1118"/>
      <c r="J682" s="834"/>
      <c r="K682" s="834"/>
    </row>
    <row r="683" spans="1:11" ht="14.4">
      <c r="A683" s="789"/>
      <c r="B683" s="790" t="s">
        <v>2752</v>
      </c>
      <c r="C683" s="787"/>
      <c r="D683" s="1772" t="s">
        <v>2650</v>
      </c>
      <c r="E683" s="1772"/>
      <c r="F683" s="1772"/>
      <c r="G683" s="811"/>
      <c r="H683" s="834"/>
      <c r="I683" s="1118" t="s">
        <v>2280</v>
      </c>
      <c r="J683" s="834"/>
      <c r="K683" s="834"/>
    </row>
    <row r="684" spans="1:11">
      <c r="A684" s="808"/>
      <c r="B684" s="808"/>
      <c r="C684" s="787"/>
      <c r="D684" s="1772"/>
      <c r="E684" s="1772"/>
      <c r="F684" s="1772"/>
      <c r="G684" s="811"/>
      <c r="H684" s="834"/>
      <c r="I684" s="1118"/>
      <c r="J684" s="834"/>
      <c r="K684" s="834"/>
    </row>
    <row r="685" spans="1:11">
      <c r="A685" s="787"/>
      <c r="B685" s="787"/>
      <c r="C685" s="787"/>
      <c r="D685" s="1772"/>
      <c r="E685" s="1772"/>
      <c r="F685" s="1772"/>
      <c r="G685" s="811"/>
      <c r="H685" s="834"/>
      <c r="I685" s="1118"/>
      <c r="J685" s="834"/>
      <c r="K685" s="834"/>
    </row>
    <row r="686" spans="1:11">
      <c r="A686" s="787"/>
      <c r="B686" s="787"/>
      <c r="C686" s="787"/>
      <c r="G686" s="811"/>
      <c r="H686" s="834"/>
      <c r="I686" s="1118" t="s">
        <v>2259</v>
      </c>
      <c r="J686" s="834"/>
      <c r="K686" s="834"/>
    </row>
    <row r="687" spans="1:11" ht="14.4">
      <c r="A687" s="789"/>
      <c r="B687" s="790" t="s">
        <v>2751</v>
      </c>
      <c r="C687" s="787"/>
      <c r="D687" s="1777" t="s">
        <v>970</v>
      </c>
      <c r="E687" s="1777"/>
      <c r="F687" s="1777"/>
      <c r="G687" s="811"/>
      <c r="H687" s="834"/>
      <c r="I687" s="1118"/>
      <c r="J687" s="834"/>
      <c r="K687" s="834"/>
    </row>
    <row r="688" spans="1:11" ht="14.4">
      <c r="A688" s="789"/>
      <c r="B688" s="789"/>
      <c r="C688" s="787"/>
      <c r="D688" s="1777" t="s">
        <v>942</v>
      </c>
      <c r="E688" s="1777"/>
      <c r="F688" s="1777"/>
      <c r="G688" s="811"/>
      <c r="H688" s="834"/>
      <c r="I688" s="1118"/>
      <c r="J688" s="834"/>
      <c r="K688" s="834"/>
    </row>
    <row r="689" spans="1:11">
      <c r="A689" s="787"/>
      <c r="B689" s="787"/>
      <c r="C689" s="787"/>
      <c r="D689" s="664"/>
      <c r="E689" s="1187" t="s">
        <v>2356</v>
      </c>
      <c r="F689" s="1190"/>
      <c r="G689" s="811"/>
      <c r="H689" s="834"/>
      <c r="I689" s="1118"/>
      <c r="J689" s="834"/>
      <c r="K689" s="834"/>
    </row>
    <row r="690" spans="1:11">
      <c r="A690" s="787"/>
      <c r="B690" s="787"/>
      <c r="C690" s="787"/>
      <c r="D690" s="786"/>
      <c r="G690" s="811"/>
      <c r="H690" s="834"/>
      <c r="I690" s="1118"/>
      <c r="J690" s="834"/>
      <c r="K690" s="834"/>
    </row>
    <row r="691" spans="1:11" ht="14.4">
      <c r="A691" s="789"/>
      <c r="B691" s="790" t="s">
        <v>2751</v>
      </c>
      <c r="C691" s="787"/>
      <c r="D691" s="1816" t="s">
        <v>1190</v>
      </c>
      <c r="E691" s="1816"/>
      <c r="F691" s="1816"/>
      <c r="G691" s="811"/>
      <c r="H691" s="834"/>
      <c r="I691" s="1118" t="s">
        <v>2231</v>
      </c>
      <c r="J691" s="834"/>
      <c r="K691" s="834"/>
    </row>
    <row r="692" spans="1:11">
      <c r="A692" s="787"/>
      <c r="B692" s="787"/>
      <c r="C692" s="787"/>
      <c r="D692" s="1816"/>
      <c r="E692" s="1816"/>
      <c r="F692" s="1816"/>
      <c r="G692" s="811"/>
      <c r="H692" s="834"/>
      <c r="I692" s="1118"/>
      <c r="J692" s="834"/>
      <c r="K692" s="834"/>
    </row>
    <row r="693" spans="1:11">
      <c r="A693" s="787"/>
      <c r="B693" s="787"/>
      <c r="C693" s="787"/>
      <c r="D693" s="1816"/>
      <c r="E693" s="1816"/>
      <c r="F693" s="1816"/>
      <c r="G693" s="811"/>
      <c r="H693" s="834"/>
      <c r="I693" s="1118"/>
      <c r="J693" s="834"/>
      <c r="K693" s="834"/>
    </row>
    <row r="694" spans="1:11">
      <c r="A694" s="787"/>
      <c r="B694" s="787"/>
      <c r="C694" s="787"/>
      <c r="D694" s="1816"/>
      <c r="E694" s="1816"/>
      <c r="F694" s="1816"/>
      <c r="G694" s="811"/>
      <c r="H694" s="834"/>
      <c r="I694" s="1118"/>
      <c r="J694" s="834"/>
      <c r="K694" s="834"/>
    </row>
    <row r="695" spans="1:11">
      <c r="A695" s="787"/>
      <c r="B695" s="787"/>
      <c r="C695" s="787"/>
      <c r="D695" s="1816"/>
      <c r="E695" s="1816"/>
      <c r="F695" s="1816"/>
      <c r="G695" s="811"/>
      <c r="H695" s="834"/>
      <c r="I695" s="1118"/>
      <c r="J695" s="834"/>
      <c r="K695" s="834"/>
    </row>
    <row r="696" spans="1:11" s="783" customFormat="1">
      <c r="A696" s="826"/>
      <c r="B696" s="826"/>
      <c r="C696" s="826"/>
      <c r="D696" s="1816"/>
      <c r="E696" s="1816"/>
      <c r="F696" s="1816"/>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2751</v>
      </c>
      <c r="C698" s="826"/>
      <c r="D698" s="1816" t="s">
        <v>1361</v>
      </c>
      <c r="E698" s="1816"/>
      <c r="F698" s="1816"/>
      <c r="G698" s="836"/>
      <c r="H698" s="837"/>
      <c r="I698" s="1119" t="s">
        <v>2231</v>
      </c>
      <c r="J698" s="837"/>
      <c r="K698" s="837"/>
    </row>
    <row r="699" spans="1:11" s="783" customFormat="1">
      <c r="A699" s="826"/>
      <c r="B699" s="826"/>
      <c r="C699" s="826"/>
      <c r="D699" s="1816"/>
      <c r="E699" s="1816"/>
      <c r="F699" s="1816"/>
      <c r="G699" s="836"/>
      <c r="H699" s="837"/>
      <c r="I699" s="1119"/>
      <c r="J699" s="837"/>
      <c r="K699" s="837"/>
    </row>
    <row r="700" spans="1:11" s="783" customFormat="1">
      <c r="A700" s="826"/>
      <c r="B700" s="826"/>
      <c r="C700" s="826"/>
      <c r="D700" s="838"/>
      <c r="E700" s="838"/>
      <c r="F700" s="838"/>
      <c r="G700" s="836"/>
      <c r="H700" s="837"/>
      <c r="I700" s="1119"/>
      <c r="J700" s="837"/>
      <c r="K700" s="837"/>
    </row>
    <row r="701" spans="1:11" ht="14.4">
      <c r="A701" s="789"/>
      <c r="B701" s="790" t="s">
        <v>2752</v>
      </c>
      <c r="C701" s="787"/>
      <c r="D701" s="1816" t="s">
        <v>1181</v>
      </c>
      <c r="E701" s="1816"/>
      <c r="F701" s="1816"/>
      <c r="G701" s="811"/>
      <c r="H701" s="834"/>
      <c r="I701" s="1118" t="s">
        <v>2231</v>
      </c>
      <c r="J701" s="834"/>
      <c r="K701" s="834"/>
    </row>
    <row r="702" spans="1:11">
      <c r="A702" s="787"/>
      <c r="B702" s="787"/>
      <c r="C702" s="787"/>
      <c r="D702" s="1816"/>
      <c r="E702" s="1816"/>
      <c r="F702" s="1816"/>
      <c r="G702" s="811"/>
      <c r="H702" s="834"/>
      <c r="I702" s="1118"/>
      <c r="J702" s="834"/>
      <c r="K702" s="834"/>
    </row>
    <row r="703" spans="1:11">
      <c r="A703" s="787"/>
      <c r="B703" s="787"/>
      <c r="C703" s="787"/>
      <c r="D703" s="1816"/>
      <c r="E703" s="1816"/>
      <c r="F703" s="1816"/>
      <c r="G703" s="811"/>
      <c r="H703" s="834"/>
      <c r="I703" s="1118"/>
      <c r="J703" s="834"/>
      <c r="K703" s="834"/>
    </row>
    <row r="704" spans="1:11" ht="15" customHeight="1">
      <c r="A704" s="787"/>
      <c r="B704" s="787"/>
      <c r="C704" s="787"/>
      <c r="D704" s="1816"/>
      <c r="E704" s="1816"/>
      <c r="F704" s="1816"/>
      <c r="G704" s="811"/>
      <c r="H704" s="834"/>
      <c r="I704" s="1118"/>
      <c r="J704" s="834"/>
      <c r="K704" s="834"/>
    </row>
    <row r="705" spans="1:11" ht="15" customHeight="1">
      <c r="A705" s="787"/>
      <c r="B705" s="787"/>
      <c r="C705" s="787"/>
      <c r="D705" s="1816"/>
      <c r="E705" s="1816"/>
      <c r="F705" s="1816"/>
      <c r="G705" s="811"/>
      <c r="H705" s="834"/>
      <c r="I705" s="1118"/>
      <c r="J705" s="834"/>
      <c r="K705" s="834"/>
    </row>
    <row r="706" spans="1:11">
      <c r="A706" s="787"/>
      <c r="B706" s="787"/>
      <c r="C706" s="787"/>
      <c r="D706" s="1816"/>
      <c r="E706" s="1816"/>
      <c r="F706" s="1816"/>
      <c r="G706" s="811"/>
      <c r="H706" s="834"/>
      <c r="I706" s="1118"/>
      <c r="J706" s="834"/>
      <c r="K706" s="834"/>
    </row>
    <row r="707" spans="1:11">
      <c r="A707" s="787"/>
      <c r="B707" s="787"/>
      <c r="C707" s="787"/>
      <c r="D707" s="1816"/>
      <c r="E707" s="1816"/>
      <c r="F707" s="1816"/>
      <c r="G707" s="811"/>
      <c r="H707" s="834"/>
      <c r="I707" s="1118"/>
      <c r="J707" s="834"/>
      <c r="K707" s="834"/>
    </row>
    <row r="708" spans="1:11">
      <c r="A708" s="787"/>
      <c r="B708" s="787"/>
      <c r="C708" s="787"/>
      <c r="D708" s="1816"/>
      <c r="E708" s="1816"/>
      <c r="F708" s="1816"/>
      <c r="G708" s="811"/>
      <c r="H708" s="834"/>
      <c r="I708" s="1118"/>
      <c r="J708" s="834"/>
      <c r="K708" s="834"/>
    </row>
    <row r="709" spans="1:11" ht="15" customHeight="1">
      <c r="A709" s="787"/>
      <c r="B709" s="787"/>
      <c r="C709" s="787"/>
      <c r="D709" s="1816"/>
      <c r="E709" s="1816"/>
      <c r="F709" s="1816"/>
      <c r="G709" s="811"/>
      <c r="H709" s="834"/>
      <c r="I709" s="1118"/>
      <c r="J709" s="834"/>
      <c r="K709" s="834"/>
    </row>
    <row r="710" spans="1:11">
      <c r="A710" s="787"/>
      <c r="B710" s="787"/>
      <c r="C710" s="787"/>
      <c r="D710" s="1816"/>
      <c r="E710" s="1816"/>
      <c r="F710" s="1816"/>
      <c r="G710" s="811"/>
      <c r="H710" s="834"/>
      <c r="I710" s="1118"/>
      <c r="J710" s="834"/>
      <c r="K710" s="834"/>
    </row>
    <row r="711" spans="1:11">
      <c r="A711" s="787"/>
      <c r="B711" s="787"/>
      <c r="C711" s="787"/>
      <c r="D711" s="1816"/>
      <c r="E711" s="1816"/>
      <c r="F711" s="1816"/>
      <c r="G711" s="811"/>
      <c r="H711" s="834"/>
      <c r="I711" s="1118"/>
      <c r="J711" s="834"/>
      <c r="K711" s="834"/>
    </row>
    <row r="712" spans="1:11">
      <c r="A712" s="787"/>
      <c r="B712" s="787"/>
      <c r="C712" s="787"/>
      <c r="D712" s="1816"/>
      <c r="E712" s="1816"/>
      <c r="F712" s="1816"/>
      <c r="G712" s="811"/>
      <c r="H712" s="834"/>
      <c r="I712" s="1118"/>
      <c r="J712" s="834"/>
      <c r="K712" s="834"/>
    </row>
    <row r="713" spans="1:11">
      <c r="A713" s="787"/>
      <c r="B713" s="787"/>
      <c r="C713" s="787"/>
      <c r="D713" s="1816"/>
      <c r="E713" s="1816"/>
      <c r="F713" s="1816"/>
      <c r="G713" s="811"/>
      <c r="H713" s="834"/>
      <c r="I713" s="1118"/>
      <c r="J713" s="834"/>
      <c r="K713" s="834"/>
    </row>
    <row r="714" spans="1:11">
      <c r="A714" s="787"/>
      <c r="B714" s="790" t="s">
        <v>2752</v>
      </c>
      <c r="C714" s="787"/>
      <c r="D714" s="1816" t="s">
        <v>1188</v>
      </c>
      <c r="E714" s="1816"/>
      <c r="F714" s="1816"/>
      <c r="G714" s="811"/>
      <c r="H714" s="834"/>
      <c r="I714" s="1118" t="s">
        <v>2281</v>
      </c>
      <c r="J714" s="834"/>
      <c r="K714" s="834"/>
    </row>
    <row r="715" spans="1:11">
      <c r="A715" s="787"/>
      <c r="B715" s="787"/>
      <c r="C715" s="787"/>
      <c r="D715" s="1816"/>
      <c r="E715" s="1816"/>
      <c r="F715" s="1816"/>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2752</v>
      </c>
      <c r="C717" s="787"/>
      <c r="D717" s="1816" t="s">
        <v>1182</v>
      </c>
      <c r="E717" s="1816"/>
      <c r="F717" s="1816"/>
      <c r="G717" s="811"/>
      <c r="H717" s="834"/>
      <c r="I717" s="1118" t="s">
        <v>2281</v>
      </c>
      <c r="J717" s="834"/>
      <c r="K717" s="834"/>
    </row>
    <row r="718" spans="1:11">
      <c r="A718" s="787"/>
      <c r="B718" s="787"/>
      <c r="C718" s="787"/>
      <c r="D718" s="1816"/>
      <c r="E718" s="1816"/>
      <c r="F718" s="1816"/>
      <c r="G718" s="811"/>
      <c r="H718" s="834"/>
      <c r="I718" s="1118"/>
      <c r="J718" s="834"/>
      <c r="K718" s="834"/>
    </row>
    <row r="719" spans="1:11">
      <c r="A719" s="787"/>
      <c r="B719" s="787"/>
      <c r="C719" s="787"/>
      <c r="D719" s="1816"/>
      <c r="E719" s="1816"/>
      <c r="F719" s="1816"/>
      <c r="G719" s="811"/>
      <c r="H719" s="834"/>
      <c r="I719" s="1118"/>
      <c r="J719" s="834"/>
      <c r="K719" s="834"/>
    </row>
    <row r="720" spans="1:11">
      <c r="A720" s="787"/>
      <c r="B720" s="787"/>
      <c r="C720" s="787"/>
      <c r="D720" s="794"/>
      <c r="G720" s="811"/>
      <c r="H720" s="834"/>
      <c r="I720" s="1118"/>
      <c r="J720" s="834"/>
      <c r="K720" s="834"/>
    </row>
    <row r="721" spans="1:11">
      <c r="A721" s="787"/>
      <c r="B721" s="790" t="s">
        <v>2752</v>
      </c>
      <c r="C721" s="787"/>
      <c r="D721" s="1816" t="s">
        <v>1183</v>
      </c>
      <c r="E721" s="1816"/>
      <c r="F721" s="1816"/>
      <c r="G721" s="811"/>
      <c r="H721" s="834"/>
      <c r="I721" s="1118" t="s">
        <v>2281</v>
      </c>
      <c r="J721" s="834"/>
      <c r="K721" s="834"/>
    </row>
    <row r="722" spans="1:11">
      <c r="A722" s="787"/>
      <c r="B722" s="787"/>
      <c r="C722" s="787"/>
      <c r="D722" s="1816"/>
      <c r="E722" s="1816"/>
      <c r="F722" s="1816"/>
      <c r="G722" s="811"/>
      <c r="H722" s="834"/>
      <c r="I722" s="1118"/>
      <c r="J722" s="834"/>
      <c r="K722" s="834"/>
    </row>
    <row r="723" spans="1:11">
      <c r="A723" s="787"/>
      <c r="B723" s="787"/>
      <c r="C723" s="787"/>
      <c r="D723" s="1816"/>
      <c r="E723" s="1816"/>
      <c r="F723" s="1816"/>
      <c r="G723" s="811"/>
      <c r="H723" s="834"/>
      <c r="I723" s="1118"/>
      <c r="J723" s="834"/>
      <c r="K723" s="834"/>
    </row>
    <row r="724" spans="1:11">
      <c r="A724" s="787"/>
      <c r="B724" s="787"/>
      <c r="C724" s="787"/>
      <c r="D724" s="782"/>
      <c r="G724" s="811"/>
      <c r="H724" s="834"/>
      <c r="I724" s="1118"/>
      <c r="J724" s="834"/>
      <c r="K724" s="834"/>
    </row>
    <row r="725" spans="1:11" ht="14.4">
      <c r="A725" s="789"/>
      <c r="B725" s="790" t="s">
        <v>2752</v>
      </c>
      <c r="C725" s="787"/>
      <c r="D725" s="1772" t="s">
        <v>1184</v>
      </c>
      <c r="E725" s="1772"/>
      <c r="F725" s="1772"/>
      <c r="G725" s="811"/>
      <c r="H725" s="834"/>
      <c r="I725" s="1118" t="s">
        <v>2232</v>
      </c>
      <c r="J725" s="834"/>
      <c r="K725" s="834"/>
    </row>
    <row r="726" spans="1:11">
      <c r="A726" s="787"/>
      <c r="B726" s="787"/>
      <c r="C726" s="787"/>
      <c r="D726" s="1772"/>
      <c r="E726" s="1772"/>
      <c r="F726" s="1772"/>
      <c r="G726" s="811"/>
      <c r="H726" s="834"/>
      <c r="I726" s="1118"/>
      <c r="J726" s="834"/>
      <c r="K726" s="834"/>
    </row>
    <row r="727" spans="1:11">
      <c r="A727" s="787"/>
      <c r="B727" s="787"/>
      <c r="C727" s="787"/>
      <c r="D727" s="1772"/>
      <c r="E727" s="1772"/>
      <c r="F727" s="1772"/>
      <c r="G727" s="811"/>
      <c r="H727" s="834"/>
      <c r="I727" s="1118"/>
      <c r="J727" s="834"/>
      <c r="K727" s="834"/>
    </row>
    <row r="728" spans="1:11">
      <c r="A728" s="787"/>
      <c r="B728" s="787"/>
      <c r="C728" s="787"/>
      <c r="D728" s="1772"/>
      <c r="E728" s="1772"/>
      <c r="F728" s="1772"/>
      <c r="G728" s="811"/>
      <c r="H728" s="834"/>
      <c r="I728" s="1118"/>
      <c r="J728" s="834"/>
      <c r="K728" s="834"/>
    </row>
    <row r="729" spans="1:11">
      <c r="A729" s="787"/>
      <c r="B729" s="787"/>
      <c r="C729" s="787"/>
      <c r="D729" s="814"/>
      <c r="G729" s="811"/>
      <c r="H729" s="834"/>
      <c r="I729" s="1118"/>
      <c r="J729" s="834"/>
      <c r="K729" s="834"/>
    </row>
    <row r="730" spans="1:11" ht="14.4">
      <c r="A730" s="789"/>
      <c r="B730" s="790" t="s">
        <v>2751</v>
      </c>
      <c r="C730" s="787"/>
      <c r="D730" s="1816" t="s">
        <v>2651</v>
      </c>
      <c r="E730" s="1816"/>
      <c r="F730" s="1816"/>
      <c r="G730" s="811"/>
      <c r="H730" s="834"/>
      <c r="I730" s="1118" t="s">
        <v>2248</v>
      </c>
      <c r="J730" s="834"/>
      <c r="K730" s="834"/>
    </row>
    <row r="731" spans="1:11">
      <c r="A731" s="787"/>
      <c r="B731" s="787"/>
      <c r="C731" s="787"/>
      <c r="D731" s="1816"/>
      <c r="E731" s="1816"/>
      <c r="F731" s="1816"/>
      <c r="G731" s="811"/>
      <c r="H731" s="834"/>
      <c r="I731" s="1118"/>
      <c r="J731" s="834"/>
      <c r="K731" s="834"/>
    </row>
    <row r="732" spans="1:11">
      <c r="A732" s="787"/>
      <c r="B732" s="787"/>
      <c r="C732" s="787"/>
      <c r="D732" s="1816"/>
      <c r="E732" s="1816"/>
      <c r="F732" s="1816"/>
      <c r="G732" s="811"/>
      <c r="H732" s="834"/>
      <c r="I732" s="1118"/>
      <c r="J732" s="834"/>
      <c r="K732" s="834"/>
    </row>
    <row r="733" spans="1:11">
      <c r="A733" s="787"/>
      <c r="B733" s="787"/>
      <c r="C733" s="787"/>
      <c r="D733" s="1816"/>
      <c r="E733" s="1816"/>
      <c r="F733" s="1816"/>
      <c r="G733" s="811"/>
      <c r="H733" s="834"/>
      <c r="I733" s="1118"/>
      <c r="J733" s="834"/>
      <c r="K733" s="834"/>
    </row>
    <row r="734" spans="1:11">
      <c r="A734" s="787"/>
      <c r="B734" s="787"/>
      <c r="C734" s="787"/>
      <c r="D734" s="1816"/>
      <c r="E734" s="1816"/>
      <c r="F734" s="1816"/>
      <c r="G734" s="811"/>
      <c r="H734" s="834"/>
      <c r="I734" s="1118"/>
      <c r="J734" s="834"/>
      <c r="K734" s="834"/>
    </row>
    <row r="735" spans="1:11">
      <c r="A735" s="787"/>
      <c r="B735" s="787"/>
      <c r="C735" s="787"/>
      <c r="D735" s="1816"/>
      <c r="E735" s="1816"/>
      <c r="F735" s="1816"/>
      <c r="G735" s="811"/>
      <c r="H735" s="834"/>
      <c r="I735" s="1118"/>
      <c r="J735" s="834"/>
      <c r="K735" s="834"/>
    </row>
    <row r="736" spans="1:11">
      <c r="A736" s="787"/>
      <c r="B736" s="787"/>
      <c r="C736" s="787"/>
      <c r="D736" s="1816"/>
      <c r="E736" s="1816"/>
      <c r="F736" s="1816"/>
      <c r="G736" s="811"/>
      <c r="H736" s="834"/>
      <c r="I736" s="1118"/>
      <c r="J736" s="834"/>
      <c r="K736" s="834"/>
    </row>
    <row r="737" spans="1:11">
      <c r="A737" s="787"/>
      <c r="B737" s="787"/>
      <c r="C737" s="787"/>
      <c r="D737" s="1745" t="s">
        <v>2660</v>
      </c>
      <c r="E737" s="1745"/>
      <c r="F737" s="1745"/>
      <c r="G737" s="811"/>
      <c r="H737" s="834"/>
      <c r="I737" s="1118"/>
      <c r="J737" s="834"/>
      <c r="K737" s="834"/>
    </row>
    <row r="738" spans="1:11">
      <c r="A738" s="787"/>
      <c r="B738" s="787"/>
      <c r="C738" s="787"/>
      <c r="D738" s="774"/>
      <c r="G738" s="811"/>
      <c r="H738" s="834"/>
      <c r="I738" s="1118"/>
      <c r="J738" s="834"/>
      <c r="K738" s="834"/>
    </row>
    <row r="739" spans="1:11">
      <c r="A739" s="1738" t="s">
        <v>1142</v>
      </c>
      <c r="B739" s="1738"/>
      <c r="C739" s="1738"/>
      <c r="D739" s="1738"/>
      <c r="E739" s="1738"/>
      <c r="F739" s="1738"/>
      <c r="G739" s="1738"/>
      <c r="H739" s="1132"/>
      <c r="I739" s="1133"/>
      <c r="J739" s="834"/>
      <c r="K739" s="834"/>
    </row>
    <row r="740" spans="1:11">
      <c r="A740" s="787"/>
      <c r="B740" s="787"/>
      <c r="C740" s="787"/>
      <c r="D740" s="814"/>
      <c r="G740" s="839"/>
      <c r="H740" s="834"/>
      <c r="I740" s="1118"/>
      <c r="J740" s="834"/>
      <c r="K740" s="834"/>
    </row>
    <row r="741" spans="1:11" ht="13.65" customHeight="1">
      <c r="C741" s="787"/>
      <c r="D741" s="1809" t="s">
        <v>1158</v>
      </c>
      <c r="E741" s="1809"/>
      <c r="F741" s="1809"/>
      <c r="G741" s="839"/>
      <c r="H741" s="834"/>
      <c r="I741" s="1118"/>
      <c r="J741" s="834"/>
      <c r="K741" s="834"/>
    </row>
    <row r="742" spans="1:11">
      <c r="A742" s="787"/>
      <c r="B742" s="787"/>
      <c r="C742" s="787"/>
      <c r="D742" s="1751" t="s">
        <v>1159</v>
      </c>
      <c r="E742" s="1751"/>
      <c r="F742" s="1751"/>
      <c r="G742" s="839"/>
      <c r="H742" s="834"/>
      <c r="I742" s="1118"/>
      <c r="J742" s="834"/>
      <c r="K742" s="834"/>
    </row>
    <row r="743" spans="1:11">
      <c r="A743" s="787"/>
      <c r="B743" s="787"/>
      <c r="C743" s="787"/>
      <c r="G743" s="839"/>
      <c r="H743" s="834"/>
      <c r="I743" s="1118"/>
      <c r="J743" s="834"/>
      <c r="K743" s="834"/>
    </row>
    <row r="744" spans="1:11" s="783" customFormat="1" ht="14.4">
      <c r="A744" s="789"/>
      <c r="B744" s="790" t="s">
        <v>2751</v>
      </c>
      <c r="C744" s="780"/>
      <c r="D744" s="1772" t="s">
        <v>1160</v>
      </c>
      <c r="E744" s="1772"/>
      <c r="F744" s="1772"/>
      <c r="G744" s="839"/>
      <c r="H744" s="837"/>
      <c r="I744" s="1119" t="s">
        <v>2233</v>
      </c>
      <c r="J744" s="837"/>
      <c r="K744" s="837"/>
    </row>
    <row r="745" spans="1:11" s="783" customFormat="1" ht="10.5" customHeight="1">
      <c r="A745" s="780"/>
      <c r="B745" s="780"/>
      <c r="C745" s="780"/>
      <c r="D745" s="1772"/>
      <c r="E745" s="1772"/>
      <c r="F745" s="1772"/>
      <c r="G745" s="839"/>
      <c r="H745" s="837"/>
      <c r="I745" s="1119"/>
      <c r="J745" s="837"/>
      <c r="K745" s="837"/>
    </row>
    <row r="746" spans="1:11" s="783" customFormat="1">
      <c r="A746" s="780"/>
      <c r="B746" s="780"/>
      <c r="C746" s="780"/>
      <c r="D746" s="1772"/>
      <c r="E746" s="1772"/>
      <c r="F746" s="1772"/>
      <c r="G746" s="839"/>
      <c r="H746" s="837"/>
      <c r="I746" s="1119"/>
      <c r="J746" s="837"/>
      <c r="K746" s="837"/>
    </row>
    <row r="747" spans="1:11">
      <c r="D747" s="1772"/>
      <c r="E747" s="1772"/>
      <c r="F747" s="1772"/>
      <c r="G747" s="839"/>
      <c r="H747" s="834"/>
      <c r="I747" s="1118"/>
      <c r="J747" s="834"/>
      <c r="K747" s="834"/>
    </row>
    <row r="748" spans="1:11">
      <c r="A748" s="793"/>
      <c r="B748" s="793"/>
      <c r="C748" s="793"/>
      <c r="D748" s="1772"/>
      <c r="E748" s="1772"/>
      <c r="F748" s="1772"/>
      <c r="G748" s="840"/>
      <c r="H748" s="834"/>
      <c r="I748" s="1118"/>
      <c r="J748" s="834"/>
      <c r="K748" s="834"/>
    </row>
    <row r="749" spans="1:11" ht="15.6" customHeight="1">
      <c r="A749" s="793"/>
      <c r="B749" s="793"/>
      <c r="C749" s="793"/>
      <c r="D749" s="1772"/>
      <c r="E749" s="1772"/>
      <c r="F749" s="1772"/>
      <c r="G749" s="840"/>
      <c r="H749" s="834"/>
      <c r="I749" s="1118"/>
      <c r="J749" s="834"/>
      <c r="K749" s="834"/>
    </row>
    <row r="750" spans="1:11">
      <c r="A750" s="793"/>
      <c r="B750" s="793"/>
      <c r="C750" s="793"/>
      <c r="D750" s="829"/>
      <c r="E750" s="841"/>
      <c r="F750" s="841"/>
      <c r="G750" s="840"/>
      <c r="H750" s="834"/>
      <c r="I750" s="1118"/>
      <c r="J750" s="834"/>
      <c r="K750" s="834"/>
    </row>
    <row r="751" spans="1:11" s="845" customFormat="1" ht="14.4">
      <c r="A751" s="842"/>
      <c r="B751" s="790" t="s">
        <v>2751</v>
      </c>
      <c r="C751" s="843"/>
      <c r="D751" s="1729" t="s">
        <v>1406</v>
      </c>
      <c r="E751" s="1729"/>
      <c r="F751" s="1729"/>
      <c r="G751" s="844"/>
      <c r="I751" s="1120" t="s">
        <v>2233</v>
      </c>
    </row>
    <row r="752" spans="1:11" s="845" customFormat="1">
      <c r="A752" s="843"/>
      <c r="B752" s="843"/>
      <c r="C752" s="843"/>
      <c r="D752" s="1729"/>
      <c r="E752" s="1729"/>
      <c r="F752" s="1729"/>
      <c r="G752" s="844"/>
      <c r="I752" s="1120"/>
    </row>
    <row r="753" spans="1:11" s="845" customFormat="1">
      <c r="A753" s="843"/>
      <c r="B753" s="843"/>
      <c r="C753" s="843"/>
      <c r="D753" s="1729"/>
      <c r="E753" s="1729"/>
      <c r="F753" s="1729"/>
      <c r="G753" s="844"/>
      <c r="I753" s="1120"/>
    </row>
    <row r="754" spans="1:11" s="845" customFormat="1">
      <c r="A754" s="843"/>
      <c r="B754" s="843"/>
      <c r="C754" s="843"/>
      <c r="D754" s="1729"/>
      <c r="E754" s="1729"/>
      <c r="F754" s="1729"/>
      <c r="G754" s="844"/>
      <c r="I754" s="1120"/>
    </row>
    <row r="755" spans="1:11" s="845" customFormat="1">
      <c r="A755" s="843"/>
      <c r="B755" s="843"/>
      <c r="C755" s="843"/>
      <c r="D755" s="829"/>
      <c r="E755" s="844"/>
      <c r="F755" s="844"/>
      <c r="G755" s="844"/>
      <c r="I755" s="1120"/>
    </row>
    <row r="756" spans="1:11" s="845" customFormat="1" ht="14.4">
      <c r="A756" s="789"/>
      <c r="B756" s="790" t="s">
        <v>2752</v>
      </c>
      <c r="C756" s="843"/>
      <c r="D756" s="1822" t="s">
        <v>1407</v>
      </c>
      <c r="E756" s="1822"/>
      <c r="F756" s="1822"/>
      <c r="G756" s="844"/>
      <c r="I756" s="1120" t="s">
        <v>2234</v>
      </c>
    </row>
    <row r="757" spans="1:11" s="845" customFormat="1">
      <c r="A757" s="843"/>
      <c r="B757" s="843"/>
      <c r="C757" s="843"/>
      <c r="D757" s="1822"/>
      <c r="E757" s="1822"/>
      <c r="F757" s="1822"/>
      <c r="G757" s="844"/>
      <c r="I757" s="1120"/>
    </row>
    <row r="758" spans="1:11" s="845" customFormat="1">
      <c r="A758" s="843"/>
      <c r="B758" s="843"/>
      <c r="C758" s="843"/>
      <c r="D758" s="1822"/>
      <c r="E758" s="1822"/>
      <c r="F758" s="1822"/>
      <c r="G758" s="844"/>
      <c r="I758" s="1120"/>
    </row>
    <row r="759" spans="1:11">
      <c r="A759" s="793"/>
      <c r="B759" s="793"/>
      <c r="C759" s="793"/>
      <c r="D759" s="829"/>
      <c r="E759" s="841"/>
      <c r="F759" s="841"/>
      <c r="G759" s="840"/>
      <c r="H759" s="834"/>
      <c r="I759" s="1118"/>
      <c r="J759" s="834"/>
      <c r="K759" s="834"/>
    </row>
    <row r="760" spans="1:11" ht="14.4">
      <c r="A760" s="789"/>
      <c r="B760" s="790" t="s">
        <v>2752</v>
      </c>
      <c r="C760" s="793"/>
      <c r="D760" s="1729" t="s">
        <v>1358</v>
      </c>
      <c r="E760" s="1729"/>
      <c r="F760" s="1729"/>
      <c r="G760" s="840"/>
      <c r="H760" s="834"/>
      <c r="I760" s="1118" t="s">
        <v>2233</v>
      </c>
      <c r="J760" s="834"/>
      <c r="K760" s="834"/>
    </row>
    <row r="761" spans="1:11">
      <c r="A761" s="793"/>
      <c r="B761" s="793"/>
      <c r="C761" s="793"/>
      <c r="D761" s="1729"/>
      <c r="E761" s="1729"/>
      <c r="F761" s="1729"/>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2752</v>
      </c>
      <c r="C763" s="793"/>
      <c r="D763" s="1729" t="s">
        <v>1376</v>
      </c>
      <c r="E763" s="1729"/>
      <c r="F763" s="1729"/>
      <c r="G763" s="840"/>
      <c r="H763" s="834"/>
      <c r="I763" s="1118" t="s">
        <v>2233</v>
      </c>
      <c r="J763" s="834"/>
      <c r="K763" s="834"/>
    </row>
    <row r="764" spans="1:11">
      <c r="A764" s="793"/>
      <c r="B764" s="793"/>
      <c r="C764" s="793"/>
      <c r="D764" s="1729"/>
      <c r="E764" s="1729"/>
      <c r="F764" s="1729"/>
      <c r="G764" s="840"/>
      <c r="H764" s="834"/>
      <c r="I764" s="1118"/>
      <c r="J764" s="834"/>
      <c r="K764" s="834"/>
    </row>
    <row r="765" spans="1:11">
      <c r="A765" s="793"/>
      <c r="B765" s="793"/>
      <c r="C765" s="793"/>
      <c r="D765" s="1729"/>
      <c r="E765" s="1729"/>
      <c r="F765" s="1729"/>
      <c r="G765" s="840"/>
      <c r="H765" s="834"/>
      <c r="I765" s="1118"/>
      <c r="J765" s="834"/>
      <c r="K765" s="834"/>
    </row>
    <row r="766" spans="1:11">
      <c r="A766" s="793"/>
      <c r="B766" s="793"/>
      <c r="C766" s="793"/>
      <c r="D766" s="773"/>
      <c r="E766" s="773"/>
      <c r="F766" s="773"/>
      <c r="G766" s="840"/>
      <c r="H766" s="834"/>
      <c r="I766" s="1118"/>
      <c r="J766" s="834"/>
      <c r="K766" s="834"/>
    </row>
    <row r="767" spans="1:11">
      <c r="A767" s="1820" t="s">
        <v>2112</v>
      </c>
      <c r="B767" s="1820"/>
      <c r="C767" s="1820"/>
      <c r="D767" s="1820"/>
      <c r="E767" s="1820"/>
      <c r="F767" s="1820"/>
      <c r="G767" s="1820"/>
      <c r="H767" s="1130"/>
      <c r="I767" s="1131"/>
    </row>
    <row r="768" spans="1:11">
      <c r="A768" s="93"/>
      <c r="B768" s="93"/>
      <c r="C768" s="1043"/>
      <c r="D768" s="155"/>
      <c r="E768" s="155"/>
      <c r="F768" s="155"/>
      <c r="G768" s="678"/>
    </row>
    <row r="769" spans="1:9">
      <c r="A769" s="93"/>
      <c r="B769" s="93"/>
      <c r="C769" s="1043"/>
      <c r="D769" s="1821" t="s">
        <v>2166</v>
      </c>
      <c r="E769" s="1821"/>
      <c r="F769" s="1821"/>
      <c r="G769" s="678"/>
    </row>
    <row r="770" spans="1:9">
      <c r="A770" s="93"/>
      <c r="B770" s="93"/>
      <c r="C770" s="1043"/>
      <c r="D770" s="1836" t="s">
        <v>2065</v>
      </c>
      <c r="E770" s="1836"/>
      <c r="F770" s="1836"/>
      <c r="G770" s="678"/>
    </row>
    <row r="771" spans="1:9">
      <c r="A771" s="93"/>
      <c r="B771" s="93"/>
      <c r="C771" s="1043"/>
      <c r="D771" s="725"/>
      <c r="E771" s="725"/>
      <c r="F771" s="725"/>
      <c r="G771" s="678"/>
    </row>
    <row r="772" spans="1:9">
      <c r="A772" s="93"/>
      <c r="B772" s="790" t="s">
        <v>2751</v>
      </c>
      <c r="C772" s="1043"/>
      <c r="D772" s="1756" t="s">
        <v>2066</v>
      </c>
      <c r="E772" s="1756"/>
      <c r="F772" s="1756"/>
      <c r="G772" s="678"/>
      <c r="I772" s="1118" t="s">
        <v>2283</v>
      </c>
    </row>
    <row r="773" spans="1:9">
      <c r="A773" s="93"/>
      <c r="B773" s="93"/>
      <c r="C773" s="1043"/>
      <c r="D773" s="1756"/>
      <c r="E773" s="1756"/>
      <c r="F773" s="1756"/>
      <c r="G773" s="678"/>
    </row>
    <row r="774" spans="1:9">
      <c r="A774" s="712"/>
      <c r="B774" s="712"/>
      <c r="C774" s="313"/>
      <c r="D774" s="1756"/>
      <c r="E774" s="1756"/>
      <c r="F774" s="1756"/>
      <c r="G774" s="1044"/>
    </row>
    <row r="775" spans="1:9">
      <c r="A775" s="1038"/>
      <c r="B775" s="1038"/>
      <c r="C775" s="1045"/>
      <c r="D775" s="1023"/>
      <c r="E775" s="678"/>
      <c r="F775" s="678"/>
      <c r="G775" s="678"/>
    </row>
    <row r="776" spans="1:9">
      <c r="A776" s="267"/>
      <c r="B776" s="790" t="s">
        <v>2751</v>
      </c>
      <c r="C776" s="1046"/>
      <c r="D776" s="1756" t="s">
        <v>2067</v>
      </c>
      <c r="E776" s="1756"/>
      <c r="F776" s="1756"/>
      <c r="G776" s="678"/>
      <c r="I776" s="1118" t="s">
        <v>2283</v>
      </c>
    </row>
    <row r="777" spans="1:9">
      <c r="A777" s="1047"/>
      <c r="B777" s="1047"/>
      <c r="C777" s="1048"/>
      <c r="D777" s="1756"/>
      <c r="E777" s="1756"/>
      <c r="F777" s="1756"/>
      <c r="G777" s="678"/>
    </row>
    <row r="778" spans="1:9">
      <c r="A778" s="267"/>
      <c r="B778" s="267"/>
      <c r="C778" s="1046"/>
      <c r="D778" s="1756"/>
      <c r="E778" s="1756"/>
      <c r="F778" s="1756"/>
      <c r="G778" s="678"/>
    </row>
    <row r="779" spans="1:9">
      <c r="A779" s="712"/>
      <c r="B779" s="712"/>
      <c r="C779" s="313"/>
      <c r="D779" s="6"/>
      <c r="E779" s="1049"/>
      <c r="F779" s="1049"/>
      <c r="G779" s="1050"/>
    </row>
    <row r="780" spans="1:9" ht="14.4">
      <c r="A780" s="706"/>
      <c r="B780" s="790" t="s">
        <v>2752</v>
      </c>
      <c r="C780" s="1051"/>
      <c r="D780" s="1756" t="s">
        <v>2068</v>
      </c>
      <c r="E780" s="1756"/>
      <c r="F780" s="1756"/>
      <c r="G780" s="1050"/>
      <c r="I780" s="1118" t="s">
        <v>2283</v>
      </c>
    </row>
    <row r="781" spans="1:9" ht="14.4">
      <c r="A781" s="706"/>
      <c r="B781" s="706"/>
      <c r="C781" s="1051"/>
      <c r="D781" s="1756"/>
      <c r="E781" s="1756"/>
      <c r="F781" s="1756"/>
      <c r="G781" s="1050"/>
    </row>
    <row r="782" spans="1:9" ht="14.4">
      <c r="A782" s="706"/>
      <c r="B782" s="706"/>
      <c r="C782" s="1051"/>
      <c r="D782" s="1756"/>
      <c r="E782" s="1756"/>
      <c r="F782" s="1756"/>
      <c r="G782" s="1050"/>
    </row>
    <row r="783" spans="1:9" ht="14.4">
      <c r="A783" s="706"/>
      <c r="B783" s="706"/>
      <c r="C783" s="1051"/>
      <c r="D783" s="1021"/>
      <c r="E783" s="6"/>
      <c r="F783" s="6"/>
      <c r="G783" s="1050"/>
    </row>
    <row r="784" spans="1:9" ht="14.4">
      <c r="A784" s="706"/>
      <c r="B784" s="790" t="s">
        <v>2752</v>
      </c>
      <c r="C784" s="1051"/>
      <c r="D784" s="1756" t="s">
        <v>2069</v>
      </c>
      <c r="E784" s="1756"/>
      <c r="F784" s="1756"/>
      <c r="G784" s="1050"/>
      <c r="I784" s="1118" t="s">
        <v>2283</v>
      </c>
    </row>
    <row r="785" spans="1:9" ht="14.4">
      <c r="A785" s="706"/>
      <c r="B785" s="706"/>
      <c r="C785" s="1051"/>
      <c r="D785" s="1756"/>
      <c r="E785" s="1756"/>
      <c r="F785" s="1756"/>
      <c r="G785" s="1050"/>
    </row>
    <row r="786" spans="1:9" ht="14.4">
      <c r="A786" s="706"/>
      <c r="B786" s="706"/>
      <c r="C786" s="1051"/>
      <c r="D786" s="1756"/>
      <c r="E786" s="1756"/>
      <c r="F786" s="1756"/>
      <c r="G786" s="1050"/>
    </row>
    <row r="787" spans="1:9" ht="14.4">
      <c r="A787" s="706"/>
      <c r="B787" s="706"/>
      <c r="C787" s="1051"/>
      <c r="D787" s="1756"/>
      <c r="E787" s="1756"/>
      <c r="F787" s="1756"/>
      <c r="G787" s="1050"/>
    </row>
    <row r="788" spans="1:9" ht="14.4">
      <c r="A788" s="706"/>
      <c r="B788" s="706"/>
      <c r="C788" s="1051"/>
      <c r="D788" s="1756"/>
      <c r="E788" s="1756"/>
      <c r="F788" s="1756"/>
      <c r="G788" s="1050"/>
    </row>
    <row r="789" spans="1:9" ht="14.4">
      <c r="A789" s="706"/>
      <c r="B789" s="706"/>
      <c r="C789" s="1051"/>
      <c r="D789" s="1756"/>
      <c r="E789" s="1756"/>
      <c r="F789" s="1756"/>
      <c r="G789" s="1050"/>
    </row>
    <row r="790" spans="1:9" ht="14.4">
      <c r="A790" s="706"/>
      <c r="B790" s="706"/>
      <c r="C790" s="1051"/>
      <c r="D790" s="1756" t="s">
        <v>2113</v>
      </c>
      <c r="E790" s="1756"/>
      <c r="F790" s="1756"/>
      <c r="G790" s="1050"/>
    </row>
    <row r="791" spans="1:9" ht="14.4">
      <c r="A791" s="706"/>
      <c r="B791" s="706"/>
      <c r="C791" s="1051"/>
      <c r="D791" s="1756"/>
      <c r="E791" s="1756"/>
      <c r="F791" s="1756"/>
      <c r="G791" s="1050"/>
    </row>
    <row r="792" spans="1:9" ht="14.4">
      <c r="A792" s="706"/>
      <c r="B792" s="706"/>
      <c r="C792" s="1051"/>
      <c r="D792" s="1756"/>
      <c r="E792" s="1756"/>
      <c r="F792" s="1756"/>
      <c r="G792" s="1050"/>
    </row>
    <row r="793" spans="1:9" ht="14.4">
      <c r="A793" s="706"/>
      <c r="B793" s="549"/>
      <c r="C793" s="1051"/>
      <c r="D793" s="1052"/>
      <c r="E793" s="1052"/>
      <c r="F793" s="1052"/>
      <c r="G793" s="1050"/>
    </row>
    <row r="794" spans="1:9" ht="14.4">
      <c r="A794" s="706"/>
      <c r="B794" s="790" t="s">
        <v>2752</v>
      </c>
      <c r="C794" s="1051"/>
      <c r="D794" s="1756" t="s">
        <v>2070</v>
      </c>
      <c r="E794" s="1756"/>
      <c r="F794" s="1756"/>
      <c r="G794" s="1050"/>
      <c r="I794" s="1118" t="s">
        <v>2283</v>
      </c>
    </row>
    <row r="795" spans="1:9" ht="14.4">
      <c r="A795" s="706"/>
      <c r="B795" s="706"/>
      <c r="C795" s="1051"/>
      <c r="D795" s="1756"/>
      <c r="E795" s="1756"/>
      <c r="F795" s="1756"/>
      <c r="G795" s="1050"/>
    </row>
    <row r="796" spans="1:9" ht="14.4">
      <c r="A796" s="706"/>
      <c r="B796" s="706"/>
      <c r="C796" s="1051"/>
      <c r="D796" s="1756"/>
      <c r="E796" s="1756"/>
      <c r="F796" s="1756"/>
      <c r="G796" s="1050"/>
    </row>
    <row r="797" spans="1:9" ht="14.4">
      <c r="A797" s="706"/>
      <c r="B797" s="706"/>
      <c r="C797" s="1051"/>
      <c r="D797" s="1756"/>
      <c r="E797" s="1756"/>
      <c r="F797" s="1756"/>
      <c r="G797" s="1050"/>
    </row>
    <row r="798" spans="1:9" ht="14.4">
      <c r="A798" s="706"/>
      <c r="B798" s="706"/>
      <c r="C798" s="1051"/>
      <c r="D798" s="1756"/>
      <c r="E798" s="1756"/>
      <c r="F798" s="1756"/>
      <c r="G798" s="1050"/>
    </row>
    <row r="799" spans="1:9" ht="14.4">
      <c r="A799" s="706"/>
      <c r="B799" s="706"/>
      <c r="C799" s="1051"/>
      <c r="D799" s="1756"/>
      <c r="E799" s="1756"/>
      <c r="F799" s="1756"/>
      <c r="G799" s="1050"/>
    </row>
    <row r="800" spans="1:9" ht="14.4">
      <c r="A800" s="706"/>
      <c r="B800" s="706"/>
      <c r="C800" s="1051"/>
      <c r="D800" s="1030"/>
      <c r="E800" s="1030"/>
      <c r="F800" s="1030"/>
      <c r="G800" s="1050"/>
    </row>
    <row r="801" spans="1:9" ht="14.4">
      <c r="A801" s="706"/>
      <c r="B801" s="790" t="s">
        <v>2752</v>
      </c>
      <c r="C801" s="1051"/>
      <c r="D801" s="1756" t="s">
        <v>2071</v>
      </c>
      <c r="E801" s="1756"/>
      <c r="F801" s="1756"/>
      <c r="G801" s="1050"/>
      <c r="I801" s="1118" t="s">
        <v>2283</v>
      </c>
    </row>
    <row r="802" spans="1:9" ht="14.4">
      <c r="A802" s="706"/>
      <c r="B802" s="706"/>
      <c r="C802" s="1051"/>
      <c r="D802" s="1756"/>
      <c r="E802" s="1756"/>
      <c r="F802" s="1756"/>
      <c r="G802" s="1050"/>
    </row>
    <row r="803" spans="1:9" ht="14.4">
      <c r="A803" s="706"/>
      <c r="B803" s="706"/>
      <c r="C803" s="1051"/>
      <c r="D803" s="1756"/>
      <c r="E803" s="1756"/>
      <c r="F803" s="1756"/>
      <c r="G803" s="1050"/>
    </row>
    <row r="804" spans="1:9" ht="14.4">
      <c r="A804" s="706"/>
      <c r="B804" s="706"/>
      <c r="C804" s="1051"/>
      <c r="D804" s="1756"/>
      <c r="E804" s="1756"/>
      <c r="F804" s="1756"/>
      <c r="G804" s="1050"/>
    </row>
    <row r="805" spans="1:9" ht="14.4">
      <c r="A805" s="706"/>
      <c r="B805" s="706"/>
      <c r="C805" s="1051"/>
      <c r="D805" s="1756"/>
      <c r="E805" s="1756"/>
      <c r="F805" s="1756"/>
      <c r="G805" s="1050"/>
    </row>
    <row r="806" spans="1:9" ht="14.4">
      <c r="A806" s="706"/>
      <c r="B806" s="706"/>
      <c r="C806" s="1051"/>
      <c r="D806" s="1756"/>
      <c r="E806" s="1756"/>
      <c r="F806" s="1756"/>
      <c r="G806" s="1050"/>
    </row>
    <row r="807" spans="1:9" ht="14.4">
      <c r="A807" s="706"/>
      <c r="B807" s="706"/>
      <c r="C807" s="1051"/>
      <c r="D807" s="1030"/>
      <c r="E807" s="1030"/>
      <c r="F807" s="1030"/>
      <c r="G807" s="1050"/>
    </row>
    <row r="808" spans="1:9" ht="14.4">
      <c r="A808" s="706"/>
      <c r="B808" s="790" t="s">
        <v>2752</v>
      </c>
      <c r="C808" s="1051"/>
      <c r="D808" s="1769" t="s">
        <v>2072</v>
      </c>
      <c r="E808" s="1769"/>
      <c r="F808" s="1769"/>
      <c r="G808" s="1050"/>
      <c r="I808" s="1118" t="s">
        <v>2283</v>
      </c>
    </row>
    <row r="809" spans="1:9" ht="14.4">
      <c r="A809" s="706"/>
      <c r="B809" s="706"/>
      <c r="C809" s="1051"/>
      <c r="D809" s="1769"/>
      <c r="E809" s="1769"/>
      <c r="F809" s="1769"/>
      <c r="G809" s="1050"/>
    </row>
    <row r="810" spans="1:9">
      <c r="A810" s="1037"/>
      <c r="B810" s="1037"/>
      <c r="C810" s="1051"/>
      <c r="D810" s="1769"/>
      <c r="E810" s="1769"/>
      <c r="F810" s="1769"/>
      <c r="G810" s="1050"/>
    </row>
    <row r="811" spans="1:9" ht="14.4">
      <c r="A811" s="706"/>
      <c r="B811" s="1037"/>
      <c r="C811" s="1051"/>
      <c r="D811" s="1769"/>
      <c r="E811" s="1769"/>
      <c r="F811" s="1769"/>
      <c r="G811" s="1050"/>
    </row>
    <row r="812" spans="1:9" ht="12.75" customHeight="1">
      <c r="A812" s="706"/>
      <c r="B812" s="1037"/>
      <c r="C812" s="1051"/>
      <c r="D812" s="1769"/>
      <c r="E812" s="1769"/>
      <c r="F812" s="1769"/>
      <c r="G812" s="1050"/>
    </row>
    <row r="813" spans="1:9" ht="12.75" customHeight="1">
      <c r="A813" s="706"/>
      <c r="B813" s="1037"/>
      <c r="C813" s="1051"/>
      <c r="D813" s="1769"/>
      <c r="E813" s="1769"/>
      <c r="F813" s="1769"/>
      <c r="G813" s="1050"/>
    </row>
    <row r="814" spans="1:9" ht="12.75" customHeight="1">
      <c r="A814" s="1037"/>
      <c r="B814" s="1037"/>
      <c r="C814" s="1051"/>
      <c r="D814" s="1049"/>
      <c r="E814" s="6"/>
      <c r="F814" s="6"/>
      <c r="G814" s="1050"/>
    </row>
    <row r="815" spans="1:9" ht="12.75" customHeight="1">
      <c r="A815" s="1746" t="s">
        <v>2073</v>
      </c>
      <c r="B815" s="1746"/>
      <c r="C815" s="1746"/>
      <c r="D815" s="1746"/>
      <c r="E815" s="1746"/>
      <c r="F815" s="1746"/>
      <c r="G815" s="1746"/>
      <c r="H815" s="1130"/>
      <c r="I815" s="1131"/>
    </row>
    <row r="816" spans="1:9" ht="12.75" customHeight="1">
      <c r="A816" s="1027"/>
      <c r="B816" s="1027"/>
      <c r="C816" s="1051"/>
      <c r="D816" s="1049"/>
      <c r="E816" s="1049"/>
      <c r="F816" s="1049"/>
      <c r="G816" s="1050"/>
    </row>
    <row r="817" spans="1:9" ht="12.75" customHeight="1">
      <c r="A817" s="706"/>
      <c r="B817" s="706"/>
      <c r="C817" s="549"/>
      <c r="D817" s="1753" t="s">
        <v>2114</v>
      </c>
      <c r="E817" s="1753"/>
      <c r="F817" s="1753"/>
      <c r="G817" s="670"/>
    </row>
    <row r="818" spans="1:9" ht="14.25" customHeight="1">
      <c r="A818" s="706"/>
      <c r="B818" s="706"/>
      <c r="C818" s="549"/>
      <c r="D818" s="1711" t="s">
        <v>2074</v>
      </c>
      <c r="E818" s="1711"/>
      <c r="F818" s="1711"/>
      <c r="G818" s="670"/>
    </row>
    <row r="819" spans="1:9" ht="12.75" customHeight="1">
      <c r="A819" s="706"/>
      <c r="B819" s="706"/>
      <c r="C819" s="549"/>
      <c r="D819" s="1016"/>
      <c r="E819" s="1016"/>
      <c r="F819" s="1016"/>
      <c r="G819" s="670"/>
    </row>
    <row r="820" spans="1:9" ht="12.75" customHeight="1">
      <c r="A820" s="1053"/>
      <c r="B820" s="790" t="s">
        <v>2751</v>
      </c>
      <c r="C820" s="1051"/>
      <c r="D820" s="1711" t="s">
        <v>2075</v>
      </c>
      <c r="E820" s="1711"/>
      <c r="F820" s="1711"/>
      <c r="G820" s="670"/>
      <c r="I820" s="1082" t="s">
        <v>2251</v>
      </c>
    </row>
    <row r="821" spans="1:9" ht="14.25" customHeight="1">
      <c r="A821" s="1037"/>
      <c r="B821" s="1037"/>
      <c r="C821" s="1051"/>
      <c r="D821" s="782"/>
      <c r="E821" s="1187" t="s">
        <v>2338</v>
      </c>
      <c r="F821" s="1192"/>
      <c r="G821" s="670"/>
    </row>
    <row r="822" spans="1:9" ht="12.75" customHeight="1">
      <c r="A822" s="1037"/>
      <c r="B822" s="1037"/>
      <c r="C822" s="1051"/>
      <c r="D822" s="1054"/>
      <c r="E822" s="6"/>
      <c r="F822" s="6"/>
      <c r="G822" s="670"/>
    </row>
    <row r="823" spans="1:9" ht="14.25" hidden="1" customHeight="1">
      <c r="A823" s="1037"/>
      <c r="B823" s="790" t="s">
        <v>312</v>
      </c>
      <c r="C823" s="1051"/>
      <c r="D823" s="1845" t="s">
        <v>2661</v>
      </c>
      <c r="E823" s="1845"/>
      <c r="F823" s="1845"/>
      <c r="G823" s="670"/>
    </row>
    <row r="824" spans="1:9" ht="12.75" hidden="1" customHeight="1">
      <c r="A824" s="1037"/>
      <c r="B824" s="1037"/>
      <c r="C824" s="1051"/>
      <c r="D824" s="1845"/>
      <c r="E824" s="1845"/>
      <c r="F824" s="1845"/>
      <c r="G824" s="670"/>
    </row>
    <row r="825" spans="1:9" ht="12.75" hidden="1" customHeight="1">
      <c r="A825" s="1037"/>
      <c r="B825" s="1037"/>
      <c r="C825" s="1051"/>
      <c r="D825" s="1845"/>
      <c r="E825" s="1845"/>
      <c r="F825" s="1845"/>
      <c r="G825" s="670"/>
    </row>
    <row r="826" spans="1:9" ht="12.75" hidden="1" customHeight="1">
      <c r="A826" s="1037"/>
      <c r="B826" s="1037"/>
      <c r="C826" s="1051"/>
      <c r="D826" s="1845"/>
      <c r="E826" s="1845"/>
      <c r="F826" s="1845"/>
      <c r="G826" s="670"/>
    </row>
    <row r="827" spans="1:9" ht="12.75" hidden="1" customHeight="1">
      <c r="A827" s="1037"/>
      <c r="B827" s="1037"/>
      <c r="C827" s="1051"/>
      <c r="D827" s="1845"/>
      <c r="E827" s="1845"/>
      <c r="F827" s="1845"/>
      <c r="G827" s="670"/>
    </row>
    <row r="828" spans="1:9" ht="12.75" hidden="1" customHeight="1">
      <c r="A828" s="1037"/>
      <c r="B828" s="1037"/>
      <c r="C828" s="1051"/>
      <c r="D828" s="1845"/>
      <c r="E828" s="1845"/>
      <c r="F828" s="1845"/>
      <c r="G828" s="670"/>
    </row>
    <row r="829" spans="1:9" ht="12.75" hidden="1" customHeight="1">
      <c r="A829" s="1037"/>
      <c r="B829" s="1037"/>
      <c r="C829" s="1051"/>
      <c r="D829" s="1845"/>
      <c r="E829" s="1845"/>
      <c r="F829" s="1845"/>
      <c r="G829" s="670"/>
    </row>
    <row r="830" spans="1:9" ht="12.75" hidden="1" customHeight="1">
      <c r="A830" s="1037"/>
      <c r="B830" s="1037"/>
      <c r="C830" s="1051"/>
      <c r="D830" s="1845"/>
      <c r="E830" s="1845"/>
      <c r="F830" s="1845"/>
      <c r="G830" s="670"/>
    </row>
    <row r="831" spans="1:9" ht="12.75" hidden="1" customHeight="1">
      <c r="A831" s="1037"/>
      <c r="B831" s="1037"/>
      <c r="C831" s="1051"/>
      <c r="D831" s="1845"/>
      <c r="E831" s="1845"/>
      <c r="F831" s="1845"/>
      <c r="G831" s="670"/>
    </row>
    <row r="832" spans="1:9" ht="12.75" hidden="1" customHeight="1">
      <c r="A832" s="1037"/>
      <c r="B832" s="1037"/>
      <c r="C832" s="1051"/>
      <c r="D832" s="1845"/>
      <c r="E832" s="1845"/>
      <c r="F832" s="1845"/>
      <c r="G832" s="670"/>
    </row>
    <row r="833" spans="1:9" ht="12.75" hidden="1" customHeight="1">
      <c r="A833" s="1037"/>
      <c r="B833" s="1037"/>
      <c r="C833" s="1051"/>
      <c r="D833" s="1054"/>
      <c r="E833" s="6"/>
      <c r="F833" s="6"/>
      <c r="G833" s="670"/>
    </row>
    <row r="834" spans="1:9" ht="12.75" customHeight="1">
      <c r="A834" s="706"/>
      <c r="B834" s="790" t="s">
        <v>2751</v>
      </c>
      <c r="C834" s="1051"/>
      <c r="D834" s="1711" t="s">
        <v>2076</v>
      </c>
      <c r="E834" s="1711"/>
      <c r="F834" s="1711"/>
      <c r="G834" s="670"/>
      <c r="I834" s="1082" t="s">
        <v>2269</v>
      </c>
    </row>
    <row r="835" spans="1:9" ht="12.75" customHeight="1">
      <c r="A835" s="706"/>
      <c r="B835" s="706"/>
      <c r="C835" s="1051"/>
      <c r="D835" s="1711"/>
      <c r="E835" s="1711"/>
      <c r="F835" s="1711"/>
      <c r="G835" s="670"/>
    </row>
    <row r="836" spans="1:9" ht="12.75" customHeight="1">
      <c r="A836" s="706"/>
      <c r="B836" s="706"/>
      <c r="C836" s="1051"/>
      <c r="D836" s="1711"/>
      <c r="E836" s="1711"/>
      <c r="F836" s="1711"/>
      <c r="G836" s="670"/>
    </row>
    <row r="837" spans="1:9" ht="12.75" customHeight="1">
      <c r="A837" s="400"/>
      <c r="B837" s="400"/>
      <c r="C837" s="1055"/>
      <c r="D837" s="1033"/>
      <c r="E837" s="670"/>
      <c r="F837" s="670"/>
      <c r="G837" s="670"/>
    </row>
    <row r="838" spans="1:9" ht="12.75" customHeight="1">
      <c r="A838" s="1056"/>
      <c r="B838" s="790" t="s">
        <v>2752</v>
      </c>
      <c r="C838" s="1055"/>
      <c r="D838" s="1843" t="s">
        <v>2077</v>
      </c>
      <c r="E838" s="1843"/>
      <c r="F838" s="1843"/>
      <c r="G838" s="670"/>
    </row>
    <row r="839" spans="1:9" ht="12.75" customHeight="1">
      <c r="A839" s="549"/>
      <c r="B839" s="1056"/>
      <c r="C839" s="1055"/>
      <c r="D839" s="1843"/>
      <c r="E839" s="1843"/>
      <c r="F839" s="1843"/>
      <c r="G839" s="670"/>
    </row>
    <row r="840" spans="1:9" ht="12.75" customHeight="1">
      <c r="A840" s="400"/>
      <c r="B840" s="549"/>
      <c r="C840" s="1055"/>
      <c r="D840" s="1713" t="s">
        <v>2652</v>
      </c>
      <c r="E840" s="1713"/>
      <c r="F840" s="1713"/>
      <c r="G840" s="670"/>
    </row>
    <row r="841" spans="1:9" ht="12.75" customHeight="1">
      <c r="A841" s="400"/>
      <c r="B841" s="400"/>
      <c r="C841" s="1055"/>
      <c r="D841" s="1713"/>
      <c r="E841" s="1713"/>
      <c r="F841" s="1713"/>
      <c r="G841" s="670"/>
    </row>
    <row r="842" spans="1:9" ht="12.75" customHeight="1">
      <c r="A842" s="400"/>
      <c r="B842" s="400"/>
      <c r="C842" s="1055"/>
      <c r="D842" s="1713"/>
      <c r="E842" s="1713"/>
      <c r="F842" s="1713"/>
      <c r="G842" s="670"/>
    </row>
    <row r="843" spans="1:9" ht="12.75" customHeight="1">
      <c r="A843" s="400"/>
      <c r="B843" s="400"/>
      <c r="C843" s="1055"/>
      <c r="D843" s="1713"/>
      <c r="E843" s="1713"/>
      <c r="F843" s="1713"/>
      <c r="G843" s="670"/>
    </row>
    <row r="844" spans="1:9" ht="12.75" customHeight="1">
      <c r="A844" s="400"/>
      <c r="B844" s="400"/>
      <c r="C844" s="1055"/>
      <c r="D844" s="1713"/>
      <c r="E844" s="1713"/>
      <c r="F844" s="1713"/>
      <c r="G844" s="670"/>
    </row>
    <row r="845" spans="1:9" ht="12.75" customHeight="1">
      <c r="A845" s="400"/>
      <c r="B845" s="400"/>
      <c r="C845" s="1055"/>
      <c r="D845" s="1713"/>
      <c r="E845" s="1713"/>
      <c r="F845" s="1713"/>
      <c r="G845" s="670"/>
    </row>
    <row r="846" spans="1:9" ht="12.75" customHeight="1">
      <c r="A846" s="400"/>
      <c r="B846" s="400"/>
      <c r="C846" s="1055"/>
      <c r="D846" s="1033"/>
      <c r="E846" s="670"/>
      <c r="F846" s="670"/>
      <c r="G846" s="670"/>
    </row>
    <row r="847" spans="1:9" ht="12.75" customHeight="1">
      <c r="A847" s="400"/>
      <c r="B847" s="790" t="s">
        <v>2752</v>
      </c>
      <c r="C847" s="1055"/>
      <c r="D847" s="1713" t="s">
        <v>2078</v>
      </c>
      <c r="E847" s="1713"/>
      <c r="F847" s="1713"/>
      <c r="G847" s="670"/>
      <c r="I847" s="1082" t="s">
        <v>2252</v>
      </c>
    </row>
    <row r="848" spans="1:9" ht="12.75" customHeight="1">
      <c r="A848" s="400"/>
      <c r="B848" s="400"/>
      <c r="C848" s="1055"/>
      <c r="D848" s="1713" t="s">
        <v>2079</v>
      </c>
      <c r="E848" s="1713"/>
      <c r="F848" s="1713"/>
      <c r="G848" s="670"/>
    </row>
    <row r="849" spans="1:9" ht="12.75" customHeight="1">
      <c r="A849" s="400"/>
      <c r="B849" s="400"/>
      <c r="C849" s="1055"/>
      <c r="D849" s="782"/>
      <c r="E849" s="1187" t="s">
        <v>2340</v>
      </c>
      <c r="F849" s="1193"/>
      <c r="G849" s="670"/>
    </row>
    <row r="850" spans="1:9" ht="12.75" customHeight="1">
      <c r="A850" s="400"/>
      <c r="B850" s="400"/>
      <c r="C850" s="1055"/>
      <c r="D850" s="1033"/>
      <c r="E850" s="670"/>
      <c r="F850" s="670"/>
      <c r="G850" s="670"/>
    </row>
    <row r="851" spans="1:9" ht="12.75" customHeight="1">
      <c r="A851" s="400"/>
      <c r="B851" s="790" t="s">
        <v>2752</v>
      </c>
      <c r="C851" s="1055"/>
      <c r="D851" s="1713" t="s">
        <v>2080</v>
      </c>
      <c r="E851" s="1713"/>
      <c r="F851" s="1713"/>
      <c r="G851" s="670"/>
      <c r="I851" s="1082" t="s">
        <v>2270</v>
      </c>
    </row>
    <row r="852" spans="1:9" ht="12.75" customHeight="1">
      <c r="A852" s="400"/>
      <c r="B852" s="400"/>
      <c r="C852" s="1055"/>
      <c r="D852" s="1713"/>
      <c r="E852" s="1713"/>
      <c r="F852" s="1713"/>
      <c r="G852" s="670"/>
    </row>
    <row r="853" spans="1:9" ht="12.75" customHeight="1">
      <c r="A853" s="400"/>
      <c r="B853" s="400"/>
      <c r="C853" s="1055"/>
      <c r="D853" s="1713"/>
      <c r="E853" s="1713"/>
      <c r="F853" s="1713"/>
      <c r="G853" s="670"/>
    </row>
    <row r="854" spans="1:9" ht="12.75" customHeight="1">
      <c r="A854" s="400"/>
      <c r="B854" s="400"/>
      <c r="C854" s="1055"/>
      <c r="D854" s="1713"/>
      <c r="E854" s="1713"/>
      <c r="F854" s="1713"/>
      <c r="G854" s="670"/>
    </row>
    <row r="855" spans="1:9" ht="12.75" customHeight="1">
      <c r="A855" s="1027"/>
      <c r="B855" s="1027"/>
      <c r="C855" s="1057"/>
      <c r="D855" s="1021"/>
      <c r="E855" s="6"/>
      <c r="F855" s="6"/>
      <c r="G855" s="670"/>
    </row>
    <row r="856" spans="1:9" ht="12.75" customHeight="1">
      <c r="A856" s="1032" t="s">
        <v>2081</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5" t="s">
        <v>2115</v>
      </c>
      <c r="E858" s="1735"/>
      <c r="F858" s="1735"/>
      <c r="G858" s="1050"/>
    </row>
    <row r="859" spans="1:9" ht="12.75" customHeight="1">
      <c r="A859" s="1053"/>
      <c r="B859" s="1053"/>
      <c r="C859" s="313"/>
      <c r="D859" s="1844" t="s">
        <v>2082</v>
      </c>
      <c r="E859" s="1844"/>
      <c r="F859" s="1844"/>
      <c r="G859" s="1050"/>
    </row>
    <row r="860" spans="1:9" ht="12.75" customHeight="1">
      <c r="A860" s="1053"/>
      <c r="B860" s="1053"/>
      <c r="C860" s="313"/>
      <c r="D860" s="1061"/>
      <c r="E860" s="1061"/>
      <c r="F860" s="1061"/>
      <c r="G860" s="1050"/>
    </row>
    <row r="861" spans="1:9" ht="12.75" customHeight="1">
      <c r="A861" s="706"/>
      <c r="B861" s="790" t="s">
        <v>2751</v>
      </c>
      <c r="C861" s="549"/>
      <c r="D861" s="1736" t="s">
        <v>2083</v>
      </c>
      <c r="E861" s="1736"/>
      <c r="F861" s="1736"/>
      <c r="G861" s="1050"/>
      <c r="I861" s="1082" t="s">
        <v>2252</v>
      </c>
    </row>
    <row r="862" spans="1:9" ht="12.75" customHeight="1">
      <c r="A862" s="1053"/>
      <c r="B862" s="1053"/>
      <c r="C862" s="549"/>
      <c r="D862" s="5" t="s">
        <v>2058</v>
      </c>
      <c r="E862" s="1187" t="s">
        <v>2340</v>
      </c>
      <c r="F862" s="1194"/>
      <c r="G862" s="1050"/>
    </row>
    <row r="863" spans="1:9" ht="12.75" customHeight="1">
      <c r="A863" s="1053"/>
      <c r="B863" s="1053"/>
      <c r="C863" s="549"/>
      <c r="D863" s="1021"/>
      <c r="E863" s="1049"/>
      <c r="F863" s="1049"/>
      <c r="G863" s="1050"/>
    </row>
    <row r="864" spans="1:9" ht="12.75" customHeight="1">
      <c r="A864" s="706"/>
      <c r="B864" s="790" t="s">
        <v>2751</v>
      </c>
      <c r="C864" s="549"/>
      <c r="D864" s="1711" t="s">
        <v>2084</v>
      </c>
      <c r="E864" s="1785"/>
      <c r="F864" s="1785"/>
      <c r="G864" s="670"/>
      <c r="I864" s="1082" t="s">
        <v>2270</v>
      </c>
    </row>
    <row r="865" spans="1:9" ht="12.75" customHeight="1">
      <c r="A865" s="1053"/>
      <c r="B865" s="1053"/>
      <c r="C865" s="549"/>
      <c r="D865" s="1785"/>
      <c r="E865" s="1785"/>
      <c r="F865" s="1785"/>
      <c r="G865" s="670"/>
    </row>
    <row r="866" spans="1:9" ht="12.75" customHeight="1">
      <c r="A866" s="1053"/>
      <c r="B866" s="1053"/>
      <c r="C866" s="549"/>
      <c r="D866" s="1021"/>
      <c r="E866" s="6"/>
      <c r="F866" s="6"/>
      <c r="G866" s="670"/>
    </row>
    <row r="867" spans="1:9" ht="12.75" customHeight="1">
      <c r="A867" s="549"/>
      <c r="B867" s="790" t="s">
        <v>2752</v>
      </c>
      <c r="C867" s="550"/>
      <c r="D867" s="1846" t="s">
        <v>2085</v>
      </c>
      <c r="E867" s="1846"/>
      <c r="F867" s="1846"/>
      <c r="G867" s="1050"/>
    </row>
    <row r="868" spans="1:9" ht="12.75" customHeight="1">
      <c r="A868" s="549"/>
      <c r="B868" s="1062"/>
      <c r="C868" s="550"/>
      <c r="D868" s="1846"/>
      <c r="E868" s="1846"/>
      <c r="F868" s="1846"/>
      <c r="G868" s="1050"/>
    </row>
    <row r="869" spans="1:9" ht="12.75" customHeight="1">
      <c r="A869" s="706"/>
      <c r="B869" s="669"/>
      <c r="C869" s="549"/>
      <c r="D869" s="1713" t="s">
        <v>2652</v>
      </c>
      <c r="E869" s="1713"/>
      <c r="F869" s="1713"/>
      <c r="G869" s="1050"/>
    </row>
    <row r="870" spans="1:9" ht="12.75" customHeight="1">
      <c r="A870" s="706"/>
      <c r="B870" s="706"/>
      <c r="C870" s="549"/>
      <c r="D870" s="1713"/>
      <c r="E870" s="1713"/>
      <c r="F870" s="1713"/>
      <c r="G870" s="1050"/>
    </row>
    <row r="871" spans="1:9" ht="12.75" customHeight="1">
      <c r="A871" s="706"/>
      <c r="B871" s="706"/>
      <c r="C871" s="549"/>
      <c r="D871" s="1713"/>
      <c r="E871" s="1713"/>
      <c r="F871" s="1713"/>
      <c r="G871" s="1050"/>
    </row>
    <row r="872" spans="1:9" ht="12.75" customHeight="1">
      <c r="A872" s="706"/>
      <c r="B872" s="706"/>
      <c r="C872" s="549"/>
      <c r="D872" s="1713"/>
      <c r="E872" s="1713"/>
      <c r="F872" s="1713"/>
      <c r="G872" s="1050"/>
    </row>
    <row r="873" spans="1:9" ht="12.75" customHeight="1">
      <c r="A873" s="706"/>
      <c r="B873" s="706"/>
      <c r="C873" s="549"/>
      <c r="D873" s="1713"/>
      <c r="E873" s="1713"/>
      <c r="F873" s="1713"/>
      <c r="G873" s="1050"/>
    </row>
    <row r="874" spans="1:9" ht="12.75" customHeight="1">
      <c r="A874" s="706"/>
      <c r="B874" s="706"/>
      <c r="C874" s="549"/>
      <c r="D874" s="1713"/>
      <c r="E874" s="1713"/>
      <c r="F874" s="1713"/>
      <c r="G874" s="1050"/>
    </row>
    <row r="875" spans="1:9" ht="12.75" customHeight="1">
      <c r="A875" s="706"/>
      <c r="B875" s="706"/>
      <c r="C875" s="549"/>
      <c r="D875" s="1021"/>
      <c r="E875" s="1049"/>
      <c r="F875" s="1049"/>
      <c r="G875" s="1050"/>
    </row>
    <row r="876" spans="1:9" ht="12.75" customHeight="1">
      <c r="A876" s="706"/>
      <c r="B876" s="790" t="s">
        <v>2752</v>
      </c>
      <c r="C876" s="549"/>
      <c r="D876" s="1740" t="s">
        <v>2078</v>
      </c>
      <c r="E876" s="1740"/>
      <c r="F876" s="1740"/>
      <c r="G876" s="1050"/>
      <c r="I876" s="1082" t="s">
        <v>2252</v>
      </c>
    </row>
    <row r="877" spans="1:9" ht="12.75" customHeight="1">
      <c r="A877" s="706"/>
      <c r="B877" s="706"/>
      <c r="C877" s="549"/>
      <c r="D877" s="1740" t="s">
        <v>2079</v>
      </c>
      <c r="E877" s="1740"/>
      <c r="F877" s="1740"/>
      <c r="G877" s="1050"/>
    </row>
    <row r="878" spans="1:9" ht="12.75" customHeight="1">
      <c r="A878" s="706"/>
      <c r="B878" s="706"/>
      <c r="C878" s="549"/>
      <c r="D878" s="5" t="s">
        <v>1445</v>
      </c>
      <c r="E878" s="1187" t="s">
        <v>2340</v>
      </c>
      <c r="F878" s="1195"/>
      <c r="G878" s="1050"/>
    </row>
    <row r="879" spans="1:9" ht="12.75" customHeight="1">
      <c r="A879" s="706"/>
      <c r="B879" s="706"/>
      <c r="C879" s="549"/>
      <c r="D879" s="1021"/>
      <c r="E879" s="1049"/>
      <c r="F879" s="1049"/>
      <c r="G879" s="1050"/>
    </row>
    <row r="880" spans="1:9" ht="12.75" customHeight="1">
      <c r="A880" s="706"/>
      <c r="B880" s="790" t="s">
        <v>2752</v>
      </c>
      <c r="C880" s="549"/>
      <c r="D880" s="1711" t="s">
        <v>2080</v>
      </c>
      <c r="E880" s="1711"/>
      <c r="F880" s="1711"/>
      <c r="G880" s="1050"/>
      <c r="I880" s="1082" t="s">
        <v>2270</v>
      </c>
    </row>
    <row r="881" spans="1:9" ht="12.75" customHeight="1">
      <c r="A881" s="706"/>
      <c r="B881" s="706"/>
      <c r="C881" s="549"/>
      <c r="D881" s="1711"/>
      <c r="E881" s="1711"/>
      <c r="F881" s="1711"/>
      <c r="G881" s="1050"/>
    </row>
    <row r="882" spans="1:9" ht="12.75" customHeight="1">
      <c r="A882" s="706"/>
      <c r="B882" s="706"/>
      <c r="C882" s="549"/>
      <c r="D882" s="1711"/>
      <c r="E882" s="1711"/>
      <c r="F882" s="1711"/>
      <c r="G882" s="1050"/>
    </row>
    <row r="883" spans="1:9" ht="12.75" customHeight="1">
      <c r="A883" s="706"/>
      <c r="B883" s="706"/>
      <c r="C883" s="549"/>
      <c r="D883" s="1711"/>
      <c r="E883" s="1711"/>
      <c r="F883" s="1711"/>
      <c r="G883" s="1050"/>
    </row>
    <row r="884" spans="1:9" ht="12.75" customHeight="1">
      <c r="A884" s="1022"/>
      <c r="B884" s="1022"/>
      <c r="C884" s="1051"/>
      <c r="D884" s="1049"/>
      <c r="E884" s="1049"/>
      <c r="F884" s="1049"/>
      <c r="G884" s="1050"/>
    </row>
    <row r="885" spans="1:9" ht="12.75" customHeight="1">
      <c r="A885" s="1746" t="s">
        <v>2116</v>
      </c>
      <c r="B885" s="1746"/>
      <c r="C885" s="1746"/>
      <c r="D885" s="1746"/>
      <c r="E885" s="1746"/>
      <c r="F885" s="1746"/>
      <c r="G885" s="1746"/>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55" t="s">
        <v>2122</v>
      </c>
      <c r="E887" s="1755"/>
      <c r="F887" s="1755"/>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2751</v>
      </c>
      <c r="C889" s="93"/>
      <c r="D889" s="1034" t="s">
        <v>2123</v>
      </c>
      <c r="E889" s="1029"/>
      <c r="F889" s="1029"/>
      <c r="G889" s="93"/>
      <c r="I889" s="1082" t="s">
        <v>2284</v>
      </c>
    </row>
    <row r="890" spans="1:9" s="1080" customFormat="1" ht="12.75" customHeight="1">
      <c r="A890" s="93"/>
      <c r="B890" s="93"/>
      <c r="C890" s="93"/>
      <c r="D890" s="1029"/>
      <c r="E890" s="1029"/>
      <c r="F890" s="1029"/>
      <c r="G890" s="93"/>
      <c r="I890" s="1082"/>
    </row>
    <row r="891" spans="1:9" ht="12.75" customHeight="1">
      <c r="A891" s="1053"/>
      <c r="B891" s="1053"/>
      <c r="C891" s="1051"/>
      <c r="D891" s="1755" t="s">
        <v>2117</v>
      </c>
      <c r="E891" s="1755"/>
      <c r="F891" s="1755"/>
      <c r="G891" s="1050"/>
    </row>
    <row r="892" spans="1:9" ht="12.75" customHeight="1">
      <c r="A892" s="1027"/>
      <c r="B892" s="1027"/>
      <c r="C892" s="1057"/>
      <c r="D892" s="1736" t="s">
        <v>2086</v>
      </c>
      <c r="E892" s="1736"/>
      <c r="F892" s="1736"/>
      <c r="G892" s="1050"/>
    </row>
    <row r="893" spans="1:9" ht="12.75" customHeight="1">
      <c r="A893" s="1067"/>
      <c r="B893" s="1067"/>
      <c r="C893" s="1051"/>
      <c r="D893" s="5"/>
      <c r="E893" s="1049"/>
      <c r="F893" s="1049"/>
      <c r="G893" s="1050"/>
    </row>
    <row r="894" spans="1:9" ht="12.75" customHeight="1">
      <c r="A894" s="706"/>
      <c r="B894" s="790" t="s">
        <v>2751</v>
      </c>
      <c r="C894" s="549"/>
      <c r="D894" s="1711" t="s">
        <v>2090</v>
      </c>
      <c r="E894" s="1711"/>
      <c r="F894" s="1711"/>
      <c r="G894" s="670"/>
      <c r="I894" s="1082" t="s">
        <v>2236</v>
      </c>
    </row>
    <row r="895" spans="1:9" ht="12.75" customHeight="1">
      <c r="A895" s="1053"/>
      <c r="B895" s="1053"/>
      <c r="C895" s="549"/>
      <c r="D895" s="1711"/>
      <c r="E895" s="1711"/>
      <c r="F895" s="1711"/>
      <c r="G895" s="670"/>
    </row>
    <row r="896" spans="1:9" s="1080" customFormat="1" ht="12.75" customHeight="1">
      <c r="A896" s="1123"/>
      <c r="B896" s="1123"/>
      <c r="C896" s="1057"/>
      <c r="D896" s="1711" t="s">
        <v>2089</v>
      </c>
      <c r="E896" s="1711"/>
      <c r="F896" s="1711"/>
      <c r="G896" s="1050"/>
      <c r="I896" s="1082"/>
    </row>
    <row r="897" spans="1:9" s="1080" customFormat="1" ht="12.75" customHeight="1">
      <c r="A897" s="1123"/>
      <c r="B897" s="1123"/>
      <c r="C897" s="1057"/>
      <c r="D897" s="1711"/>
      <c r="E897" s="1711"/>
      <c r="F897" s="1711"/>
      <c r="G897" s="1050"/>
      <c r="I897" s="1082"/>
    </row>
    <row r="898" spans="1:9" ht="12.75" customHeight="1">
      <c r="A898" s="1027"/>
      <c r="B898" s="1027"/>
      <c r="C898" s="1057"/>
      <c r="D898" s="6"/>
      <c r="E898" s="6"/>
      <c r="F898" s="1049"/>
      <c r="G898" s="1050"/>
    </row>
    <row r="899" spans="1:9" ht="12.75" customHeight="1">
      <c r="A899" s="400"/>
      <c r="B899" s="790" t="s">
        <v>2751</v>
      </c>
      <c r="C899" s="481"/>
      <c r="D899" s="1847" t="s">
        <v>2087</v>
      </c>
      <c r="E899" s="1847"/>
      <c r="F899" s="1847"/>
      <c r="G899" s="1050"/>
      <c r="I899" s="1082" t="s">
        <v>2235</v>
      </c>
    </row>
    <row r="900" spans="1:9" ht="12.75" customHeight="1">
      <c r="A900" s="400"/>
      <c r="B900" s="400"/>
      <c r="C900" s="481"/>
      <c r="D900" s="1847"/>
      <c r="E900" s="1847"/>
      <c r="F900" s="1847"/>
      <c r="G900" s="1050"/>
    </row>
    <row r="901" spans="1:9" ht="12.75" customHeight="1">
      <c r="A901" s="400"/>
      <c r="B901" s="400"/>
      <c r="C901" s="481"/>
      <c r="D901" s="1847"/>
      <c r="E901" s="1847"/>
      <c r="F901" s="1847"/>
      <c r="G901" s="1050"/>
    </row>
    <row r="902" spans="1:9" s="1080" customFormat="1" ht="12.75" customHeight="1">
      <c r="A902" s="400"/>
      <c r="B902" s="400"/>
      <c r="C902" s="481"/>
      <c r="D902" s="1847"/>
      <c r="E902" s="1847"/>
      <c r="F902" s="1847"/>
      <c r="G902" s="1050"/>
      <c r="I902" s="1082"/>
    </row>
    <row r="903" spans="1:9" ht="12.75" customHeight="1">
      <c r="A903" s="400"/>
      <c r="B903" s="400"/>
      <c r="C903" s="481"/>
      <c r="D903" s="1847"/>
      <c r="E903" s="1847"/>
      <c r="F903" s="1847"/>
      <c r="G903" s="1050"/>
    </row>
    <row r="904" spans="1:9" ht="12.75" customHeight="1">
      <c r="A904" s="482"/>
      <c r="B904" s="482"/>
      <c r="C904" s="481"/>
      <c r="D904" s="1847"/>
      <c r="E904" s="1847"/>
      <c r="F904" s="1847"/>
      <c r="G904" s="1050"/>
    </row>
    <row r="905" spans="1:9" ht="12.75" customHeight="1">
      <c r="A905" s="482"/>
      <c r="B905" s="482"/>
      <c r="C905" s="481"/>
      <c r="D905" s="1847"/>
      <c r="E905" s="1847"/>
      <c r="F905" s="1847"/>
      <c r="G905" s="1050"/>
    </row>
    <row r="906" spans="1:9" ht="12.75" customHeight="1">
      <c r="A906" s="482"/>
      <c r="B906" s="482"/>
      <c r="C906" s="481"/>
      <c r="D906" s="1847"/>
      <c r="E906" s="1847"/>
      <c r="F906" s="1847"/>
      <c r="G906" s="1050"/>
    </row>
    <row r="907" spans="1:9" s="1080" customFormat="1" ht="12.75" customHeight="1">
      <c r="A907" s="482"/>
      <c r="B907" s="482"/>
      <c r="C907" s="481"/>
      <c r="D907" s="1124"/>
      <c r="E907" s="1124"/>
      <c r="F907" s="1124"/>
      <c r="G907" s="1050"/>
      <c r="I907" s="1082"/>
    </row>
    <row r="908" spans="1:9" ht="12.75" customHeight="1">
      <c r="A908" s="1067"/>
      <c r="B908" s="790" t="s">
        <v>2752</v>
      </c>
      <c r="C908" s="1051"/>
      <c r="D908" s="1711" t="s">
        <v>2091</v>
      </c>
      <c r="E908" s="1711"/>
      <c r="F908" s="1711"/>
      <c r="G908" s="1050"/>
    </row>
    <row r="909" spans="1:9" ht="12.75" customHeight="1">
      <c r="A909" s="1067"/>
      <c r="B909" s="1067"/>
      <c r="C909" s="1051"/>
      <c r="D909" s="1711"/>
      <c r="E909" s="1711"/>
      <c r="F909" s="1711"/>
      <c r="G909" s="1050"/>
    </row>
    <row r="910" spans="1:9" ht="12.75" customHeight="1">
      <c r="A910" s="1067"/>
      <c r="B910" s="1067"/>
      <c r="C910" s="1051"/>
      <c r="D910" s="1049"/>
      <c r="E910" s="1049"/>
      <c r="F910" s="1049"/>
      <c r="G910" s="1050"/>
    </row>
    <row r="911" spans="1:9" ht="12.75" customHeight="1">
      <c r="A911" s="1067"/>
      <c r="B911" s="790" t="s">
        <v>2752</v>
      </c>
      <c r="C911" s="1051"/>
      <c r="D911" s="1769" t="s">
        <v>2092</v>
      </c>
      <c r="E911" s="1769"/>
      <c r="F911" s="1769"/>
      <c r="G911" s="1050"/>
    </row>
    <row r="912" spans="1:9" ht="12.75" customHeight="1">
      <c r="A912" s="1067"/>
      <c r="B912" s="1067"/>
      <c r="C912" s="1051"/>
      <c r="D912" s="1769"/>
      <c r="E912" s="1769"/>
      <c r="F912" s="1769"/>
      <c r="G912" s="1050"/>
    </row>
    <row r="913" spans="1:9" ht="12.75" customHeight="1">
      <c r="A913" s="1067"/>
      <c r="B913" s="1067"/>
      <c r="C913" s="1051"/>
      <c r="D913" s="1769"/>
      <c r="E913" s="1769"/>
      <c r="F913" s="1769"/>
      <c r="G913" s="1050"/>
    </row>
    <row r="914" spans="1:9" ht="12.75" customHeight="1">
      <c r="A914" s="1067"/>
      <c r="B914" s="1067"/>
      <c r="C914" s="1051"/>
      <c r="D914" s="1769"/>
      <c r="E914" s="1769"/>
      <c r="F914" s="1769"/>
      <c r="G914" s="1050"/>
    </row>
    <row r="915" spans="1:9" ht="12.75" customHeight="1">
      <c r="A915" s="1067"/>
      <c r="B915" s="1067"/>
      <c r="C915" s="1051"/>
      <c r="D915" s="1021"/>
      <c r="E915" s="1049"/>
      <c r="F915" s="1049"/>
      <c r="G915" s="1050"/>
    </row>
    <row r="916" spans="1:9" ht="12.75" customHeight="1">
      <c r="A916" s="1067"/>
      <c r="B916" s="790" t="s">
        <v>2752</v>
      </c>
      <c r="C916" s="1051"/>
      <c r="D916" s="1736" t="s">
        <v>2653</v>
      </c>
      <c r="E916" s="1736"/>
      <c r="F916" s="1736"/>
      <c r="G916" s="1050"/>
    </row>
    <row r="917" spans="1:9" ht="12.75" customHeight="1">
      <c r="A917" s="1067"/>
      <c r="B917" s="1067"/>
      <c r="C917" s="1051"/>
      <c r="D917" s="1021"/>
      <c r="E917" s="1049"/>
      <c r="F917" s="1049"/>
      <c r="G917" s="1050"/>
    </row>
    <row r="918" spans="1:9" ht="12.75" customHeight="1">
      <c r="A918" s="1067"/>
      <c r="B918" s="790" t="s">
        <v>2752</v>
      </c>
      <c r="C918" s="1051"/>
      <c r="D918" s="1736" t="s">
        <v>2654</v>
      </c>
      <c r="E918" s="1736"/>
      <c r="F918" s="1736"/>
      <c r="G918" s="1050"/>
    </row>
    <row r="919" spans="1:9" ht="12.75" customHeight="1">
      <c r="A919" s="482"/>
      <c r="B919" s="482"/>
      <c r="C919" s="481"/>
      <c r="D919" s="183"/>
      <c r="E919" s="670"/>
      <c r="F919" s="1050"/>
      <c r="G919" s="1050"/>
    </row>
    <row r="920" spans="1:9" ht="12.75" customHeight="1">
      <c r="A920" s="1063"/>
      <c r="B920" s="790" t="s">
        <v>2751</v>
      </c>
      <c r="C920" s="1064"/>
      <c r="D920" s="1847" t="s">
        <v>2088</v>
      </c>
      <c r="E920" s="1847"/>
      <c r="F920" s="1847"/>
      <c r="G920" s="1065"/>
      <c r="I920" s="1082" t="s">
        <v>2285</v>
      </c>
    </row>
    <row r="921" spans="1:9" ht="12.75" customHeight="1">
      <c r="A921" s="1063"/>
      <c r="B921" s="1063"/>
      <c r="C921" s="1064"/>
      <c r="D921" s="1847"/>
      <c r="E921" s="1847"/>
      <c r="F921" s="1847"/>
      <c r="G921" s="1065"/>
    </row>
    <row r="922" spans="1:9" ht="12.75" customHeight="1">
      <c r="A922" s="1063"/>
      <c r="B922" s="1063"/>
      <c r="C922" s="1064"/>
      <c r="D922" s="1847"/>
      <c r="E922" s="1847"/>
      <c r="F922" s="1847"/>
      <c r="G922" s="1065"/>
    </row>
    <row r="923" spans="1:9" ht="12.75" customHeight="1">
      <c r="A923" s="1063"/>
      <c r="B923" s="1063"/>
      <c r="C923" s="1064"/>
      <c r="D923" s="1847"/>
      <c r="E923" s="1847"/>
      <c r="F923" s="1847"/>
      <c r="G923" s="1065"/>
    </row>
    <row r="924" spans="1:9" ht="12.75" customHeight="1">
      <c r="A924" s="1063"/>
      <c r="B924" s="1063"/>
      <c r="C924" s="1064"/>
      <c r="D924" s="1847"/>
      <c r="E924" s="1847"/>
      <c r="F924" s="1847"/>
      <c r="G924" s="1065"/>
    </row>
    <row r="925" spans="1:9" ht="12.75" customHeight="1">
      <c r="A925" s="1063"/>
      <c r="B925" s="1063"/>
      <c r="C925" s="1064"/>
      <c r="D925" s="1847"/>
      <c r="E925" s="1847"/>
      <c r="F925" s="1847"/>
      <c r="G925" s="1065"/>
    </row>
    <row r="926" spans="1:9" ht="12.75" customHeight="1">
      <c r="A926" s="1063"/>
      <c r="B926" s="1063"/>
      <c r="C926" s="1064"/>
      <c r="D926" s="1847"/>
      <c r="E926" s="1847"/>
      <c r="F926" s="1847"/>
      <c r="G926" s="1065"/>
    </row>
    <row r="927" spans="1:9" ht="12.75" customHeight="1">
      <c r="A927" s="1063"/>
      <c r="B927" s="1063"/>
      <c r="C927" s="1064"/>
      <c r="D927" s="1847"/>
      <c r="E927" s="1847"/>
      <c r="F927" s="1847"/>
      <c r="G927" s="1065"/>
    </row>
    <row r="928" spans="1:9" ht="12.75" customHeight="1">
      <c r="A928" s="1063"/>
      <c r="B928" s="1063"/>
      <c r="C928" s="1064"/>
      <c r="D928" s="1847"/>
      <c r="E928" s="1847"/>
      <c r="F928" s="1847"/>
      <c r="G928" s="1065"/>
    </row>
    <row r="929" spans="1:9" ht="12.75" customHeight="1">
      <c r="A929" s="482"/>
      <c r="B929" s="482"/>
      <c r="C929" s="481"/>
      <c r="D929" s="183"/>
      <c r="E929" s="670"/>
      <c r="F929" s="1050"/>
      <c r="G929" s="1050"/>
    </row>
    <row r="930" spans="1:9" ht="12.75" customHeight="1">
      <c r="A930" s="400"/>
      <c r="B930" s="790" t="s">
        <v>2752</v>
      </c>
      <c r="C930" s="481"/>
      <c r="D930" s="1848" t="s">
        <v>2288</v>
      </c>
      <c r="E930" s="1848"/>
      <c r="F930" s="1848"/>
      <c r="G930" s="1050"/>
      <c r="I930" s="1082" t="s">
        <v>2285</v>
      </c>
    </row>
    <row r="931" spans="1:9" ht="12.75" customHeight="1">
      <c r="A931" s="400"/>
      <c r="B931" s="400"/>
      <c r="C931" s="481"/>
      <c r="D931" s="1848"/>
      <c r="E931" s="1848"/>
      <c r="F931" s="1848"/>
      <c r="G931" s="1050"/>
    </row>
    <row r="932" spans="1:9" ht="12.75" customHeight="1">
      <c r="A932" s="400"/>
      <c r="B932" s="400"/>
      <c r="C932" s="481"/>
      <c r="D932" s="1848"/>
      <c r="E932" s="1848"/>
      <c r="F932" s="1848"/>
      <c r="G932" s="1050"/>
    </row>
    <row r="933" spans="1:9" ht="12.75" customHeight="1">
      <c r="A933" s="400"/>
      <c r="B933" s="400"/>
      <c r="C933" s="481"/>
      <c r="D933" s="1848"/>
      <c r="E933" s="1848"/>
      <c r="F933" s="1848"/>
      <c r="G933" s="1050"/>
    </row>
    <row r="934" spans="1:9" ht="12.75" customHeight="1">
      <c r="A934" s="400"/>
      <c r="B934" s="400"/>
      <c r="C934" s="481"/>
      <c r="D934" s="1848"/>
      <c r="E934" s="1848"/>
      <c r="F934" s="1848"/>
      <c r="G934" s="1050"/>
    </row>
    <row r="935" spans="1:9" ht="12.75" customHeight="1">
      <c r="A935" s="400"/>
      <c r="B935" s="400"/>
      <c r="C935" s="481"/>
      <c r="D935" s="1848"/>
      <c r="E935" s="1848"/>
      <c r="F935" s="1848"/>
      <c r="G935" s="1050"/>
    </row>
    <row r="936" spans="1:9" ht="12.75" customHeight="1">
      <c r="A936" s="400"/>
      <c r="B936" s="400"/>
      <c r="C936" s="481"/>
      <c r="D936" s="1848"/>
      <c r="E936" s="1848"/>
      <c r="F936" s="1848"/>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2752</v>
      </c>
      <c r="C938" s="481"/>
      <c r="D938" s="1771" t="s">
        <v>2286</v>
      </c>
      <c r="E938" s="1771"/>
      <c r="F938" s="1771"/>
      <c r="G938" s="1050"/>
      <c r="I938" s="1082"/>
    </row>
    <row r="939" spans="1:9" s="1080" customFormat="1" ht="12.75" customHeight="1">
      <c r="A939" s="400"/>
      <c r="B939" s="400"/>
      <c r="C939" s="481"/>
      <c r="D939" s="1771"/>
      <c r="E939" s="1771"/>
      <c r="F939" s="1771"/>
      <c r="G939" s="1050"/>
      <c r="I939" s="1082"/>
    </row>
    <row r="940" spans="1:9" s="1080" customFormat="1" ht="12.75" customHeight="1">
      <c r="A940" s="400"/>
      <c r="B940" s="400"/>
      <c r="C940" s="481"/>
      <c r="D940" s="1771"/>
      <c r="E940" s="1771"/>
      <c r="F940" s="1771"/>
      <c r="G940" s="1050"/>
      <c r="I940" s="1082"/>
    </row>
    <row r="941" spans="1:9" s="1080" customFormat="1" ht="12.75" customHeight="1">
      <c r="A941" s="400"/>
      <c r="B941" s="400"/>
      <c r="C941" s="481"/>
      <c r="D941" s="1771"/>
      <c r="E941" s="1771"/>
      <c r="F941" s="1771"/>
      <c r="G941" s="1050"/>
      <c r="I941" s="1082"/>
    </row>
    <row r="942" spans="1:9" s="1080" customFormat="1" ht="12.75" customHeight="1">
      <c r="A942" s="400"/>
      <c r="B942" s="400"/>
      <c r="C942" s="481"/>
      <c r="D942" s="1771"/>
      <c r="E942" s="1771"/>
      <c r="F942" s="1771"/>
      <c r="G942" s="1050"/>
      <c r="I942" s="1082"/>
    </row>
    <row r="943" spans="1:9" s="1080" customFormat="1" ht="12.75" customHeight="1">
      <c r="A943" s="400"/>
      <c r="B943" s="400"/>
      <c r="C943" s="481"/>
      <c r="D943" s="1771"/>
      <c r="E943" s="1771"/>
      <c r="F943" s="1771"/>
      <c r="G943" s="1050"/>
      <c r="I943" s="1082"/>
    </row>
    <row r="944" spans="1:9" s="1080" customFormat="1" ht="12.75" customHeight="1">
      <c r="A944" s="400"/>
      <c r="B944" s="400"/>
      <c r="C944" s="481"/>
      <c r="D944" s="1125"/>
      <c r="E944" s="1125"/>
      <c r="F944" s="1125"/>
      <c r="G944" s="1050"/>
      <c r="I944" s="1082"/>
    </row>
    <row r="945" spans="1:9" ht="12.75" customHeight="1">
      <c r="A945" s="1067"/>
      <c r="B945" s="790" t="s">
        <v>2752</v>
      </c>
      <c r="C945" s="1051"/>
      <c r="D945" s="1862" t="s">
        <v>2093</v>
      </c>
      <c r="E945" s="1862"/>
      <c r="F945" s="1862"/>
      <c r="G945" s="1050"/>
    </row>
    <row r="946" spans="1:9" ht="12.75" customHeight="1">
      <c r="A946" s="1067"/>
      <c r="B946" s="1067"/>
      <c r="C946" s="1051"/>
      <c r="D946" s="1862"/>
      <c r="E946" s="1862"/>
      <c r="F946" s="1862"/>
      <c r="G946" s="1050"/>
    </row>
    <row r="947" spans="1:9" ht="12.75" customHeight="1">
      <c r="A947" s="1067"/>
      <c r="B947" s="1067"/>
      <c r="C947" s="1051"/>
      <c r="D947" s="1862"/>
      <c r="E947" s="1862"/>
      <c r="F947" s="1862"/>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2752</v>
      </c>
      <c r="C950" s="481"/>
      <c r="D950" s="1847" t="s">
        <v>2287</v>
      </c>
      <c r="E950" s="1847"/>
      <c r="F950" s="1847"/>
      <c r="G950" s="1050"/>
      <c r="I950" s="1082" t="s">
        <v>2285</v>
      </c>
    </row>
    <row r="951" spans="1:9" ht="12.75" customHeight="1">
      <c r="A951" s="400"/>
      <c r="B951" s="400"/>
      <c r="C951" s="481"/>
      <c r="D951" s="1847"/>
      <c r="E951" s="1847"/>
      <c r="F951" s="1847"/>
      <c r="G951" s="1050"/>
    </row>
    <row r="952" spans="1:9" ht="12.75" customHeight="1">
      <c r="A952" s="400"/>
      <c r="B952" s="400"/>
      <c r="C952" s="481"/>
      <c r="D952" s="1847"/>
      <c r="E952" s="1847"/>
      <c r="F952" s="1847"/>
      <c r="G952" s="1050"/>
    </row>
    <row r="953" spans="1:9" ht="12.75" customHeight="1">
      <c r="A953" s="400"/>
      <c r="B953" s="400"/>
      <c r="C953" s="481"/>
      <c r="D953" s="1847"/>
      <c r="E953" s="1847"/>
      <c r="F953" s="1847"/>
      <c r="G953" s="1050"/>
    </row>
    <row r="954" spans="1:9" ht="12.75" customHeight="1">
      <c r="A954" s="1069"/>
      <c r="B954" s="1069"/>
      <c r="C954" s="1055"/>
      <c r="D954" s="1018"/>
      <c r="E954" s="1018"/>
      <c r="F954" s="1018"/>
      <c r="G954" s="1018"/>
    </row>
    <row r="955" spans="1:9" ht="12.75" customHeight="1">
      <c r="A955" s="1053"/>
      <c r="B955" s="1053"/>
      <c r="C955" s="549"/>
      <c r="D955" s="1735" t="s">
        <v>2094</v>
      </c>
      <c r="E955" s="1735"/>
      <c r="F955" s="1735"/>
      <c r="G955" s="670"/>
    </row>
    <row r="956" spans="1:9" ht="12.75" customHeight="1">
      <c r="A956" s="706"/>
      <c r="B956" s="790" t="s">
        <v>2752</v>
      </c>
      <c r="C956" s="549"/>
      <c r="D956" s="1736" t="s">
        <v>2118</v>
      </c>
      <c r="E956" s="1736"/>
      <c r="F956" s="1736"/>
      <c r="G956" s="670"/>
      <c r="I956" s="1082" t="s">
        <v>2285</v>
      </c>
    </row>
    <row r="957" spans="1:9" ht="12.75" customHeight="1">
      <c r="A957" s="1053"/>
      <c r="B957" s="1053"/>
      <c r="C957" s="549"/>
      <c r="D957" s="6"/>
      <c r="E957" s="6"/>
      <c r="F957" s="6"/>
      <c r="G957" s="670"/>
    </row>
    <row r="958" spans="1:9" ht="12.75" customHeight="1">
      <c r="A958" s="1053"/>
      <c r="B958" s="1053"/>
      <c r="C958" s="549"/>
      <c r="D958" s="1735" t="s">
        <v>2095</v>
      </c>
      <c r="E958" s="1735"/>
      <c r="F958" s="1735"/>
      <c r="G958" s="669"/>
    </row>
    <row r="959" spans="1:9" ht="12.75" customHeight="1">
      <c r="A959" s="706"/>
      <c r="B959" s="790" t="s">
        <v>2752</v>
      </c>
      <c r="C959" s="549"/>
      <c r="D959" s="1711" t="s">
        <v>2655</v>
      </c>
      <c r="E959" s="1711"/>
      <c r="F959" s="1711"/>
      <c r="G959" s="669"/>
      <c r="I959" s="1082" t="s">
        <v>2285</v>
      </c>
    </row>
    <row r="960" spans="1:9" ht="12.75" customHeight="1">
      <c r="A960" s="706"/>
      <c r="B960" s="706"/>
      <c r="C960" s="549"/>
      <c r="D960" s="1711"/>
      <c r="E960" s="1711"/>
      <c r="F960" s="1711"/>
      <c r="G960" s="669"/>
    </row>
    <row r="961" spans="1:9" ht="12.75" customHeight="1">
      <c r="A961" s="706"/>
      <c r="B961" s="706"/>
      <c r="C961" s="549"/>
      <c r="D961" s="1711"/>
      <c r="E961" s="1711"/>
      <c r="F961" s="1711"/>
      <c r="G961" s="669"/>
    </row>
    <row r="962" spans="1:9" ht="12.75" customHeight="1">
      <c r="A962" s="706"/>
      <c r="B962" s="706"/>
      <c r="C962" s="549"/>
      <c r="D962" s="1711"/>
      <c r="E962" s="1711"/>
      <c r="F962" s="1711"/>
      <c r="G962" s="669"/>
    </row>
    <row r="963" spans="1:9" ht="12.75" customHeight="1">
      <c r="A963" s="706"/>
      <c r="B963" s="706"/>
      <c r="C963" s="549"/>
      <c r="D963" s="1711"/>
      <c r="E963" s="1711"/>
      <c r="F963" s="1711"/>
      <c r="G963" s="669"/>
    </row>
    <row r="964" spans="1:9" ht="12.75" customHeight="1">
      <c r="A964" s="706"/>
      <c r="B964" s="706"/>
      <c r="C964" s="549"/>
      <c r="D964" s="1711"/>
      <c r="E964" s="1711"/>
      <c r="F964" s="1711"/>
      <c r="G964" s="669"/>
    </row>
    <row r="965" spans="1:9" ht="12.75" customHeight="1">
      <c r="A965" s="706"/>
      <c r="B965" s="706"/>
      <c r="C965" s="549"/>
      <c r="D965" s="1711"/>
      <c r="E965" s="1711"/>
      <c r="F965" s="1711"/>
      <c r="G965" s="669"/>
    </row>
    <row r="966" spans="1:9" ht="12.75" customHeight="1">
      <c r="A966" s="706"/>
      <c r="B966" s="706"/>
      <c r="C966" s="549"/>
      <c r="D966" s="1711"/>
      <c r="E966" s="1711"/>
      <c r="F966" s="1711"/>
      <c r="G966" s="669"/>
    </row>
    <row r="967" spans="1:9" ht="12.75" customHeight="1">
      <c r="A967" s="706"/>
      <c r="B967" s="706"/>
      <c r="C967" s="549"/>
      <c r="D967" s="1711"/>
      <c r="E967" s="1711"/>
      <c r="F967" s="1711"/>
      <c r="G967" s="669"/>
    </row>
    <row r="968" spans="1:9" ht="12.75" customHeight="1">
      <c r="A968" s="706"/>
      <c r="B968" s="706"/>
      <c r="C968" s="549"/>
      <c r="D968" s="1711"/>
      <c r="E968" s="1711"/>
      <c r="F968" s="1711"/>
      <c r="G968" s="669"/>
    </row>
    <row r="969" spans="1:9" ht="12.75" customHeight="1">
      <c r="A969" s="706"/>
      <c r="B969" s="706"/>
      <c r="C969" s="549"/>
      <c r="D969" s="1711"/>
      <c r="E969" s="1711"/>
      <c r="F969" s="1711"/>
      <c r="G969" s="669"/>
    </row>
    <row r="970" spans="1:9" ht="12.75" customHeight="1">
      <c r="A970" s="706"/>
      <c r="B970" s="706"/>
      <c r="C970" s="549"/>
      <c r="D970" s="1711"/>
      <c r="E970" s="1711"/>
      <c r="F970" s="1711"/>
      <c r="G970" s="669"/>
    </row>
    <row r="971" spans="1:9" s="1080" customFormat="1" ht="12.75" customHeight="1">
      <c r="A971" s="706"/>
      <c r="B971" s="706"/>
      <c r="C971" s="549"/>
      <c r="D971" s="1711"/>
      <c r="E971" s="1711"/>
      <c r="F971" s="1711"/>
      <c r="G971" s="669"/>
      <c r="I971" s="1082"/>
    </row>
    <row r="972" spans="1:9" ht="12.75" customHeight="1">
      <c r="A972" s="706"/>
      <c r="B972" s="706"/>
      <c r="C972" s="549"/>
      <c r="D972" s="1711"/>
      <c r="E972" s="1711"/>
      <c r="F972" s="1711"/>
      <c r="G972" s="669"/>
    </row>
    <row r="973" spans="1:9" ht="12.75" customHeight="1">
      <c r="A973" s="706"/>
      <c r="B973" s="706"/>
      <c r="C973" s="549"/>
      <c r="D973" s="1711"/>
      <c r="E973" s="1711"/>
      <c r="F973" s="1711"/>
      <c r="G973" s="670"/>
    </row>
    <row r="974" spans="1:9" ht="12.75" customHeight="1">
      <c r="A974" s="1053"/>
      <c r="B974" s="1053"/>
      <c r="C974" s="549"/>
      <c r="D974" s="6"/>
      <c r="E974" s="6"/>
      <c r="F974" s="6"/>
      <c r="G974" s="670"/>
    </row>
    <row r="975" spans="1:9" ht="12.75" customHeight="1">
      <c r="A975" s="1746" t="s">
        <v>2096</v>
      </c>
      <c r="B975" s="1746"/>
      <c r="C975" s="1746"/>
      <c r="D975" s="1746"/>
      <c r="E975" s="1746"/>
      <c r="F975" s="1746"/>
      <c r="G975" s="1746"/>
      <c r="H975" s="1130"/>
      <c r="I975" s="1131"/>
    </row>
    <row r="976" spans="1:9" ht="12.75" customHeight="1">
      <c r="A976" s="1022"/>
      <c r="B976" s="1022"/>
      <c r="C976" s="549"/>
      <c r="D976" s="6"/>
      <c r="E976" s="6"/>
      <c r="F976" s="6"/>
      <c r="G976" s="670"/>
    </row>
    <row r="977" spans="1:9" ht="12.75" customHeight="1">
      <c r="A977" s="1053"/>
      <c r="B977" s="1053"/>
      <c r="C977" s="1051"/>
      <c r="D977" s="1735" t="s">
        <v>2119</v>
      </c>
      <c r="E977" s="1735"/>
      <c r="F977" s="1735"/>
      <c r="G977" s="670"/>
    </row>
    <row r="978" spans="1:9" ht="12.75" customHeight="1">
      <c r="A978" s="1027"/>
      <c r="B978" s="1027"/>
      <c r="C978" s="1057"/>
      <c r="D978" s="1736" t="s">
        <v>2097</v>
      </c>
      <c r="E978" s="1736"/>
      <c r="F978" s="1736"/>
      <c r="G978" s="670"/>
    </row>
    <row r="979" spans="1:9" ht="12.75" customHeight="1">
      <c r="A979" s="1027"/>
      <c r="B979" s="1027"/>
      <c r="C979" s="1057"/>
      <c r="D979" s="6"/>
      <c r="E979" s="6"/>
      <c r="F979" s="1049"/>
      <c r="G979" s="669"/>
    </row>
    <row r="980" spans="1:9" ht="12.75" customHeight="1">
      <c r="A980" s="1053"/>
      <c r="B980" s="790" t="s">
        <v>2751</v>
      </c>
      <c r="C980" s="549"/>
      <c r="D980" s="1850" t="s">
        <v>2358</v>
      </c>
      <c r="E980" s="1850"/>
      <c r="F980" s="1850"/>
      <c r="G980" s="669"/>
      <c r="I980" s="1082" t="s">
        <v>2265</v>
      </c>
    </row>
    <row r="981" spans="1:9" ht="12.75" customHeight="1">
      <c r="A981" s="1053"/>
      <c r="B981" s="1053"/>
      <c r="C981" s="549"/>
      <c r="D981" s="1850"/>
      <c r="E981" s="1850"/>
      <c r="F981" s="1850"/>
      <c r="G981" s="669"/>
    </row>
    <row r="982" spans="1:9" ht="12.75" customHeight="1">
      <c r="A982" s="1053"/>
      <c r="B982" s="1053"/>
      <c r="C982" s="549"/>
      <c r="D982" s="1192"/>
      <c r="E982" s="1187" t="s">
        <v>2359</v>
      </c>
      <c r="F982" s="1192"/>
      <c r="G982" s="669"/>
    </row>
    <row r="983" spans="1:9" ht="12.75" customHeight="1">
      <c r="A983" s="1038"/>
      <c r="B983" s="1038"/>
      <c r="C983" s="550"/>
      <c r="D983" s="1718" t="s">
        <v>2357</v>
      </c>
      <c r="E983" s="1718"/>
      <c r="F983" s="1718"/>
      <c r="G983" s="669"/>
    </row>
    <row r="984" spans="1:9" ht="12.75" customHeight="1">
      <c r="A984" s="1038"/>
      <c r="B984" s="1038"/>
      <c r="C984" s="550"/>
      <c r="D984" s="1718"/>
      <c r="E984" s="1718"/>
      <c r="F984" s="1718"/>
      <c r="G984" s="669"/>
    </row>
    <row r="985" spans="1:9" ht="12.75" customHeight="1">
      <c r="A985" s="712"/>
      <c r="B985" s="712"/>
      <c r="C985" s="313"/>
      <c r="D985" s="1718"/>
      <c r="E985" s="1718"/>
      <c r="F985" s="1718"/>
      <c r="G985" s="669"/>
    </row>
    <row r="986" spans="1:9" ht="12.75" customHeight="1">
      <c r="A986" s="712"/>
      <c r="B986" s="712"/>
      <c r="C986" s="313"/>
      <c r="D986" s="1718"/>
      <c r="E986" s="1718"/>
      <c r="F986" s="1718"/>
      <c r="G986" s="669"/>
    </row>
    <row r="987" spans="1:9" ht="12.75" customHeight="1">
      <c r="A987" s="712"/>
      <c r="B987" s="712"/>
      <c r="C987" s="313"/>
      <c r="D987" s="1019"/>
      <c r="E987" s="1019"/>
      <c r="F987" s="1019"/>
      <c r="G987" s="669"/>
    </row>
    <row r="988" spans="1:9" ht="12.75" customHeight="1">
      <c r="A988" s="712"/>
      <c r="B988" s="790" t="s">
        <v>2752</v>
      </c>
      <c r="C988" s="313"/>
      <c r="D988" s="1713" t="s">
        <v>2098</v>
      </c>
      <c r="E988" s="1713"/>
      <c r="F988" s="1713"/>
      <c r="G988" s="669"/>
    </row>
    <row r="989" spans="1:9" ht="12.75" customHeight="1">
      <c r="A989" s="712"/>
      <c r="B989" s="712"/>
      <c r="C989" s="313"/>
      <c r="D989" s="1713"/>
      <c r="E989" s="1713"/>
      <c r="F989" s="1713"/>
      <c r="G989" s="669"/>
    </row>
    <row r="990" spans="1:9" ht="12.75" customHeight="1">
      <c r="A990" s="712"/>
      <c r="B990" s="712"/>
      <c r="C990" s="313"/>
      <c r="D990" s="1713"/>
      <c r="E990" s="1713"/>
      <c r="F990" s="1713"/>
      <c r="G990" s="669"/>
    </row>
    <row r="991" spans="1:9" ht="12.75" customHeight="1">
      <c r="A991" s="712"/>
      <c r="B991" s="712"/>
      <c r="C991" s="313"/>
      <c r="D991" s="1713"/>
      <c r="E991" s="1713"/>
      <c r="F991" s="1713"/>
      <c r="G991" s="669"/>
    </row>
    <row r="992" spans="1:9" ht="12.75" customHeight="1">
      <c r="A992" s="712"/>
      <c r="B992" s="712"/>
      <c r="C992" s="313"/>
      <c r="D992" s="1017"/>
      <c r="E992" s="1017"/>
      <c r="F992" s="1017"/>
      <c r="G992" s="669"/>
    </row>
    <row r="993" spans="1:7" ht="12.75" customHeight="1">
      <c r="A993" s="712"/>
      <c r="B993" s="790" t="s">
        <v>2752</v>
      </c>
      <c r="C993" s="313"/>
      <c r="D993" s="1713" t="s">
        <v>2099</v>
      </c>
      <c r="E993" s="1713"/>
      <c r="F993" s="1713"/>
      <c r="G993" s="669"/>
    </row>
    <row r="994" spans="1:7" ht="12.75" customHeight="1">
      <c r="A994" s="712"/>
      <c r="B994" s="712"/>
      <c r="C994" s="313"/>
      <c r="D994" s="1713"/>
      <c r="E994" s="1713"/>
      <c r="F994" s="1713"/>
      <c r="G994" s="669"/>
    </row>
    <row r="995" spans="1:7" ht="12.75" customHeight="1">
      <c r="A995" s="712"/>
      <c r="B995" s="712"/>
      <c r="C995" s="313"/>
      <c r="D995" s="1017"/>
      <c r="E995" s="1017"/>
      <c r="F995" s="1017"/>
      <c r="G995" s="669"/>
    </row>
    <row r="996" spans="1:7" ht="12.75" customHeight="1">
      <c r="A996" s="706"/>
      <c r="B996" s="790" t="s">
        <v>2751</v>
      </c>
      <c r="C996" s="549"/>
      <c r="D996" s="1736" t="s">
        <v>2100</v>
      </c>
      <c r="E996" s="1736"/>
      <c r="F996" s="1736"/>
      <c r="G996" s="669"/>
    </row>
    <row r="997" spans="1:7" ht="12.75" customHeight="1">
      <c r="A997" s="1053"/>
      <c r="B997" s="1053"/>
      <c r="C997" s="549"/>
      <c r="D997" s="6"/>
      <c r="E997" s="6"/>
      <c r="F997" s="6"/>
      <c r="G997" s="669"/>
    </row>
    <row r="998" spans="1:7" ht="12.75" customHeight="1">
      <c r="A998" s="706"/>
      <c r="B998" s="790" t="s">
        <v>2752</v>
      </c>
      <c r="C998" s="549"/>
      <c r="D998" s="1736" t="s">
        <v>2101</v>
      </c>
      <c r="E998" s="1736"/>
      <c r="F998" s="1736"/>
      <c r="G998" s="669"/>
    </row>
    <row r="999" spans="1:7" ht="12.75" customHeight="1">
      <c r="A999" s="1053"/>
      <c r="B999" s="1053"/>
      <c r="C999" s="549"/>
      <c r="D999" s="1021"/>
      <c r="E999" s="6"/>
      <c r="F999" s="6"/>
      <c r="G999" s="669"/>
    </row>
    <row r="1000" spans="1:7" ht="12.75" customHeight="1">
      <c r="A1000" s="706"/>
      <c r="B1000" s="790" t="s">
        <v>2751</v>
      </c>
      <c r="C1000" s="549"/>
      <c r="D1000" s="1736" t="s">
        <v>2102</v>
      </c>
      <c r="E1000" s="1736"/>
      <c r="F1000" s="1736"/>
      <c r="G1000" s="669"/>
    </row>
    <row r="1001" spans="1:7" ht="12.75" customHeight="1">
      <c r="A1001" s="1053"/>
      <c r="B1001" s="1053"/>
      <c r="C1001" s="549"/>
      <c r="D1001" s="1021"/>
      <c r="E1001" s="6"/>
      <c r="F1001" s="6"/>
      <c r="G1001" s="669"/>
    </row>
    <row r="1002" spans="1:7" ht="12.75" customHeight="1">
      <c r="A1002" s="706"/>
      <c r="B1002" s="790" t="s">
        <v>2752</v>
      </c>
      <c r="C1002" s="549"/>
      <c r="D1002" s="1711" t="s">
        <v>2103</v>
      </c>
      <c r="E1002" s="1711"/>
      <c r="F1002" s="1711"/>
      <c r="G1002" s="669"/>
    </row>
    <row r="1003" spans="1:7" ht="12.75" customHeight="1">
      <c r="A1003" s="706"/>
      <c r="B1003" s="706"/>
      <c r="C1003" s="549"/>
      <c r="D1003" s="1711"/>
      <c r="E1003" s="1711"/>
      <c r="F1003" s="1711"/>
      <c r="G1003" s="669"/>
    </row>
    <row r="1004" spans="1:7" ht="12.75" customHeight="1">
      <c r="A1004" s="706"/>
      <c r="B1004" s="706"/>
      <c r="C1004" s="549"/>
      <c r="D1004" s="1021"/>
      <c r="E1004" s="6"/>
      <c r="F1004" s="6"/>
      <c r="G1004" s="670"/>
    </row>
    <row r="1005" spans="1:7" ht="12.75" customHeight="1">
      <c r="A1005" s="404"/>
      <c r="B1005" s="790" t="s">
        <v>2752</v>
      </c>
      <c r="C1005" s="1070"/>
      <c r="D1005" s="1754" t="s">
        <v>2104</v>
      </c>
      <c r="E1005" s="1754"/>
      <c r="F1005" s="1754"/>
      <c r="G1005" s="1071"/>
    </row>
    <row r="1006" spans="1:7" ht="12.75" customHeight="1">
      <c r="A1006" s="1070"/>
      <c r="B1006" s="1070"/>
      <c r="C1006" s="1070"/>
      <c r="D1006" s="1754"/>
      <c r="E1006" s="1754"/>
      <c r="F1006" s="1754"/>
      <c r="G1006" s="1071"/>
    </row>
    <row r="1007" spans="1:7" ht="12.75" customHeight="1">
      <c r="A1007" s="1070"/>
      <c r="B1007" s="1070"/>
      <c r="C1007" s="1070"/>
      <c r="D1007" s="1072"/>
      <c r="E1007" s="1073"/>
      <c r="F1007" s="1073"/>
      <c r="G1007" s="1071"/>
    </row>
    <row r="1008" spans="1:7" ht="12.75" customHeight="1">
      <c r="A1008" s="404"/>
      <c r="B1008" s="790" t="s">
        <v>2752</v>
      </c>
      <c r="C1008" s="1070"/>
      <c r="D1008" s="1849" t="s">
        <v>2105</v>
      </c>
      <c r="E1008" s="1849"/>
      <c r="F1008" s="1849"/>
      <c r="G1008" s="1071"/>
    </row>
    <row r="1009" spans="1:9" ht="12.75" customHeight="1">
      <c r="A1009" s="1070"/>
      <c r="B1009" s="1070"/>
      <c r="C1009" s="1070"/>
      <c r="D1009" s="1072"/>
      <c r="E1009" s="1073"/>
      <c r="F1009" s="1073"/>
      <c r="G1009" s="1071"/>
    </row>
    <row r="1010" spans="1:9" ht="12.75" customHeight="1">
      <c r="A1010" s="706"/>
      <c r="B1010" s="790" t="s">
        <v>2752</v>
      </c>
      <c r="C1010" s="549"/>
      <c r="D1010" s="1736" t="s">
        <v>2106</v>
      </c>
      <c r="E1010" s="1736"/>
      <c r="F1010" s="1736"/>
      <c r="G1010" s="670"/>
    </row>
    <row r="1011" spans="1:9" ht="12.75" customHeight="1">
      <c r="A1011" s="706"/>
      <c r="B1011" s="706"/>
      <c r="C1011" s="549"/>
      <c r="D1011" s="1021"/>
      <c r="E1011" s="6"/>
      <c r="F1011" s="6"/>
      <c r="G1011" s="670"/>
    </row>
    <row r="1012" spans="1:9" ht="12.75" customHeight="1">
      <c r="A1012" s="706"/>
      <c r="B1012" s="790" t="s">
        <v>2752</v>
      </c>
      <c r="C1012" s="549"/>
      <c r="D1012" s="1711" t="s">
        <v>2107</v>
      </c>
      <c r="E1012" s="1711"/>
      <c r="F1012" s="1711"/>
      <c r="G1012" s="670"/>
    </row>
    <row r="1013" spans="1:9" ht="12.75" customHeight="1">
      <c r="A1013" s="706"/>
      <c r="B1013" s="706"/>
      <c r="C1013" s="549"/>
      <c r="D1013" s="1711"/>
      <c r="E1013" s="1711"/>
      <c r="F1013" s="1711"/>
      <c r="G1013" s="670"/>
    </row>
    <row r="1014" spans="1:9" ht="12.75" customHeight="1">
      <c r="A1014" s="1053"/>
      <c r="B1014" s="1053"/>
      <c r="C1014" s="549"/>
      <c r="D1014" s="6"/>
      <c r="E1014" s="6"/>
      <c r="F1014" s="6"/>
      <c r="G1014" s="670"/>
    </row>
    <row r="1015" spans="1:9" ht="12.75" customHeight="1">
      <c r="A1015" s="1746" t="s">
        <v>2108</v>
      </c>
      <c r="B1015" s="1746"/>
      <c r="C1015" s="1746"/>
      <c r="D1015" s="1746"/>
      <c r="E1015" s="1746"/>
      <c r="F1015" s="1746"/>
      <c r="G1015" s="1746"/>
      <c r="H1015" s="1130"/>
      <c r="I1015" s="1131"/>
    </row>
    <row r="1016" spans="1:9" ht="12.75" customHeight="1">
      <c r="A1016" s="1053"/>
      <c r="B1016" s="1053"/>
      <c r="C1016" s="549"/>
      <c r="D1016" s="6"/>
      <c r="E1016" s="6"/>
      <c r="F1016" s="6"/>
      <c r="G1016" s="670"/>
    </row>
    <row r="1017" spans="1:9" ht="12.75" customHeight="1">
      <c r="A1017" s="1038"/>
      <c r="B1017" s="1038"/>
      <c r="C1017" s="550"/>
      <c r="D1017" s="1755" t="s">
        <v>2109</v>
      </c>
      <c r="E1017" s="1755"/>
      <c r="F1017" s="1755"/>
      <c r="G1017" s="670"/>
    </row>
    <row r="1018" spans="1:9" ht="12.75" customHeight="1">
      <c r="A1018" s="1038"/>
      <c r="B1018" s="1038"/>
      <c r="C1018" s="550"/>
      <c r="D1018" s="1861" t="s">
        <v>2110</v>
      </c>
      <c r="E1018" s="1861"/>
      <c r="F1018" s="1861"/>
      <c r="G1018" s="670"/>
    </row>
    <row r="1019" spans="1:9" ht="12.75" customHeight="1">
      <c r="A1019" s="666"/>
      <c r="B1019" s="666"/>
      <c r="C1019" s="1028"/>
      <c r="D1019" s="670"/>
      <c r="E1019" s="670"/>
      <c r="F1019" s="670"/>
      <c r="G1019" s="670"/>
    </row>
    <row r="1020" spans="1:9" ht="12.75" customHeight="1">
      <c r="A1020" s="706"/>
      <c r="B1020" s="706"/>
      <c r="C1020" s="313"/>
      <c r="D1020" s="1755" t="s">
        <v>2124</v>
      </c>
      <c r="E1020" s="1755"/>
      <c r="F1020" s="1755"/>
      <c r="G1020" s="670"/>
      <c r="I1020" s="1082" t="s">
        <v>2237</v>
      </c>
    </row>
    <row r="1021" spans="1:9" ht="12.75" customHeight="1">
      <c r="A1021" s="1053"/>
      <c r="B1021" s="790" t="s">
        <v>2751</v>
      </c>
      <c r="C1021" s="549"/>
      <c r="D1021" s="1861" t="s">
        <v>1446</v>
      </c>
      <c r="E1021" s="1861"/>
      <c r="F1021" s="1861"/>
      <c r="G1021" s="670"/>
    </row>
    <row r="1022" spans="1:9" s="1080" customFormat="1" ht="12.75" customHeight="1">
      <c r="A1022" s="1053"/>
      <c r="B1022" s="706"/>
      <c r="C1022" s="549"/>
      <c r="D1022" s="1858" t="s">
        <v>2111</v>
      </c>
      <c r="E1022" s="1858"/>
      <c r="F1022" s="1858"/>
      <c r="G1022" s="670"/>
      <c r="I1022" s="1082"/>
    </row>
    <row r="1023" spans="1:9" ht="12.75" customHeight="1">
      <c r="A1023" s="1053"/>
      <c r="B1023" s="1053"/>
      <c r="C1023" s="549"/>
      <c r="D1023" s="1861"/>
      <c r="E1023" s="1861"/>
      <c r="F1023" s="1861"/>
      <c r="G1023" s="670"/>
    </row>
    <row r="1024" spans="1:9" ht="12.75" customHeight="1">
      <c r="A1024" s="1854" t="s">
        <v>2120</v>
      </c>
      <c r="B1024" s="1854"/>
      <c r="C1024" s="1854"/>
      <c r="D1024" s="1854"/>
      <c r="E1024" s="1854"/>
      <c r="F1024" s="1854"/>
      <c r="G1024" s="1854"/>
      <c r="H1024" s="1130"/>
      <c r="I1024" s="1131"/>
    </row>
    <row r="1025" spans="1:9" ht="12.75" customHeight="1">
      <c r="A1025" s="254"/>
      <c r="B1025" s="254"/>
      <c r="C1025" s="1045"/>
      <c r="D1025" s="678"/>
      <c r="E1025" s="678"/>
      <c r="F1025" s="678"/>
      <c r="G1025" s="678"/>
    </row>
    <row r="1026" spans="1:9" ht="12.75" customHeight="1">
      <c r="A1026" s="254"/>
      <c r="B1026" s="1077"/>
      <c r="C1026" s="1084"/>
      <c r="D1026" s="1749" t="s">
        <v>1447</v>
      </c>
      <c r="E1026" s="1749"/>
      <c r="F1026" s="1749"/>
      <c r="G1026" s="678"/>
    </row>
    <row r="1027" spans="1:9" ht="12.75" customHeight="1">
      <c r="A1027" s="254"/>
      <c r="B1027" s="1083" t="s">
        <v>2752</v>
      </c>
      <c r="C1027" s="1084"/>
      <c r="D1027" s="1728" t="s">
        <v>1446</v>
      </c>
      <c r="E1027" s="1728"/>
      <c r="F1027" s="1728"/>
      <c r="G1027" s="678"/>
    </row>
    <row r="1028" spans="1:9" ht="12.75" customHeight="1">
      <c r="A1028" s="254"/>
      <c r="B1028" s="1080"/>
      <c r="C1028" s="1084"/>
      <c r="D1028" s="1728" t="s">
        <v>2121</v>
      </c>
      <c r="E1028" s="1728"/>
      <c r="F1028" s="1728"/>
      <c r="G1028" s="678"/>
    </row>
    <row r="1029" spans="1:9" s="1080" customFormat="1" ht="12.75" customHeight="1">
      <c r="A1029" s="254"/>
      <c r="C1029" s="1084"/>
      <c r="D1029" s="1078"/>
      <c r="E1029" s="1078"/>
      <c r="F1029" s="1078"/>
      <c r="G1029" s="678"/>
      <c r="I1029" s="1082"/>
    </row>
    <row r="1030" spans="1:9" ht="12.75" customHeight="1">
      <c r="A1030" s="254"/>
      <c r="B1030" s="254"/>
      <c r="C1030" s="1045"/>
      <c r="D1030" s="1859" t="s">
        <v>1149</v>
      </c>
      <c r="E1030" s="1859"/>
      <c r="F1030" s="1859"/>
      <c r="G1030" s="678"/>
      <c r="I1030" s="1082" t="s">
        <v>2266</v>
      </c>
    </row>
    <row r="1031" spans="1:9" ht="12.75" customHeight="1">
      <c r="A1031" s="496"/>
      <c r="B1031" s="496"/>
      <c r="C1031" s="495"/>
      <c r="D1031" s="1860" t="s">
        <v>1166</v>
      </c>
      <c r="E1031" s="1860"/>
      <c r="F1031" s="1860"/>
      <c r="G1031" s="1074"/>
    </row>
    <row r="1032" spans="1:9" ht="12.75" customHeight="1">
      <c r="A1032" s="706"/>
      <c r="B1032" s="1083" t="s">
        <v>2752</v>
      </c>
      <c r="C1032" s="550"/>
      <c r="D1032" s="1740" t="s">
        <v>1041</v>
      </c>
      <c r="E1032" s="1740"/>
      <c r="F1032" s="1740"/>
      <c r="G1032" s="670"/>
    </row>
    <row r="1033" spans="1:9" ht="12.75" customHeight="1">
      <c r="A1033" s="1038"/>
      <c r="B1033" s="1038"/>
      <c r="C1033" s="550"/>
      <c r="D1033" s="1187" t="s">
        <v>2360</v>
      </c>
      <c r="E1033" s="1042"/>
      <c r="F1033" s="1042"/>
      <c r="G1033" s="670"/>
    </row>
    <row r="1034" spans="1:9">
      <c r="A1034" s="782"/>
      <c r="B1034" s="782"/>
      <c r="C1034" s="782"/>
      <c r="D1034" s="782"/>
      <c r="E1034" s="782"/>
      <c r="F1034" s="782"/>
      <c r="G1034" s="782"/>
    </row>
    <row r="1035" spans="1:9">
      <c r="A1035" s="1854" t="s">
        <v>2141</v>
      </c>
      <c r="B1035" s="1854"/>
      <c r="C1035" s="1854"/>
      <c r="D1035" s="1854"/>
      <c r="E1035" s="1854"/>
      <c r="F1035" s="1854"/>
      <c r="G1035" s="1854"/>
      <c r="H1035" s="1130"/>
      <c r="I1035" s="1131"/>
    </row>
    <row r="1036" spans="1:9">
      <c r="A1036" s="782"/>
      <c r="B1036" s="782"/>
      <c r="C1036" s="782"/>
      <c r="D1036" s="782"/>
      <c r="E1036" s="782"/>
      <c r="F1036" s="782"/>
      <c r="G1036" s="782"/>
    </row>
    <row r="1037" spans="1:9">
      <c r="A1037" s="782"/>
      <c r="B1037" s="782"/>
      <c r="C1037" s="782"/>
      <c r="D1037" s="1082" t="s">
        <v>2127</v>
      </c>
      <c r="E1037" s="782"/>
      <c r="F1037" s="782"/>
      <c r="G1037" s="782"/>
    </row>
    <row r="1038" spans="1:9" s="1080" customFormat="1">
      <c r="D1038" s="1079" t="s">
        <v>2126</v>
      </c>
      <c r="I1038" s="1082"/>
    </row>
    <row r="1039" spans="1:9" s="1080" customFormat="1">
      <c r="D1039" s="1082"/>
      <c r="I1039" s="1082"/>
    </row>
    <row r="1040" spans="1:9">
      <c r="A1040" s="782"/>
      <c r="B1040" s="1083" t="s">
        <v>2752</v>
      </c>
      <c r="C1040" s="782"/>
      <c r="D1040" s="1853" t="s">
        <v>2125</v>
      </c>
      <c r="E1040" s="1853"/>
      <c r="F1040" s="1853"/>
      <c r="G1040" s="782"/>
      <c r="I1040" s="1082" t="s">
        <v>2238</v>
      </c>
    </row>
    <row r="1041" spans="1:9">
      <c r="A1041" s="782"/>
      <c r="B1041" s="782"/>
      <c r="C1041" s="782"/>
      <c r="D1041" s="1853"/>
      <c r="E1041" s="1853"/>
      <c r="F1041" s="1853"/>
      <c r="G1041" s="782"/>
    </row>
    <row r="1042" spans="1:9">
      <c r="A1042" s="782"/>
      <c r="B1042" s="782"/>
      <c r="C1042" s="782"/>
      <c r="D1042" s="1853"/>
      <c r="E1042" s="1853"/>
      <c r="F1042" s="1853"/>
      <c r="G1042" s="782"/>
    </row>
    <row r="1043" spans="1:9">
      <c r="A1043" s="782"/>
      <c r="B1043" s="782"/>
      <c r="C1043" s="782"/>
      <c r="D1043" s="1853"/>
      <c r="E1043" s="1853"/>
      <c r="F1043" s="1853"/>
      <c r="G1043" s="782"/>
    </row>
    <row r="1044" spans="1:9">
      <c r="A1044" s="782"/>
      <c r="B1044" s="782"/>
      <c r="C1044" s="782"/>
      <c r="D1044" s="782"/>
      <c r="E1044" s="782"/>
      <c r="F1044" s="782"/>
      <c r="G1044" s="782"/>
    </row>
    <row r="1045" spans="1:9">
      <c r="A1045" s="782"/>
      <c r="B1045" s="1080"/>
      <c r="C1045" s="782"/>
      <c r="D1045" s="1082" t="s">
        <v>1503</v>
      </c>
      <c r="E1045" s="782"/>
      <c r="F1045" s="782"/>
      <c r="G1045" s="782"/>
    </row>
    <row r="1046" spans="1:9">
      <c r="A1046" s="782"/>
      <c r="B1046" s="782"/>
      <c r="C1046" s="782"/>
      <c r="D1046" s="1080" t="s">
        <v>2128</v>
      </c>
      <c r="E1046" s="782"/>
      <c r="F1046" s="782"/>
      <c r="G1046" s="782"/>
    </row>
    <row r="1047" spans="1:9">
      <c r="A1047" s="782"/>
      <c r="B1047" s="782"/>
      <c r="C1047" s="782"/>
      <c r="D1047" s="782"/>
      <c r="E1047" s="782"/>
      <c r="F1047" s="782"/>
      <c r="G1047" s="782"/>
    </row>
    <row r="1048" spans="1:9">
      <c r="A1048" s="782"/>
      <c r="B1048" s="1083" t="s">
        <v>2751</v>
      </c>
      <c r="C1048" s="782"/>
      <c r="D1048" s="1080" t="s">
        <v>2123</v>
      </c>
      <c r="E1048" s="782"/>
      <c r="F1048" s="782"/>
      <c r="G1048" s="782"/>
      <c r="I1048" s="1082" t="s">
        <v>2239</v>
      </c>
    </row>
    <row r="1049" spans="1:9">
      <c r="A1049" s="782"/>
      <c r="B1049" s="782"/>
      <c r="C1049" s="782"/>
      <c r="D1049" s="782"/>
      <c r="E1049" s="782"/>
      <c r="F1049" s="782"/>
      <c r="G1049" s="782"/>
    </row>
    <row r="1050" spans="1:9">
      <c r="A1050" s="782"/>
      <c r="B1050" s="1083" t="s">
        <v>2752</v>
      </c>
      <c r="C1050" s="782"/>
      <c r="D1050" s="1853" t="s">
        <v>2129</v>
      </c>
      <c r="E1050" s="1853"/>
      <c r="F1050" s="1853"/>
      <c r="G1050" s="782"/>
      <c r="I1050" s="1082" t="s">
        <v>2240</v>
      </c>
    </row>
    <row r="1051" spans="1:9">
      <c r="A1051" s="782"/>
      <c r="B1051" s="782"/>
      <c r="C1051" s="782"/>
      <c r="D1051" s="1853"/>
      <c r="E1051" s="1853"/>
      <c r="F1051" s="1853"/>
      <c r="G1051" s="782"/>
    </row>
    <row r="1052" spans="1:9">
      <c r="A1052" s="782"/>
      <c r="B1052" s="782"/>
      <c r="C1052" s="782"/>
      <c r="D1052" s="1853"/>
      <c r="E1052" s="1853"/>
      <c r="F1052" s="1853"/>
      <c r="G1052" s="782"/>
    </row>
    <row r="1053" spans="1:9">
      <c r="A1053" s="782"/>
      <c r="B1053" s="782"/>
      <c r="C1053" s="782"/>
      <c r="D1053" s="1853"/>
      <c r="E1053" s="1853"/>
      <c r="F1053" s="1853"/>
      <c r="G1053" s="782"/>
    </row>
    <row r="1054" spans="1:9">
      <c r="A1054" s="782"/>
      <c r="B1054" s="782"/>
      <c r="C1054" s="782"/>
      <c r="D1054" s="1853"/>
      <c r="E1054" s="1853"/>
      <c r="F1054" s="1853"/>
      <c r="G1054" s="782"/>
    </row>
    <row r="1055" spans="1:9">
      <c r="A1055" s="782"/>
      <c r="B1055" s="782"/>
      <c r="C1055" s="782"/>
      <c r="D1055" s="782"/>
      <c r="E1055" s="782"/>
      <c r="F1055" s="782"/>
      <c r="G1055" s="782"/>
    </row>
    <row r="1056" spans="1:9">
      <c r="A1056" s="1854" t="s">
        <v>2130</v>
      </c>
      <c r="B1056" s="1854"/>
      <c r="C1056" s="1854"/>
      <c r="D1056" s="1854"/>
      <c r="E1056" s="1854"/>
      <c r="F1056" s="1854"/>
      <c r="G1056" s="1854"/>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2751</v>
      </c>
      <c r="C1059" s="782"/>
      <c r="D1059" s="1076" t="s">
        <v>2133</v>
      </c>
      <c r="E1059" s="1079"/>
      <c r="F1059" s="782"/>
      <c r="G1059" s="782"/>
      <c r="I1059" s="1082" t="s">
        <v>2241</v>
      </c>
    </row>
    <row r="1060" spans="1:9">
      <c r="A1060" s="782"/>
      <c r="B1060" s="782"/>
      <c r="C1060" s="782"/>
      <c r="D1060" s="1076" t="s">
        <v>2135</v>
      </c>
      <c r="E1060" s="1079"/>
      <c r="F1060" s="782"/>
      <c r="G1060" s="782"/>
    </row>
    <row r="1061" spans="1:9" s="1080" customFormat="1">
      <c r="D1061" s="1076"/>
      <c r="E1061" s="1079"/>
      <c r="I1061" s="1082"/>
    </row>
    <row r="1062" spans="1:9">
      <c r="A1062" s="782"/>
      <c r="B1062" s="1083" t="s">
        <v>2751</v>
      </c>
      <c r="C1062" s="782"/>
      <c r="D1062" s="1076" t="s">
        <v>2136</v>
      </c>
      <c r="E1062" s="1079"/>
      <c r="F1062" s="782"/>
      <c r="G1062" s="782"/>
      <c r="I1062" s="1082" t="s">
        <v>2242</v>
      </c>
    </row>
    <row r="1063" spans="1:9" s="1080" customFormat="1">
      <c r="D1063" s="1076" t="s">
        <v>2134</v>
      </c>
      <c r="E1063" s="1079"/>
      <c r="I1063" s="1082"/>
    </row>
    <row r="1064" spans="1:9" s="1080" customFormat="1">
      <c r="D1064" s="1076"/>
      <c r="E1064" s="1079"/>
      <c r="I1064" s="1082"/>
    </row>
    <row r="1065" spans="1:9">
      <c r="A1065" s="782"/>
      <c r="B1065" s="1083" t="s">
        <v>2752</v>
      </c>
      <c r="C1065" s="782"/>
      <c r="D1065" s="1075" t="s">
        <v>2139</v>
      </c>
      <c r="E1065" s="1079"/>
      <c r="F1065" s="782"/>
      <c r="G1065" s="782"/>
      <c r="I1065" s="1082" t="s">
        <v>2243</v>
      </c>
    </row>
    <row r="1066" spans="1:9" s="1080" customFormat="1">
      <c r="D1066" s="1855" t="s">
        <v>2140</v>
      </c>
      <c r="E1066" s="1855"/>
      <c r="F1066" s="1855"/>
      <c r="I1066" s="1082"/>
    </row>
    <row r="1067" spans="1:9" s="1080" customFormat="1">
      <c r="D1067" s="1855"/>
      <c r="E1067" s="1855"/>
      <c r="F1067" s="1855"/>
      <c r="I1067" s="1082"/>
    </row>
    <row r="1068" spans="1:9" s="1080" customFormat="1">
      <c r="D1068" s="1855"/>
      <c r="E1068" s="1855"/>
      <c r="F1068" s="1855"/>
      <c r="I1068" s="1082"/>
    </row>
    <row r="1069" spans="1:9" s="1080" customFormat="1">
      <c r="D1069" s="1855"/>
      <c r="E1069" s="1855"/>
      <c r="F1069" s="1855"/>
      <c r="I1069" s="1082"/>
    </row>
    <row r="1070" spans="1:9" s="1080" customFormat="1">
      <c r="D1070" s="1075" t="s">
        <v>2138</v>
      </c>
      <c r="E1070" s="1079"/>
      <c r="I1070" s="1082"/>
    </row>
    <row r="1071" spans="1:9" s="1080" customFormat="1">
      <c r="D1071" s="1075"/>
      <c r="E1071" s="1079"/>
      <c r="I1071" s="1082"/>
    </row>
    <row r="1072" spans="1:9">
      <c r="A1072" s="782"/>
      <c r="B1072" s="782"/>
      <c r="C1072" s="782"/>
      <c r="D1072" s="1076" t="s">
        <v>2131</v>
      </c>
      <c r="E1072" s="1079"/>
      <c r="F1072" s="782"/>
      <c r="G1072" s="782"/>
      <c r="I1072" s="1082" t="s">
        <v>2244</v>
      </c>
    </row>
    <row r="1073" spans="1:9">
      <c r="A1073" s="782"/>
      <c r="B1073" s="1083" t="s">
        <v>2752</v>
      </c>
      <c r="C1073" s="782"/>
      <c r="D1073" s="1851" t="s">
        <v>2132</v>
      </c>
      <c r="E1073" s="1851"/>
      <c r="F1073" s="1851"/>
      <c r="G1073" s="782"/>
    </row>
    <row r="1074" spans="1:9" s="1080" customFormat="1">
      <c r="D1074" s="1851"/>
      <c r="E1074" s="1851"/>
      <c r="F1074" s="1851"/>
      <c r="I1074" s="1082"/>
    </row>
    <row r="1075" spans="1:9" s="1080" customFormat="1">
      <c r="D1075" s="1851"/>
      <c r="E1075" s="1851"/>
      <c r="F1075" s="1851"/>
      <c r="I1075" s="1082"/>
    </row>
    <row r="1076" spans="1:9" s="1080" customFormat="1">
      <c r="D1076" s="1851"/>
      <c r="E1076" s="1851"/>
      <c r="F1076" s="1851"/>
      <c r="I1076" s="1082"/>
    </row>
    <row r="1077" spans="1:9">
      <c r="A1077" s="782"/>
      <c r="B1077" s="782"/>
      <c r="C1077" s="782"/>
      <c r="D1077" s="1851"/>
      <c r="E1077" s="1851"/>
      <c r="F1077" s="1851"/>
      <c r="G1077" s="782"/>
    </row>
    <row r="1078" spans="1:9">
      <c r="A1078" s="782"/>
      <c r="B1078" s="782"/>
      <c r="C1078" s="782"/>
      <c r="D1078" s="1076" t="s">
        <v>2137</v>
      </c>
      <c r="E1078" s="782"/>
      <c r="F1078" s="782"/>
      <c r="G1078" s="782"/>
    </row>
    <row r="1079" spans="1:9">
      <c r="A1079" s="782"/>
      <c r="B1079" s="782"/>
      <c r="C1079" s="782"/>
      <c r="D1079" s="782"/>
      <c r="E1079" s="782"/>
      <c r="F1079" s="782"/>
      <c r="G1079" s="782"/>
    </row>
    <row r="1080" spans="1:9">
      <c r="A1080" s="1854" t="s">
        <v>2142</v>
      </c>
      <c r="B1080" s="1854"/>
      <c r="C1080" s="1854"/>
      <c r="D1080" s="1854"/>
      <c r="E1080" s="1854"/>
      <c r="F1080" s="1854"/>
      <c r="G1080" s="1854"/>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2752</v>
      </c>
      <c r="C1083" s="782"/>
      <c r="D1083" s="1856" t="s">
        <v>2372</v>
      </c>
      <c r="E1083" s="1856"/>
      <c r="F1083" s="1856"/>
      <c r="G1083" s="782"/>
      <c r="I1083" s="1082" t="s">
        <v>2245</v>
      </c>
    </row>
    <row r="1084" spans="1:9" s="1080" customFormat="1">
      <c r="D1084" s="1856"/>
      <c r="E1084" s="1856"/>
      <c r="F1084" s="1856"/>
      <c r="I1084" s="1082"/>
    </row>
    <row r="1085" spans="1:9" s="1080" customFormat="1">
      <c r="D1085" s="1857" t="s">
        <v>2662</v>
      </c>
      <c r="E1085" s="1855"/>
      <c r="F1085" s="1855"/>
      <c r="I1085" s="1082"/>
    </row>
    <row r="1086" spans="1:9" s="1080" customFormat="1">
      <c r="D1086" s="1076"/>
      <c r="I1086" s="1082"/>
    </row>
    <row r="1087" spans="1:9">
      <c r="A1087" s="782"/>
      <c r="B1087" s="1083" t="s">
        <v>2752</v>
      </c>
      <c r="C1087" s="782"/>
      <c r="D1087" s="1851" t="s">
        <v>2143</v>
      </c>
      <c r="E1087" s="1851"/>
      <c r="F1087" s="1851"/>
      <c r="G1087" s="782"/>
      <c r="I1087" s="1082" t="s">
        <v>2246</v>
      </c>
    </row>
    <row r="1088" spans="1:9" s="1080" customFormat="1">
      <c r="D1088" s="1851"/>
      <c r="E1088" s="1851"/>
      <c r="F1088" s="1851"/>
      <c r="I1088" s="1082"/>
    </row>
    <row r="1089" spans="1:9" s="1080" customFormat="1">
      <c r="D1089" s="1076"/>
      <c r="I1089" s="1082"/>
    </row>
    <row r="1090" spans="1:9">
      <c r="A1090" s="782"/>
      <c r="B1090" s="1083" t="s">
        <v>2752</v>
      </c>
      <c r="C1090" s="782"/>
      <c r="D1090" s="1851" t="s">
        <v>2291</v>
      </c>
      <c r="E1090" s="1851"/>
      <c r="F1090" s="1851"/>
      <c r="G1090" s="782"/>
      <c r="I1090" s="1082" t="s">
        <v>2289</v>
      </c>
    </row>
    <row r="1091" spans="1:9" s="1080" customFormat="1">
      <c r="D1091" s="1851"/>
      <c r="E1091" s="1851"/>
      <c r="F1091" s="1851"/>
      <c r="I1091" s="1082"/>
    </row>
    <row r="1092" spans="1:9" s="1080" customFormat="1">
      <c r="D1092" s="1851"/>
      <c r="E1092" s="1851"/>
      <c r="F1092" s="1851"/>
      <c r="I1092" s="1082"/>
    </row>
    <row r="1093" spans="1:9" s="1080" customFormat="1">
      <c r="D1093" s="1851"/>
      <c r="E1093" s="1851"/>
      <c r="F1093" s="1851"/>
      <c r="I1093" s="1082"/>
    </row>
    <row r="1094" spans="1:9" s="1080" customFormat="1">
      <c r="D1094" s="1851"/>
      <c r="E1094" s="1851"/>
      <c r="F1094" s="1851"/>
      <c r="I1094" s="1082"/>
    </row>
    <row r="1095" spans="1:9" s="1080" customFormat="1">
      <c r="D1095" s="1851"/>
      <c r="E1095" s="1851"/>
      <c r="F1095" s="1851"/>
      <c r="I1095" s="1082"/>
    </row>
    <row r="1096" spans="1:9" s="1081" customFormat="1">
      <c r="B1096" s="1080"/>
      <c r="D1096" s="1076" t="s">
        <v>2290</v>
      </c>
    </row>
    <row r="1097" spans="1:9">
      <c r="A1097" s="782"/>
      <c r="B1097" s="1083" t="s">
        <v>2752</v>
      </c>
      <c r="C1097" s="782"/>
      <c r="D1097" s="1851" t="s">
        <v>2144</v>
      </c>
      <c r="E1097" s="1851"/>
      <c r="F1097" s="1851"/>
      <c r="G1097" s="782"/>
      <c r="I1097" s="1114" t="s">
        <v>2247</v>
      </c>
    </row>
    <row r="1098" spans="1:9" s="1080" customFormat="1">
      <c r="D1098" s="1851"/>
      <c r="E1098" s="1851"/>
      <c r="F1098" s="1851"/>
      <c r="I1098" s="1082"/>
    </row>
    <row r="1099" spans="1:9" s="1080" customFormat="1">
      <c r="D1099" s="1851"/>
      <c r="E1099" s="1851"/>
      <c r="F1099" s="1851"/>
      <c r="I1099" s="1082"/>
    </row>
    <row r="1100" spans="1:9" s="1080" customFormat="1">
      <c r="D1100" s="1076"/>
      <c r="I1100" s="1082"/>
    </row>
    <row r="1101" spans="1:9">
      <c r="A1101" s="782"/>
      <c r="B1101" s="1083" t="s">
        <v>2751</v>
      </c>
      <c r="C1101" s="782"/>
      <c r="D1101" s="1852" t="s">
        <v>2292</v>
      </c>
      <c r="E1101" s="1852"/>
      <c r="F1101" s="1852"/>
      <c r="G1101" s="782"/>
      <c r="I1101" s="1082" t="s">
        <v>2248</v>
      </c>
    </row>
    <row r="1102" spans="1:9">
      <c r="A1102" s="782"/>
      <c r="B1102" s="782"/>
      <c r="C1102" s="782"/>
      <c r="D1102" s="1852"/>
      <c r="E1102" s="1852"/>
      <c r="F1102" s="1852"/>
      <c r="G1102" s="782"/>
    </row>
    <row r="1103" spans="1:9">
      <c r="A1103" s="782"/>
      <c r="B1103" s="782"/>
      <c r="C1103" s="782"/>
      <c r="D1103" s="1852"/>
      <c r="E1103" s="1852"/>
      <c r="F1103" s="1852"/>
      <c r="G1103" s="782"/>
    </row>
    <row r="1104" spans="1:9" s="1080" customFormat="1">
      <c r="D1104" s="1126"/>
      <c r="E1104" s="1126"/>
      <c r="F1104" s="1126"/>
      <c r="I1104" s="1082"/>
    </row>
    <row r="1105" spans="1:9" s="1080" customFormat="1" ht="15.75" customHeight="1">
      <c r="B1105" s="1083" t="s">
        <v>2751</v>
      </c>
      <c r="D1105" s="1713" t="s">
        <v>2294</v>
      </c>
      <c r="E1105" s="1713"/>
      <c r="F1105" s="1713"/>
      <c r="I1105" s="1082" t="s">
        <v>2293</v>
      </c>
    </row>
    <row r="1106" spans="1:9" s="1080" customFormat="1">
      <c r="D1106" s="1713"/>
      <c r="E1106" s="1713"/>
      <c r="F1106" s="1713"/>
      <c r="I1106" s="1082"/>
    </row>
    <row r="1107" spans="1:9" s="1080" customFormat="1">
      <c r="D1107" s="1713"/>
      <c r="E1107" s="1713"/>
      <c r="F1107" s="1713"/>
      <c r="I1107" s="1082"/>
    </row>
    <row r="1108" spans="1:9" s="1080" customFormat="1">
      <c r="D1108" s="1713"/>
      <c r="E1108" s="1713"/>
      <c r="F1108" s="1713"/>
      <c r="I1108" s="1082"/>
    </row>
    <row r="1109" spans="1:9" s="1080" customFormat="1">
      <c r="D1109" s="1126"/>
      <c r="E1109" s="1126"/>
      <c r="F1109" s="1126"/>
      <c r="I1109" s="1082"/>
    </row>
    <row r="1110" spans="1:9" ht="39.6">
      <c r="A1110" s="782"/>
      <c r="B1110" s="782"/>
      <c r="C1110" s="782"/>
      <c r="D1110" s="782"/>
      <c r="E1110" s="782"/>
      <c r="F1110" s="782"/>
      <c r="G1110" s="782"/>
      <c r="I1110" s="1121" t="s">
        <v>2656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27"/>
      <c r="H1523" s="1727"/>
      <c r="I1523" s="172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M+spsJCO2zWCEU6LFmRXT5uNwlZ2CxxSR/WlAW/EznVj+A59PMmRjSJvNIINXqy4ucbBlObU49AAeHD0urZJag==" saltValue="k3LylxV7Yp9JfEvoR/ojYg=="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opLeftCell="A473" zoomScaleNormal="100" zoomScaleSheetLayoutView="80" workbookViewId="0">
      <selection activeCell="AE706" sqref="AE706:AI706"/>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255" t="s">
        <v>105</v>
      </c>
      <c r="B8" s="2255"/>
      <c r="C8" s="2255"/>
      <c r="D8" s="2255"/>
      <c r="E8" s="2255"/>
      <c r="F8" s="2255"/>
      <c r="G8" s="2255"/>
      <c r="H8" s="2255"/>
      <c r="I8" s="2255"/>
      <c r="J8" s="2255"/>
      <c r="K8" s="2255"/>
      <c r="L8" s="2255"/>
      <c r="M8" s="2255"/>
      <c r="N8" s="2255"/>
      <c r="O8" s="2255"/>
      <c r="P8" s="2255"/>
      <c r="Q8" s="2255"/>
      <c r="R8" s="2255"/>
      <c r="S8" s="2255"/>
      <c r="T8" s="2255"/>
      <c r="U8" s="2255"/>
      <c r="V8" s="2255"/>
      <c r="W8" s="2255"/>
      <c r="X8" s="2255"/>
      <c r="Y8" s="2255"/>
      <c r="Z8" s="2255"/>
      <c r="AA8" s="2255"/>
      <c r="AB8" s="2255"/>
      <c r="AC8" s="2255"/>
      <c r="AD8" s="2255"/>
      <c r="AE8" s="2255"/>
      <c r="AF8" s="2255"/>
      <c r="AG8" s="2255"/>
      <c r="AH8" s="2255"/>
      <c r="AI8" s="2255"/>
      <c r="AJ8" s="2255"/>
      <c r="AK8" s="2255"/>
      <c r="AL8" s="2255"/>
      <c r="AM8" s="949"/>
      <c r="AN8" s="949"/>
      <c r="AO8" s="949"/>
      <c r="AP8" s="949"/>
      <c r="AQ8" s="949"/>
      <c r="AR8" s="949"/>
      <c r="AS8" s="949"/>
      <c r="AT8" s="949"/>
      <c r="AU8" s="949"/>
      <c r="AV8" s="949"/>
      <c r="AW8" s="949"/>
      <c r="AX8" s="949"/>
      <c r="AY8" s="949"/>
    </row>
    <row r="9" spans="1:96" s="711" customFormat="1" ht="13.2">
      <c r="A9" s="1945" t="s">
        <v>2664</v>
      </c>
      <c r="B9" s="1945"/>
      <c r="C9" s="1945"/>
      <c r="D9" s="1945"/>
      <c r="E9" s="1945"/>
      <c r="F9" s="1945"/>
      <c r="G9" s="1945"/>
      <c r="H9" s="1945"/>
      <c r="I9" s="1945"/>
      <c r="J9" s="1945"/>
      <c r="K9" s="1945"/>
      <c r="L9" s="1945"/>
      <c r="M9" s="1945"/>
      <c r="N9" s="1945"/>
      <c r="O9" s="1945"/>
      <c r="P9" s="1945"/>
      <c r="Q9" s="1945"/>
      <c r="R9" s="1945"/>
      <c r="S9" s="1945"/>
      <c r="T9" s="1945"/>
      <c r="U9" s="1945"/>
      <c r="V9" s="1945"/>
      <c r="W9" s="1945"/>
      <c r="X9" s="1945"/>
      <c r="Y9" s="1945"/>
      <c r="Z9" s="1945"/>
      <c r="AA9" s="1945"/>
      <c r="AB9" s="1945"/>
      <c r="AC9" s="1945"/>
      <c r="AD9" s="1945"/>
      <c r="AE9" s="1945"/>
      <c r="AF9" s="1945"/>
      <c r="AG9" s="1945"/>
      <c r="AH9" s="1945"/>
      <c r="AI9" s="1945"/>
      <c r="AJ9" s="1945"/>
      <c r="AK9" s="1945"/>
      <c r="AL9" s="1945"/>
      <c r="AM9" s="933"/>
      <c r="AN9" s="933"/>
      <c r="AO9" s="933"/>
      <c r="AP9" s="933"/>
      <c r="AQ9" s="933"/>
      <c r="AR9" s="933"/>
      <c r="AS9" s="933"/>
      <c r="AT9" s="933"/>
      <c r="AU9" s="933"/>
      <c r="AV9" s="933"/>
      <c r="AW9" s="933"/>
      <c r="AX9" s="933"/>
      <c r="AY9" s="933"/>
      <c r="CR9" s="25"/>
    </row>
    <row r="10" spans="1:96" ht="15" customHeight="1">
      <c r="A10" s="2067" t="s">
        <v>2307</v>
      </c>
      <c r="B10" s="2067"/>
      <c r="C10" s="2067"/>
      <c r="D10" s="2067"/>
      <c r="E10" s="2067"/>
      <c r="F10" s="2067"/>
      <c r="G10" s="2067"/>
      <c r="H10" s="2067"/>
      <c r="I10" s="2067"/>
      <c r="J10" s="2067"/>
      <c r="K10" s="2067"/>
      <c r="L10" s="2067"/>
      <c r="M10" s="2067"/>
      <c r="N10" s="2067"/>
      <c r="O10" s="2067"/>
      <c r="P10" s="2067"/>
      <c r="Q10" s="2067"/>
      <c r="R10" s="2067"/>
      <c r="S10" s="2067"/>
      <c r="T10" s="2067"/>
      <c r="U10" s="2067"/>
      <c r="V10" s="2067"/>
      <c r="W10" s="2067"/>
      <c r="X10" s="2067"/>
      <c r="Y10" s="2067"/>
      <c r="Z10" s="2067"/>
      <c r="AA10" s="2067"/>
      <c r="AB10" s="2067"/>
      <c r="AC10" s="2067"/>
      <c r="AD10" s="2067"/>
      <c r="AE10" s="2067"/>
      <c r="AF10" s="2067"/>
      <c r="AG10" s="2067"/>
      <c r="AH10" s="2067"/>
      <c r="AI10" s="2067"/>
      <c r="AJ10" s="2067"/>
      <c r="AK10" s="2067"/>
      <c r="AL10" s="2067"/>
      <c r="AM10" s="20"/>
      <c r="AN10" s="20"/>
      <c r="AO10" s="20"/>
      <c r="AP10" s="20"/>
      <c r="AQ10" s="20"/>
      <c r="AR10" s="20"/>
      <c r="AS10" s="20"/>
      <c r="AT10" s="20"/>
      <c r="AU10" s="20"/>
      <c r="AV10" s="20"/>
      <c r="AW10" s="20"/>
      <c r="AX10" s="20"/>
      <c r="AY10" s="20"/>
    </row>
    <row r="11" spans="1:96" ht="15" customHeight="1">
      <c r="A11" s="1945" t="s">
        <v>1860</v>
      </c>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945"/>
      <c r="AA11" s="1945"/>
      <c r="AB11" s="1945"/>
      <c r="AC11" s="1945"/>
      <c r="AD11" s="1945"/>
      <c r="AE11" s="1945"/>
      <c r="AF11" s="1945"/>
      <c r="AG11" s="1945"/>
      <c r="AH11" s="1945"/>
      <c r="AI11" s="1945"/>
      <c r="AJ11" s="1945"/>
      <c r="AK11" s="1945"/>
      <c r="AL11" s="1945"/>
      <c r="AM11" s="933"/>
      <c r="AN11" s="933"/>
      <c r="AO11" s="933"/>
      <c r="AP11" s="933"/>
      <c r="AQ11" s="933"/>
      <c r="AR11" s="933"/>
      <c r="AS11" s="933"/>
      <c r="AT11" s="933"/>
      <c r="AU11" s="933"/>
      <c r="AV11" s="933"/>
      <c r="AW11" s="933"/>
      <c r="AX11" s="933"/>
      <c r="AY11" s="933"/>
    </row>
    <row r="12" spans="1:96" ht="13.2">
      <c r="A12" s="2073" t="s">
        <v>2663</v>
      </c>
      <c r="B12" s="2074"/>
      <c r="C12" s="2074"/>
      <c r="D12" s="2074"/>
      <c r="E12" s="2074"/>
      <c r="F12" s="2074"/>
      <c r="G12" s="2074"/>
      <c r="H12" s="2074"/>
      <c r="I12" s="2074"/>
      <c r="J12" s="2074"/>
      <c r="K12" s="2074"/>
      <c r="L12" s="2074"/>
      <c r="M12" s="2074"/>
      <c r="N12" s="2074"/>
      <c r="O12" s="2074"/>
      <c r="P12" s="2074"/>
      <c r="Q12" s="2074"/>
      <c r="R12" s="2074"/>
      <c r="S12" s="2074"/>
      <c r="T12" s="2074"/>
      <c r="U12" s="2074"/>
      <c r="V12" s="2074"/>
      <c r="W12" s="2074"/>
      <c r="X12" s="2074"/>
      <c r="Y12" s="2074"/>
      <c r="Z12" s="2074"/>
      <c r="AA12" s="2074"/>
      <c r="AB12" s="2074"/>
      <c r="AC12" s="2074"/>
      <c r="AD12" s="2074"/>
      <c r="AE12" s="2074"/>
      <c r="AF12" s="2074"/>
      <c r="AG12" s="2074"/>
      <c r="AH12" s="2074"/>
      <c r="AI12" s="2074"/>
      <c r="AJ12" s="2074"/>
      <c r="AK12" s="2074"/>
      <c r="AL12" s="2074"/>
      <c r="AM12" s="939"/>
      <c r="AN12" s="939"/>
      <c r="AO12" s="939"/>
      <c r="AP12" s="939"/>
      <c r="AQ12" s="939"/>
      <c r="AR12" s="939"/>
      <c r="AS12" s="939"/>
      <c r="AT12" s="939"/>
      <c r="AU12" s="939"/>
      <c r="AV12" s="939"/>
      <c r="AW12" s="939"/>
      <c r="AX12" s="939"/>
      <c r="AY12" s="939"/>
    </row>
    <row r="13" spans="1:96" ht="13.2">
      <c r="A13" s="1723" t="s">
        <v>2665</v>
      </c>
      <c r="B13" s="1723"/>
      <c r="C13" s="1723"/>
      <c r="D13" s="1723"/>
      <c r="E13" s="1723"/>
      <c r="F13" s="1723"/>
      <c r="G13" s="1723"/>
      <c r="H13" s="1723"/>
      <c r="I13" s="1723"/>
      <c r="J13" s="1723"/>
      <c r="K13" s="1723"/>
      <c r="L13" s="1723"/>
      <c r="M13" s="1723"/>
      <c r="N13" s="1723"/>
      <c r="O13" s="1723"/>
      <c r="P13" s="1723"/>
      <c r="Q13" s="1723"/>
      <c r="R13" s="1723"/>
      <c r="S13" s="1723"/>
      <c r="T13" s="1723"/>
      <c r="U13" s="1723"/>
      <c r="V13" s="1723"/>
      <c r="W13" s="1723"/>
      <c r="X13" s="1723"/>
      <c r="Y13" s="1723"/>
      <c r="Z13" s="1723"/>
      <c r="AA13" s="1723"/>
      <c r="AB13" s="1723"/>
      <c r="AC13" s="1723"/>
      <c r="AD13" s="1723"/>
      <c r="AE13" s="1723"/>
      <c r="AF13" s="1723"/>
      <c r="AG13" s="1723"/>
      <c r="AH13" s="1723"/>
      <c r="AI13" s="1723"/>
      <c r="AJ13" s="1723"/>
      <c r="AK13" s="1723"/>
      <c r="AL13" s="1723"/>
      <c r="AM13" s="950"/>
      <c r="AN13" s="950"/>
      <c r="AO13" s="950"/>
      <c r="AP13" s="950"/>
      <c r="AQ13" s="950"/>
      <c r="AR13" s="950"/>
      <c r="AS13" s="950"/>
      <c r="AT13" s="950"/>
      <c r="AU13" s="950"/>
      <c r="AV13" s="950"/>
      <c r="AW13" s="950"/>
      <c r="AX13" s="950"/>
      <c r="AY13" s="950"/>
    </row>
    <row r="14" spans="1:96" ht="12.75" customHeight="1" thickBot="1">
      <c r="A14" s="1724"/>
      <c r="B14" s="1724"/>
      <c r="C14" s="1724"/>
      <c r="D14" s="1724"/>
      <c r="E14" s="1724"/>
      <c r="F14" s="1724"/>
      <c r="G14" s="1724"/>
      <c r="H14" s="1724"/>
      <c r="I14" s="1724"/>
      <c r="J14" s="1724"/>
      <c r="K14" s="1724"/>
      <c r="L14" s="1724"/>
      <c r="M14" s="1724"/>
      <c r="N14" s="1724"/>
      <c r="O14" s="1724"/>
      <c r="P14" s="1724"/>
      <c r="Q14" s="1724"/>
      <c r="R14" s="1724"/>
      <c r="S14" s="1724"/>
      <c r="T14" s="1724"/>
      <c r="U14" s="1724"/>
      <c r="V14" s="1724"/>
      <c r="W14" s="1724"/>
      <c r="X14" s="1724"/>
      <c r="Y14" s="1724"/>
      <c r="Z14" s="1724"/>
      <c r="AA14" s="1724"/>
      <c r="AB14" s="1724"/>
      <c r="AC14" s="1724"/>
      <c r="AD14" s="1724"/>
      <c r="AE14" s="1724"/>
      <c r="AF14" s="1724"/>
      <c r="AG14" s="1724"/>
      <c r="AH14" s="1724"/>
      <c r="AI14" s="1724"/>
      <c r="AJ14" s="1724"/>
      <c r="AK14" s="1724"/>
      <c r="AL14" s="1724"/>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2666</v>
      </c>
      <c r="C16" s="7"/>
      <c r="D16" s="7"/>
      <c r="E16" s="7"/>
      <c r="F16" s="7"/>
      <c r="G16" s="7"/>
      <c r="H16" s="2060" t="s">
        <v>2464</v>
      </c>
      <c r="I16" s="2061"/>
      <c r="J16" s="2061"/>
      <c r="K16" s="2061"/>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c r="AH16" s="2061"/>
      <c r="AI16" s="2061"/>
      <c r="AJ16" s="2061"/>
    </row>
    <row r="17" spans="1:96" ht="12.75" customHeight="1"/>
    <row r="18" spans="1:96" ht="12.75" customHeight="1">
      <c r="A18" s="134" t="s">
        <v>106</v>
      </c>
      <c r="C18" s="7"/>
      <c r="D18" s="7"/>
      <c r="E18" s="7"/>
      <c r="F18" s="7"/>
      <c r="G18" s="7"/>
      <c r="H18" s="2024" t="s">
        <v>2465</v>
      </c>
      <c r="I18" s="2046"/>
      <c r="J18" s="2046"/>
      <c r="K18" s="2046"/>
      <c r="L18" s="2046"/>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row>
    <row r="19" spans="1:96" ht="12.75" customHeight="1"/>
    <row r="20" spans="1:96" ht="14.25" customHeight="1">
      <c r="A20" s="2070" t="s">
        <v>917</v>
      </c>
      <c r="B20" s="2070"/>
      <c r="C20" s="2070"/>
      <c r="D20" s="2070"/>
      <c r="E20" s="2070"/>
      <c r="F20" s="2070"/>
      <c r="G20" s="2070"/>
      <c r="H20" s="2070"/>
      <c r="I20" s="2070"/>
      <c r="J20" s="2070"/>
      <c r="K20" s="2070"/>
      <c r="L20" s="2070"/>
      <c r="M20" s="2070"/>
      <c r="N20" s="2070"/>
      <c r="O20" s="2070"/>
      <c r="P20" s="2070"/>
      <c r="Q20" s="2070"/>
      <c r="R20" s="2070"/>
      <c r="S20" s="2070"/>
      <c r="T20" s="2070"/>
      <c r="U20" s="2070"/>
      <c r="V20" s="2070"/>
      <c r="W20" s="2070"/>
      <c r="X20" s="2070"/>
      <c r="Y20" s="2070"/>
      <c r="Z20" s="2070"/>
      <c r="AA20" s="2070"/>
      <c r="AB20" s="2070"/>
      <c r="AC20" s="2070"/>
      <c r="AD20" s="2070"/>
      <c r="AE20" s="2070"/>
      <c r="AF20" s="2070"/>
      <c r="AG20" s="2070"/>
      <c r="AH20" s="2070"/>
      <c r="AI20" s="2070"/>
      <c r="AJ20" s="2070"/>
      <c r="AK20" s="2070"/>
      <c r="AL20" s="2070"/>
      <c r="AM20" s="952"/>
      <c r="AN20" s="952"/>
      <c r="AO20" s="952"/>
      <c r="AP20" s="952"/>
      <c r="AQ20" s="952"/>
      <c r="AR20" s="952"/>
      <c r="AS20" s="952"/>
      <c r="AT20" s="952"/>
      <c r="AU20" s="952"/>
      <c r="AV20" s="952"/>
      <c r="AW20" s="952"/>
      <c r="AX20" s="952"/>
      <c r="AY20" s="952"/>
    </row>
    <row r="21" spans="1:96" ht="12.75" customHeight="1">
      <c r="A21" s="2076" t="s">
        <v>1082</v>
      </c>
      <c r="B21" s="2076"/>
      <c r="C21" s="2076"/>
      <c r="D21" s="2076"/>
      <c r="E21" s="2076"/>
      <c r="F21" s="2076"/>
      <c r="G21" s="2076"/>
      <c r="H21" s="2076"/>
      <c r="I21" s="2076"/>
      <c r="J21" s="2076"/>
      <c r="K21" s="2076"/>
      <c r="L21" s="2076"/>
      <c r="M21" s="2076"/>
      <c r="N21" s="2076"/>
      <c r="O21" s="2076"/>
      <c r="P21" s="2076"/>
      <c r="Q21" s="2076"/>
      <c r="R21" s="2076"/>
      <c r="S21" s="2076"/>
      <c r="T21" s="2076"/>
      <c r="U21" s="2076"/>
      <c r="V21" s="2076"/>
      <c r="W21" s="2076"/>
      <c r="X21" s="2076"/>
      <c r="Y21" s="2076"/>
      <c r="Z21" s="2076"/>
      <c r="AA21" s="2076"/>
      <c r="AB21" s="2076"/>
      <c r="AC21" s="2076"/>
      <c r="AD21" s="2076"/>
      <c r="AE21" s="2076"/>
      <c r="AF21" s="2076"/>
      <c r="AG21" s="2076"/>
      <c r="AH21" s="2076"/>
      <c r="AI21" s="2076"/>
      <c r="AJ21" s="2076"/>
      <c r="AK21" s="2076"/>
      <c r="AL21" s="2076"/>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2667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075">
        <f>'Basis &amp; Credits'!AB56</f>
        <v>3414683</v>
      </c>
      <c r="N26" s="2075"/>
      <c r="O26" s="2075"/>
      <c r="P26" s="2075"/>
      <c r="Q26" s="2075"/>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3">
        <f>'Basis &amp; Credits'!AB77</f>
        <v>0</v>
      </c>
      <c r="N27" s="2093"/>
      <c r="O27" s="2093"/>
      <c r="P27" s="2093"/>
      <c r="Q27" s="2093"/>
      <c r="R27" s="58" t="s">
        <v>1442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2668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1453</v>
      </c>
      <c r="C33" s="890"/>
      <c r="D33" s="890"/>
      <c r="E33" s="890"/>
      <c r="F33" s="890"/>
      <c r="G33" s="890"/>
      <c r="H33" s="890"/>
      <c r="I33" s="890"/>
      <c r="J33" s="890"/>
      <c r="K33" s="890"/>
      <c r="L33" s="890"/>
      <c r="M33" s="890"/>
      <c r="N33" s="890"/>
      <c r="O33" s="1893" t="s">
        <v>693</v>
      </c>
      <c r="P33" s="1893"/>
      <c r="Q33" s="890" t="s">
        <v>1454</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1456</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1455</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1457</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1458</v>
      </c>
      <c r="AZ37" s="31"/>
    </row>
    <row r="38" spans="1:96" ht="12.75" customHeight="1">
      <c r="A38" s="58" t="s">
        <v>1459</v>
      </c>
      <c r="AZ38" s="31"/>
    </row>
    <row r="39" spans="1:96" ht="12.75" customHeight="1">
      <c r="AZ39" s="31"/>
    </row>
    <row r="40" spans="1:96" ht="12.75" customHeight="1">
      <c r="A40" s="890" t="s">
        <v>2669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2670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1483</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2671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2672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2673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1488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1489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855</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3.2">
      <c r="A58" s="138" t="s">
        <v>1045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3.2">
      <c r="A59" s="175" t="s">
        <v>1046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1048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2674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1049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1008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3.2">
      <c r="A66" s="175" t="s">
        <v>972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2675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2676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2677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1086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2678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3.2">
      <c r="A90" s="138" t="s">
        <v>2679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2680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936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2681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2682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1414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1415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1416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1417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2683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1096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1095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2684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796</v>
      </c>
      <c r="B117" s="35"/>
      <c r="C117" s="35"/>
    </row>
    <row r="118" spans="1:96" ht="13.2"/>
    <row r="119" spans="1:96" ht="12.75" customHeight="1">
      <c r="A119" s="138" t="s">
        <v>2685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066">
        <v>26</v>
      </c>
      <c r="H122" s="2066"/>
      <c r="I122" s="239" t="s">
        <v>186</v>
      </c>
      <c r="L122" s="2066" t="s">
        <v>2749</v>
      </c>
      <c r="M122" s="2066"/>
      <c r="N122" s="2066"/>
      <c r="O122" s="2083" t="s">
        <v>2750</v>
      </c>
      <c r="P122" s="2083"/>
      <c r="Q122" s="2083"/>
      <c r="R122" s="208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048" t="s">
        <v>758</v>
      </c>
      <c r="D124" s="2048"/>
      <c r="E124" s="2048"/>
      <c r="F124" s="2048"/>
      <c r="G124" s="2048"/>
      <c r="H124" s="2048"/>
      <c r="I124" s="2048"/>
      <c r="J124" s="2048"/>
      <c r="K124" s="2048"/>
      <c r="L124" s="323" t="s">
        <v>651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652</v>
      </c>
      <c r="Y126" s="2066"/>
      <c r="Z126" s="2066"/>
      <c r="AA126" s="2066"/>
      <c r="AB126" s="2066"/>
      <c r="AC126" s="2066"/>
      <c r="AD126" s="2066"/>
      <c r="AE126" s="2066"/>
      <c r="AF126" s="2066"/>
      <c r="AG126" s="2066"/>
      <c r="AH126" s="2066"/>
      <c r="AI126" s="2066"/>
      <c r="AJ126" s="2066"/>
      <c r="AK126" s="2066"/>
    </row>
    <row r="127" spans="1:96" ht="13.2">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3.2">
      <c r="A129" s="689"/>
      <c r="B129" s="150"/>
      <c r="R129" s="265"/>
      <c r="S129" s="265"/>
      <c r="T129" s="265"/>
      <c r="U129" s="265"/>
      <c r="V129" s="265"/>
      <c r="W129" s="265"/>
      <c r="X129" s="58"/>
      <c r="Y129" s="2066" t="s">
        <v>2737</v>
      </c>
      <c r="Z129" s="2066"/>
      <c r="AA129" s="2066"/>
      <c r="AB129" s="2066"/>
      <c r="AC129" s="2066"/>
      <c r="AD129" s="2066"/>
      <c r="AE129" s="2066"/>
      <c r="AF129" s="2066"/>
      <c r="AG129" s="2066"/>
      <c r="AH129" s="2066"/>
      <c r="AI129" s="2066"/>
      <c r="AJ129" s="2066"/>
      <c r="AK129" s="2066"/>
      <c r="AL129" s="689"/>
      <c r="AM129" s="957"/>
      <c r="AN129" s="957"/>
      <c r="AO129" s="957"/>
      <c r="AP129" s="957"/>
      <c r="AQ129" s="957"/>
      <c r="AR129" s="957"/>
      <c r="AS129" s="957"/>
      <c r="AT129" s="957"/>
      <c r="AU129" s="957"/>
      <c r="AV129" s="957"/>
      <c r="AW129" s="957"/>
      <c r="AX129" s="957"/>
      <c r="AY129" s="957"/>
    </row>
    <row r="130" spans="1:96" ht="13.2">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066" t="s">
        <v>2738</v>
      </c>
      <c r="Z132" s="2066"/>
      <c r="AA132" s="2066"/>
      <c r="AB132" s="2066"/>
      <c r="AC132" s="2066"/>
      <c r="AD132" s="2066"/>
      <c r="AE132" s="2066"/>
      <c r="AF132" s="2066"/>
      <c r="AG132" s="2066"/>
      <c r="AH132" s="2066"/>
      <c r="AI132" s="2066"/>
      <c r="AJ132" s="2066"/>
      <c r="AK132" s="206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077"/>
      <c r="G150" s="2077"/>
      <c r="H150" s="2077"/>
      <c r="I150" s="2077"/>
      <c r="J150" s="2077"/>
      <c r="K150" s="2077"/>
      <c r="L150" s="2077"/>
      <c r="M150" s="2077"/>
      <c r="N150" s="2077"/>
      <c r="O150" s="2077"/>
      <c r="P150" s="2077"/>
      <c r="Q150" s="2077"/>
      <c r="R150" s="2077"/>
      <c r="S150" s="2077"/>
      <c r="T150" s="20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669</v>
      </c>
      <c r="F153" s="32"/>
      <c r="G153" s="32"/>
      <c r="H153" s="32"/>
      <c r="I153" s="32"/>
      <c r="J153" s="32"/>
      <c r="K153" s="32"/>
      <c r="L153" s="32"/>
      <c r="M153" s="32"/>
      <c r="N153" s="32"/>
      <c r="O153" s="2024" t="s">
        <v>2467</v>
      </c>
      <c r="P153" s="2046"/>
      <c r="Q153" s="2046"/>
      <c r="R153" s="2046"/>
      <c r="S153" s="2046"/>
      <c r="T153" s="2046"/>
      <c r="U153" s="2046"/>
      <c r="V153" s="2046"/>
      <c r="W153" s="2046"/>
      <c r="X153" s="2046"/>
      <c r="Y153" s="2046"/>
      <c r="Z153" s="2046"/>
      <c r="AA153" s="2046"/>
      <c r="AB153" s="2046"/>
      <c r="AC153" s="2046"/>
      <c r="AD153" s="2046"/>
      <c r="AE153" s="2046"/>
      <c r="AF153" s="2046"/>
      <c r="AG153" s="2046"/>
      <c r="AH153" s="2046"/>
    </row>
    <row r="154" spans="1:96" ht="12.75" customHeight="1">
      <c r="D154" s="463" t="s">
        <v>456</v>
      </c>
      <c r="F154" s="32"/>
      <c r="G154" s="32"/>
      <c r="H154" s="32"/>
      <c r="I154" s="32"/>
      <c r="J154" s="32"/>
      <c r="K154" s="32"/>
      <c r="L154" s="32"/>
      <c r="M154" s="32"/>
      <c r="N154" s="32"/>
      <c r="O154" s="1973" t="s">
        <v>2466</v>
      </c>
      <c r="P154" s="1885"/>
      <c r="Q154" s="1885"/>
      <c r="R154" s="1885"/>
      <c r="S154" s="1885"/>
      <c r="T154" s="1885"/>
      <c r="U154" s="1885"/>
      <c r="V154" s="1885"/>
      <c r="W154" s="1885"/>
      <c r="X154" s="1885"/>
      <c r="Y154" s="1885"/>
      <c r="Z154" s="1885"/>
      <c r="AA154" s="1885"/>
      <c r="AB154" s="1885"/>
      <c r="AC154" s="1885"/>
      <c r="AD154" s="1885"/>
      <c r="AE154" s="1885"/>
      <c r="AF154" s="1885"/>
      <c r="AG154" s="1885"/>
      <c r="AH154" s="1885"/>
      <c r="AZ154" s="25"/>
    </row>
    <row r="155" spans="1:96" ht="13.2">
      <c r="D155" s="13" t="s">
        <v>457</v>
      </c>
      <c r="F155" s="13"/>
      <c r="G155" s="13"/>
      <c r="H155" s="13"/>
      <c r="I155" s="13"/>
      <c r="J155" s="13"/>
      <c r="K155" s="13"/>
      <c r="L155" s="13"/>
      <c r="M155" s="13"/>
      <c r="N155" s="13"/>
      <c r="O155" s="2079" t="s">
        <v>2468</v>
      </c>
      <c r="P155" s="2080"/>
      <c r="Q155" s="2080"/>
      <c r="R155" s="2080"/>
      <c r="S155" s="2080"/>
      <c r="T155" s="2080"/>
      <c r="U155" s="2080"/>
      <c r="V155" s="2080"/>
      <c r="W155" s="2080"/>
      <c r="X155" s="2080"/>
      <c r="Y155" s="2080"/>
      <c r="Z155" s="2080"/>
      <c r="AA155" s="2080"/>
      <c r="AB155" s="2080"/>
      <c r="AC155" s="2080"/>
      <c r="AD155" s="2080"/>
      <c r="AE155" s="2080"/>
      <c r="AF155" s="2080"/>
      <c r="AG155" s="2080"/>
      <c r="AH155" s="2080"/>
      <c r="AZ155" s="25"/>
    </row>
    <row r="156" spans="1:96" ht="13.2">
      <c r="D156" s="32" t="s">
        <v>318</v>
      </c>
      <c r="F156" s="32"/>
      <c r="G156" s="32"/>
      <c r="H156" s="32"/>
      <c r="I156" s="32"/>
      <c r="J156" s="32"/>
      <c r="K156" s="32"/>
      <c r="L156" s="32"/>
      <c r="M156" s="32"/>
      <c r="N156" s="32"/>
      <c r="O156" s="1894" t="s">
        <v>2469</v>
      </c>
      <c r="P156" s="1894"/>
      <c r="Q156" s="1894"/>
      <c r="R156" s="1894"/>
      <c r="S156" s="1894"/>
      <c r="T156" s="1894"/>
      <c r="U156" s="1894"/>
      <c r="V156" s="1894"/>
      <c r="W156" s="1894"/>
      <c r="X156" s="1894"/>
      <c r="Y156" s="1894"/>
      <c r="Z156" s="1894"/>
      <c r="AA156" s="1894"/>
      <c r="AB156" s="1894"/>
      <c r="AC156" s="1894"/>
      <c r="AD156" s="1894"/>
      <c r="AE156" s="1894"/>
      <c r="AF156" s="1894"/>
      <c r="AG156" s="1894"/>
      <c r="AH156" s="1894"/>
      <c r="BT156" s="12" t="s">
        <v>312</v>
      </c>
    </row>
    <row r="157" spans="1:96" ht="13.2">
      <c r="D157" s="32" t="s">
        <v>319</v>
      </c>
      <c r="F157" s="32"/>
      <c r="G157" s="32"/>
      <c r="H157" s="32"/>
      <c r="I157" s="32"/>
      <c r="J157" s="32"/>
      <c r="K157" s="32"/>
      <c r="L157" s="32"/>
      <c r="M157" s="32"/>
      <c r="N157" s="32"/>
      <c r="O157" s="2024" t="s">
        <v>758</v>
      </c>
      <c r="P157" s="2046"/>
      <c r="Q157" s="2046"/>
      <c r="R157" s="2046"/>
      <c r="S157" s="2046"/>
      <c r="T157" s="2046"/>
      <c r="U157" s="2046"/>
      <c r="V157" s="2046"/>
      <c r="W157" s="2046"/>
      <c r="X157" s="2046"/>
      <c r="Y157" s="14"/>
      <c r="Z157" s="14"/>
      <c r="AA157" s="14"/>
      <c r="AB157" s="14"/>
      <c r="AC157" s="14"/>
      <c r="AD157" s="14"/>
      <c r="AE157" s="14"/>
      <c r="AF157" s="14"/>
      <c r="BN157" s="36" t="s">
        <v>660</v>
      </c>
      <c r="BT157" s="12" t="s">
        <v>499</v>
      </c>
    </row>
    <row r="158" spans="1:96" ht="13.2">
      <c r="D158" s="32" t="s">
        <v>320</v>
      </c>
      <c r="F158" s="32"/>
      <c r="G158" s="32"/>
      <c r="H158" s="32"/>
      <c r="I158" s="32"/>
      <c r="J158" s="32"/>
      <c r="K158" s="32"/>
      <c r="L158" s="32"/>
      <c r="M158" s="32"/>
      <c r="N158" s="32"/>
      <c r="O158" s="2081">
        <v>94103</v>
      </c>
      <c r="P158" s="2081"/>
      <c r="Q158" s="2081"/>
      <c r="R158" s="2081"/>
      <c r="S158" s="15"/>
      <c r="T158" s="15"/>
      <c r="U158" s="15"/>
      <c r="V158" s="15"/>
      <c r="W158" s="15"/>
      <c r="X158" s="15"/>
      <c r="Y158" s="15"/>
      <c r="Z158" s="15"/>
      <c r="AA158" s="15"/>
      <c r="AB158" s="15"/>
      <c r="AC158" s="15"/>
      <c r="AD158" s="15"/>
      <c r="AE158" s="15"/>
      <c r="AF158" s="15"/>
      <c r="BN158" s="36" t="s">
        <v>661</v>
      </c>
      <c r="BT158" s="12" t="s">
        <v>500</v>
      </c>
    </row>
    <row r="159" spans="1:96" ht="13.2">
      <c r="D159" s="32" t="s">
        <v>321</v>
      </c>
      <c r="F159" s="32"/>
      <c r="G159" s="32"/>
      <c r="H159" s="32"/>
      <c r="I159" s="32"/>
      <c r="J159" s="32"/>
      <c r="K159" s="32"/>
      <c r="L159" s="32"/>
      <c r="M159" s="32"/>
      <c r="N159" s="32"/>
      <c r="O159" s="2049" t="s">
        <v>2470</v>
      </c>
      <c r="P159" s="2049"/>
      <c r="Q159" s="2049"/>
      <c r="R159" s="2049"/>
      <c r="S159" s="2049"/>
      <c r="T159" s="2049"/>
      <c r="V159" s="146" t="s">
        <v>276</v>
      </c>
      <c r="W159" s="2082"/>
      <c r="X159" s="2082"/>
      <c r="Y159" s="16"/>
      <c r="Z159" s="16"/>
      <c r="AA159" s="16"/>
      <c r="AB159" s="16"/>
      <c r="AC159" s="16"/>
      <c r="AD159" s="16"/>
      <c r="AE159" s="16"/>
      <c r="AF159" s="16"/>
      <c r="BN159" s="36" t="s">
        <v>344</v>
      </c>
      <c r="BT159" s="12" t="s">
        <v>501</v>
      </c>
    </row>
    <row r="160" spans="1:96" ht="13.2">
      <c r="D160" s="32" t="s">
        <v>322</v>
      </c>
      <c r="F160" s="32"/>
      <c r="G160" s="32"/>
      <c r="H160" s="32"/>
      <c r="I160" s="32"/>
      <c r="J160" s="32"/>
      <c r="K160" s="32"/>
      <c r="L160" s="32"/>
      <c r="M160" s="32"/>
      <c r="N160" s="32"/>
      <c r="O160" s="2049" t="s">
        <v>2471</v>
      </c>
      <c r="P160" s="2049"/>
      <c r="Q160" s="2049"/>
      <c r="R160" s="2049"/>
      <c r="S160" s="2049"/>
      <c r="T160" s="2049"/>
      <c r="U160" s="16"/>
      <c r="V160" s="16"/>
      <c r="W160" s="16"/>
      <c r="X160" s="16"/>
      <c r="Y160" s="16"/>
      <c r="Z160" s="16"/>
      <c r="AA160" s="16"/>
      <c r="AB160" s="16"/>
      <c r="AC160" s="16"/>
      <c r="AD160" s="16"/>
      <c r="AE160" s="16"/>
      <c r="AF160" s="16"/>
      <c r="BN160" s="36" t="s">
        <v>684</v>
      </c>
      <c r="BT160" s="12" t="s">
        <v>502</v>
      </c>
    </row>
    <row r="161" spans="1:72" ht="13.2">
      <c r="D161" s="32" t="s">
        <v>323</v>
      </c>
      <c r="F161" s="32"/>
      <c r="G161" s="32"/>
      <c r="H161" s="32"/>
      <c r="I161" s="32"/>
      <c r="J161" s="32"/>
      <c r="K161" s="32"/>
      <c r="L161" s="32"/>
      <c r="M161" s="32"/>
      <c r="N161" s="32"/>
      <c r="O161" s="2050" t="s">
        <v>2472</v>
      </c>
      <c r="P161" s="2050"/>
      <c r="Q161" s="2050"/>
      <c r="R161" s="2050"/>
      <c r="S161" s="2050"/>
      <c r="T161" s="2050"/>
      <c r="U161" s="2050"/>
      <c r="V161" s="2050"/>
      <c r="W161" s="2050"/>
      <c r="X161" s="2050"/>
      <c r="Y161" s="2050"/>
      <c r="Z161" s="2050"/>
      <c r="AA161" s="2050"/>
      <c r="AB161" s="2050"/>
      <c r="AC161" s="2050"/>
      <c r="AD161" s="2050"/>
      <c r="AE161" s="2050"/>
      <c r="AF161" s="2050"/>
      <c r="AG161" s="2050"/>
      <c r="AH161" s="2050"/>
      <c r="BJ161" s="12" t="s">
        <v>693</v>
      </c>
      <c r="BN161" s="36" t="s">
        <v>685</v>
      </c>
      <c r="BT161" s="12" t="s">
        <v>503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568</v>
      </c>
      <c r="BN162" s="36" t="s">
        <v>686</v>
      </c>
      <c r="BT162" s="12" t="s">
        <v>504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505</v>
      </c>
    </row>
    <row r="164" spans="1:72" ht="13.2">
      <c r="C164" s="141"/>
      <c r="D164" s="2051" t="s">
        <v>2702</v>
      </c>
      <c r="E164" s="2051"/>
      <c r="F164" s="2051"/>
      <c r="G164" s="2051"/>
      <c r="H164" s="2051"/>
      <c r="I164" s="2051"/>
      <c r="J164" s="2051"/>
      <c r="K164" s="2051"/>
      <c r="L164" s="2051"/>
      <c r="M164" s="2051"/>
      <c r="N164" s="2051"/>
      <c r="O164" s="2051"/>
      <c r="P164" s="2051"/>
      <c r="Q164" s="2051"/>
      <c r="R164" s="2051"/>
      <c r="S164" s="2051"/>
      <c r="T164" s="2051"/>
      <c r="U164" s="2051"/>
      <c r="V164" s="2051"/>
      <c r="W164" s="2051"/>
      <c r="X164" s="2051"/>
      <c r="Y164" s="2051"/>
      <c r="Z164" s="2051"/>
      <c r="AA164" s="2051"/>
      <c r="AB164" s="2051"/>
      <c r="AC164" s="2051"/>
      <c r="AD164" s="2051"/>
      <c r="AE164" s="2051"/>
      <c r="AF164" s="2051"/>
      <c r="AG164" s="2051"/>
      <c r="AH164" s="2051"/>
      <c r="AI164" s="39"/>
      <c r="AJ164" s="39"/>
      <c r="AK164" s="39"/>
      <c r="AL164" s="39"/>
      <c r="BN164" s="36" t="s">
        <v>688</v>
      </c>
      <c r="BT164" s="12" t="s">
        <v>506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509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510</v>
      </c>
    </row>
    <row r="169" spans="1:72" ht="13.2">
      <c r="A169" s="1939" t="s">
        <v>562</v>
      </c>
      <c r="B169" s="1939"/>
      <c r="C169" s="1939"/>
      <c r="D169" s="1939"/>
      <c r="E169" s="1939"/>
      <c r="F169" s="1939"/>
      <c r="G169" s="1939"/>
      <c r="H169" s="1939"/>
      <c r="I169" s="1939"/>
      <c r="J169" s="1939"/>
      <c r="K169" s="1939"/>
      <c r="L169" s="1939"/>
      <c r="M169" s="1939"/>
      <c r="N169" s="1939"/>
      <c r="O169" s="1939"/>
      <c r="P169" s="1939"/>
      <c r="Q169" s="1939"/>
      <c r="R169" s="1939"/>
      <c r="S169" s="1939"/>
      <c r="T169" s="1939"/>
      <c r="U169" s="1939"/>
      <c r="V169" s="1939"/>
      <c r="W169" s="1939"/>
      <c r="X169" s="1939"/>
      <c r="Y169" s="1939"/>
      <c r="Z169" s="1939"/>
      <c r="AA169" s="1939"/>
      <c r="AB169" s="1939"/>
      <c r="AC169" s="1939"/>
      <c r="AD169" s="1939"/>
      <c r="AE169" s="1939"/>
      <c r="AF169" s="1939"/>
      <c r="AG169" s="1939"/>
      <c r="AH169" s="1939"/>
      <c r="AI169" s="1939"/>
      <c r="AJ169" s="1939"/>
      <c r="AK169" s="1939"/>
      <c r="AL169" s="1939"/>
      <c r="AM169" s="144"/>
      <c r="AN169" s="144"/>
      <c r="AO169" s="144"/>
      <c r="AP169" s="144"/>
      <c r="AQ169" s="144"/>
      <c r="AR169" s="144"/>
      <c r="AS169" s="144"/>
      <c r="AT169" s="144"/>
      <c r="AU169" s="144"/>
      <c r="AV169" s="144"/>
      <c r="AW169" s="144"/>
      <c r="AX169" s="144"/>
      <c r="AY169" s="144"/>
      <c r="BN169" s="36" t="s">
        <v>697</v>
      </c>
      <c r="BT169" s="12" t="s">
        <v>511</v>
      </c>
    </row>
    <row r="170" spans="1:72" ht="13.8" thickBot="1">
      <c r="A170" s="1940"/>
      <c r="B170" s="1940"/>
      <c r="C170" s="1940"/>
      <c r="D170" s="1940"/>
      <c r="E170" s="1940"/>
      <c r="F170" s="1940"/>
      <c r="G170" s="1940"/>
      <c r="H170" s="1940"/>
      <c r="I170" s="1940"/>
      <c r="J170" s="1940"/>
      <c r="K170" s="1940"/>
      <c r="L170" s="1940"/>
      <c r="M170" s="1940"/>
      <c r="N170" s="1940"/>
      <c r="O170" s="1940"/>
      <c r="P170" s="1940"/>
      <c r="Q170" s="1940"/>
      <c r="R170" s="1940"/>
      <c r="S170" s="1940"/>
      <c r="T170" s="1940"/>
      <c r="U170" s="1940"/>
      <c r="V170" s="1940"/>
      <c r="W170" s="1940"/>
      <c r="X170" s="1940"/>
      <c r="Y170" s="1940"/>
      <c r="Z170" s="1940"/>
      <c r="AA170" s="1940"/>
      <c r="AB170" s="1940"/>
      <c r="AC170" s="1940"/>
      <c r="AD170" s="1940"/>
      <c r="AE170" s="1940"/>
      <c r="AF170" s="1940"/>
      <c r="AG170" s="1940"/>
      <c r="AH170" s="1940"/>
      <c r="AI170" s="1940"/>
      <c r="AJ170" s="1940"/>
      <c r="AK170" s="1940"/>
      <c r="AL170" s="1940"/>
      <c r="AM170" s="144"/>
      <c r="AN170" s="144"/>
      <c r="AO170" s="144"/>
      <c r="AP170" s="144"/>
      <c r="AQ170" s="144"/>
      <c r="AR170" s="144"/>
      <c r="AS170" s="144"/>
      <c r="AT170" s="144"/>
      <c r="AU170" s="144"/>
      <c r="AV170" s="144"/>
      <c r="AW170" s="144"/>
      <c r="AX170" s="144"/>
      <c r="AY170" s="144"/>
      <c r="BN170" s="36" t="s">
        <v>698</v>
      </c>
      <c r="BT170" s="12" t="s">
        <v>512</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513</v>
      </c>
    </row>
    <row r="172" spans="1:72" ht="13.2">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514</v>
      </c>
    </row>
    <row r="173" spans="1:72" ht="13.2">
      <c r="A173" s="25"/>
      <c r="C173" s="38"/>
      <c r="D173" s="39" t="s">
        <v>326</v>
      </c>
      <c r="J173" s="2078" t="s">
        <v>384</v>
      </c>
      <c r="K173" s="2078"/>
      <c r="L173" s="2078"/>
      <c r="M173" s="2078"/>
      <c r="N173" s="2078"/>
      <c r="O173" s="2078"/>
      <c r="P173" s="2078"/>
      <c r="Q173" s="2078"/>
      <c r="R173" s="2078"/>
      <c r="S173" s="207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515</v>
      </c>
    </row>
    <row r="174" spans="1:72" ht="13.2">
      <c r="A174" s="25"/>
      <c r="C174" s="38"/>
      <c r="D174" s="58" t="s">
        <v>1362</v>
      </c>
      <c r="E174" s="25"/>
      <c r="F174" s="25"/>
      <c r="G174" s="25"/>
      <c r="H174" s="25"/>
      <c r="I174" s="25"/>
      <c r="J174" s="1894" t="s">
        <v>2686</v>
      </c>
      <c r="K174" s="1894"/>
      <c r="L174" s="1894"/>
      <c r="M174" s="1894"/>
      <c r="N174" s="1894"/>
      <c r="O174" s="1894"/>
      <c r="P174" s="1894"/>
      <c r="Q174" s="1894"/>
      <c r="R174" s="1894"/>
      <c r="S174" s="1894"/>
      <c r="T174" s="1894"/>
      <c r="U174" s="1894"/>
      <c r="V174" s="1894"/>
      <c r="W174" s="1894"/>
      <c r="X174" s="1894"/>
      <c r="Y174" s="1894"/>
      <c r="Z174" s="1894"/>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516</v>
      </c>
    </row>
    <row r="175" spans="1:72" ht="13.2">
      <c r="A175" s="25"/>
      <c r="C175" s="13"/>
      <c r="D175" s="58" t="s">
        <v>327</v>
      </c>
      <c r="F175" s="711"/>
      <c r="G175" s="711"/>
      <c r="H175" s="711"/>
      <c r="I175" s="711"/>
      <c r="J175" s="711"/>
      <c r="K175" s="711"/>
      <c r="L175" s="711"/>
      <c r="M175" s="711"/>
      <c r="N175" s="711"/>
      <c r="O175" s="42"/>
      <c r="Q175" s="25"/>
      <c r="R175" s="25"/>
      <c r="T175" s="711"/>
      <c r="U175" s="1893" t="s">
        <v>693</v>
      </c>
      <c r="V175" s="189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517</v>
      </c>
    </row>
    <row r="176" spans="1:72" ht="13.2">
      <c r="A176" s="25"/>
      <c r="C176" s="13"/>
      <c r="D176" s="41"/>
      <c r="E176" s="711" t="s">
        <v>309</v>
      </c>
      <c r="F176" s="711"/>
      <c r="G176" s="711"/>
      <c r="H176" s="711"/>
      <c r="I176" s="711"/>
      <c r="J176" s="711"/>
      <c r="K176" s="711"/>
      <c r="L176" s="711"/>
      <c r="M176" s="711"/>
      <c r="N176" s="711"/>
      <c r="O176" s="42"/>
      <c r="P176" s="25" t="s">
        <v>2687</v>
      </c>
      <c r="Q176" s="25"/>
      <c r="R176" s="25"/>
      <c r="S176" s="25" t="s">
        <v>310</v>
      </c>
      <c r="T176" s="711"/>
      <c r="U176" s="1969"/>
      <c r="V176" s="1969"/>
      <c r="W176" s="4" t="s">
        <v>311</v>
      </c>
      <c r="X176" s="2084"/>
      <c r="Y176" s="208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518</v>
      </c>
    </row>
    <row r="177" spans="1:96" s="711" customFormat="1" ht="13.2">
      <c r="A177" s="25"/>
      <c r="B177" s="12"/>
      <c r="C177" s="43"/>
      <c r="D177" s="25" t="s">
        <v>254</v>
      </c>
      <c r="E177" s="12"/>
      <c r="F177" s="12"/>
      <c r="G177" s="12"/>
      <c r="H177" s="12"/>
      <c r="I177" s="12"/>
      <c r="J177" s="12"/>
      <c r="K177" s="12"/>
      <c r="L177" s="12"/>
      <c r="M177" s="25"/>
      <c r="N177" s="12"/>
      <c r="O177" s="12"/>
      <c r="P177" s="12"/>
      <c r="Q177" s="12"/>
      <c r="R177" s="1893" t="s">
        <v>693</v>
      </c>
      <c r="S177" s="189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519</v>
      </c>
      <c r="CR177" s="25"/>
    </row>
    <row r="178" spans="1:96" s="711" customFormat="1" ht="13.2">
      <c r="A178" s="25"/>
      <c r="B178" s="12"/>
      <c r="C178" s="43"/>
      <c r="D178" s="58" t="s">
        <v>1363</v>
      </c>
      <c r="E178" s="12"/>
      <c r="F178" s="12"/>
      <c r="G178" s="12"/>
      <c r="H178" s="12"/>
      <c r="I178" s="12"/>
      <c r="J178" s="12"/>
      <c r="K178" s="12"/>
      <c r="L178" s="12"/>
      <c r="M178" s="12"/>
      <c r="N178" s="12"/>
      <c r="P178" s="25"/>
      <c r="R178" s="12"/>
      <c r="S178" s="12"/>
      <c r="T178" s="12"/>
      <c r="U178" s="12"/>
      <c r="V178" s="12"/>
      <c r="W178" s="12"/>
      <c r="X178" s="12"/>
      <c r="Y178" s="12"/>
      <c r="AA178" s="25" t="s">
        <v>2687</v>
      </c>
      <c r="AC178" s="25"/>
      <c r="AD178" s="25" t="s">
        <v>310</v>
      </c>
      <c r="AF178" s="2262"/>
      <c r="AG178" s="2262"/>
      <c r="AH178" s="4" t="s">
        <v>311</v>
      </c>
      <c r="AI178" s="2053"/>
      <c r="AJ178" s="2053"/>
      <c r="AK178" s="2053"/>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2">
      <c r="A180" s="25"/>
      <c r="B180" s="12"/>
      <c r="C180" s="43"/>
      <c r="D180" s="673" t="s">
        <v>2688</v>
      </c>
      <c r="E180" s="25"/>
      <c r="X180" s="1893" t="s">
        <v>693</v>
      </c>
      <c r="Y180" s="1893"/>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 customHeight="1">
      <c r="A181" s="25"/>
      <c r="B181" s="12"/>
      <c r="C181" s="44"/>
      <c r="E181" s="7" t="s">
        <v>1031</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2">
      <c r="A183" s="37" t="s">
        <v>600</v>
      </c>
      <c r="C183" s="37" t="s">
        <v>601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2">
      <c r="A184" s="25"/>
      <c r="C184" s="45"/>
      <c r="D184" s="25" t="s">
        <v>602</v>
      </c>
      <c r="E184" s="25"/>
      <c r="F184" s="25"/>
      <c r="G184" s="25"/>
      <c r="H184" s="25"/>
      <c r="I184" s="1895" t="str">
        <f>H18</f>
        <v>Hunters Point Shipyard Block 56</v>
      </c>
      <c r="J184" s="1895"/>
      <c r="K184" s="1895"/>
      <c r="L184" s="1895"/>
      <c r="M184" s="1895"/>
      <c r="N184" s="1895"/>
      <c r="O184" s="1895"/>
      <c r="P184" s="1895"/>
      <c r="Q184" s="1895"/>
      <c r="R184" s="1895"/>
      <c r="S184" s="1895"/>
      <c r="T184" s="1895"/>
      <c r="U184" s="1895"/>
      <c r="V184" s="1895"/>
      <c r="W184" s="1895"/>
      <c r="X184" s="1895"/>
      <c r="Y184" s="1895"/>
      <c r="Z184" s="1895"/>
      <c r="AA184" s="1895"/>
      <c r="AB184" s="1895"/>
      <c r="AC184" s="1895"/>
      <c r="AD184" s="1895"/>
      <c r="AE184" s="1895"/>
      <c r="AF184" s="25"/>
      <c r="AH184" s="25"/>
      <c r="AJ184" s="3"/>
      <c r="AK184" s="3"/>
      <c r="AL184" s="3"/>
      <c r="AM184" s="673"/>
      <c r="AN184" s="673"/>
      <c r="AO184" s="673"/>
      <c r="AP184" s="673"/>
      <c r="AQ184" s="673"/>
      <c r="AR184" s="673"/>
      <c r="AS184" s="673"/>
      <c r="AT184" s="673"/>
      <c r="AU184" s="673"/>
      <c r="AV184" s="673"/>
      <c r="AW184" s="673"/>
      <c r="AX184" s="673"/>
      <c r="AY184" s="673"/>
      <c r="BC184" s="25" t="s">
        <v>611</v>
      </c>
      <c r="BN184" s="36" t="s">
        <v>235</v>
      </c>
      <c r="BT184" s="12" t="s">
        <v>65</v>
      </c>
    </row>
    <row r="185" spans="1:96" ht="13.2">
      <c r="A185" s="25"/>
      <c r="C185" s="45"/>
      <c r="D185" s="25" t="s">
        <v>603</v>
      </c>
      <c r="E185" s="25"/>
      <c r="F185" s="25"/>
      <c r="G185" s="25"/>
      <c r="H185" s="25"/>
      <c r="I185" s="1944" t="s">
        <v>2473</v>
      </c>
      <c r="J185" s="1944"/>
      <c r="K185" s="1944"/>
      <c r="L185" s="1944"/>
      <c r="M185" s="1944"/>
      <c r="N185" s="1944"/>
      <c r="O185" s="1944"/>
      <c r="P185" s="1944"/>
      <c r="Q185" s="1944"/>
      <c r="R185" s="1944"/>
      <c r="S185" s="1944"/>
      <c r="T185" s="1944"/>
      <c r="U185" s="1944"/>
      <c r="V185" s="1944"/>
      <c r="W185" s="1944"/>
      <c r="X185" s="1944"/>
      <c r="Y185" s="1944"/>
      <c r="Z185" s="1944"/>
      <c r="AA185" s="1944"/>
      <c r="AB185" s="1944"/>
      <c r="AC185" s="1944"/>
      <c r="AD185" s="1944"/>
      <c r="AE185" s="1944"/>
      <c r="AF185" s="25"/>
      <c r="AH185" s="25"/>
      <c r="AJ185" s="3"/>
      <c r="AK185" s="3"/>
      <c r="AL185" s="3"/>
      <c r="AM185" s="673"/>
      <c r="AN185" s="673"/>
      <c r="AO185" s="673"/>
      <c r="AP185" s="673"/>
      <c r="AQ185" s="673"/>
      <c r="AR185" s="673"/>
      <c r="AS185" s="673"/>
      <c r="AT185" s="673"/>
      <c r="AU185" s="673"/>
      <c r="AV185" s="673"/>
      <c r="AW185" s="673"/>
      <c r="AX185" s="673"/>
      <c r="AY185" s="673"/>
      <c r="BC185" s="25" t="s">
        <v>612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2">
      <c r="A187" s="25"/>
      <c r="C187" s="45"/>
      <c r="D187" s="25"/>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2">
      <c r="A188" s="25"/>
      <c r="C188" s="45"/>
      <c r="D188" s="25"/>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2">
      <c r="A189" s="25"/>
      <c r="C189" s="45"/>
      <c r="D189" s="25" t="s">
        <v>604</v>
      </c>
      <c r="E189" s="25"/>
      <c r="I189" s="1894" t="s">
        <v>758</v>
      </c>
      <c r="J189" s="1894"/>
      <c r="K189" s="1894"/>
      <c r="L189" s="1894"/>
      <c r="M189" s="1894"/>
      <c r="N189" s="1894"/>
      <c r="O189" s="1894"/>
      <c r="P189" s="1894"/>
      <c r="Q189" s="25" t="s">
        <v>606</v>
      </c>
      <c r="T189" s="1894" t="s">
        <v>758</v>
      </c>
      <c r="U189" s="1894"/>
      <c r="V189" s="1894"/>
      <c r="W189" s="1894"/>
      <c r="X189" s="1894"/>
      <c r="Y189" s="1894"/>
      <c r="Z189" s="1894"/>
      <c r="AA189" s="1894"/>
      <c r="AB189" s="1894"/>
      <c r="AC189" s="1894"/>
      <c r="AD189" s="1894"/>
      <c r="AE189" s="1894"/>
      <c r="AH189" s="25"/>
      <c r="AJ189" s="3"/>
      <c r="AK189" s="3"/>
      <c r="AL189" s="3"/>
      <c r="AM189" s="673"/>
      <c r="AN189" s="673"/>
      <c r="AO189" s="673"/>
      <c r="AP189" s="673"/>
      <c r="AQ189" s="673"/>
      <c r="AR189" s="673"/>
      <c r="AS189" s="673"/>
      <c r="AT189" s="673"/>
      <c r="AU189" s="673"/>
      <c r="AV189" s="673"/>
      <c r="AW189" s="673"/>
      <c r="AX189" s="673"/>
      <c r="AY189" s="673"/>
      <c r="BC189" s="711" t="s">
        <v>312</v>
      </c>
      <c r="BH189" s="58" t="s">
        <v>615</v>
      </c>
      <c r="BN189" s="36" t="s">
        <v>241</v>
      </c>
      <c r="BT189" s="12" t="s">
        <v>70</v>
      </c>
    </row>
    <row r="190" spans="1:96" ht="13.2">
      <c r="A190" s="25"/>
      <c r="C190" s="46"/>
      <c r="D190" s="25" t="s">
        <v>607</v>
      </c>
      <c r="E190" s="25"/>
      <c r="F190" s="25"/>
      <c r="G190" s="25"/>
      <c r="I190" s="1944">
        <v>94124</v>
      </c>
      <c r="J190" s="1944"/>
      <c r="K190" s="1944"/>
      <c r="L190" s="1944"/>
      <c r="M190" s="1944"/>
      <c r="N190" s="1944"/>
      <c r="O190" s="25" t="s">
        <v>609</v>
      </c>
      <c r="P190" s="25"/>
      <c r="Q190" s="25"/>
      <c r="R190" s="25"/>
      <c r="S190" s="25"/>
      <c r="T190" s="2071">
        <v>9806</v>
      </c>
      <c r="U190" s="2071"/>
      <c r="V190" s="2071"/>
      <c r="W190" s="2071"/>
      <c r="X190" s="2071"/>
      <c r="Y190" s="2071"/>
      <c r="Z190" s="2071"/>
      <c r="AA190" s="2071"/>
      <c r="AB190" s="2071"/>
      <c r="AC190" s="2071"/>
      <c r="AD190" s="2071"/>
      <c r="AE190" s="2071"/>
      <c r="AF190" s="25"/>
      <c r="AH190" s="25"/>
      <c r="AJ190" s="3"/>
      <c r="AK190" s="3"/>
      <c r="AL190" s="3"/>
      <c r="AM190" s="673"/>
      <c r="AN190" s="673"/>
      <c r="AO190" s="673"/>
      <c r="AP190" s="673"/>
      <c r="AQ190" s="673"/>
      <c r="AR190" s="673"/>
      <c r="AS190" s="673"/>
      <c r="AT190" s="673"/>
      <c r="AU190" s="673"/>
      <c r="AV190" s="673"/>
      <c r="AW190" s="673"/>
      <c r="AX190" s="673"/>
      <c r="AY190" s="673"/>
      <c r="BC190" s="711" t="s">
        <v>1119</v>
      </c>
      <c r="BH190" s="711" t="s">
        <v>1119</v>
      </c>
      <c r="BN190" s="36" t="s">
        <v>659</v>
      </c>
      <c r="BT190" s="12" t="s">
        <v>71</v>
      </c>
    </row>
    <row r="191" spans="1:96" ht="13.2">
      <c r="A191" s="25"/>
      <c r="C191" s="46"/>
      <c r="D191" s="25" t="s">
        <v>485</v>
      </c>
      <c r="E191" s="25"/>
      <c r="F191" s="25"/>
      <c r="G191" s="25"/>
      <c r="H191" s="25"/>
      <c r="I191" s="25"/>
      <c r="J191" s="25"/>
      <c r="K191" s="25"/>
      <c r="L191" s="25"/>
      <c r="M191" s="25"/>
      <c r="N191" s="1942" t="s">
        <v>2601</v>
      </c>
      <c r="O191" s="1942"/>
      <c r="P191" s="1942"/>
      <c r="Q191" s="1942"/>
      <c r="R191" s="1942"/>
      <c r="S191" s="1942"/>
      <c r="T191" s="1942"/>
      <c r="U191" s="1942"/>
      <c r="V191" s="1942"/>
      <c r="W191" s="1942"/>
      <c r="X191" s="1942"/>
      <c r="Y191" s="1942"/>
      <c r="Z191" s="1942"/>
      <c r="AA191" s="1942"/>
      <c r="AB191" s="1942"/>
      <c r="AC191" s="1942"/>
      <c r="AD191" s="1942"/>
      <c r="AE191" s="1942"/>
      <c r="AF191" s="25"/>
      <c r="AH191" s="25"/>
      <c r="AJ191" s="3"/>
      <c r="AK191" s="3"/>
      <c r="AL191" s="3"/>
      <c r="AM191" s="673"/>
      <c r="AN191" s="673"/>
      <c r="AO191" s="673"/>
      <c r="AP191" s="673"/>
      <c r="AQ191" s="673"/>
      <c r="AR191" s="673"/>
      <c r="AS191" s="673"/>
      <c r="AT191" s="673"/>
      <c r="AU191" s="673"/>
      <c r="AV191" s="673"/>
      <c r="AW191" s="673"/>
      <c r="AX191" s="673"/>
      <c r="AY191" s="673"/>
      <c r="BC191" s="711" t="s">
        <v>1118</v>
      </c>
      <c r="BH191" s="711" t="s">
        <v>1118</v>
      </c>
      <c r="BN191" s="36" t="s">
        <v>713</v>
      </c>
      <c r="BT191" s="12" t="s">
        <v>755</v>
      </c>
    </row>
    <row r="192" spans="1:96" ht="13.2">
      <c r="A192" s="25"/>
      <c r="C192" s="46"/>
      <c r="D192" s="25"/>
      <c r="E192" s="25"/>
      <c r="F192" s="25"/>
      <c r="G192" s="25"/>
      <c r="H192" s="25"/>
      <c r="I192" s="25"/>
      <c r="J192" s="25"/>
      <c r="K192" s="25"/>
      <c r="L192" s="25"/>
      <c r="M192" s="170"/>
      <c r="N192" s="1943"/>
      <c r="O192" s="1943"/>
      <c r="P192" s="1943"/>
      <c r="Q192" s="1943"/>
      <c r="R192" s="1943"/>
      <c r="S192" s="1943"/>
      <c r="T192" s="1943"/>
      <c r="U192" s="1943"/>
      <c r="V192" s="1943"/>
      <c r="W192" s="1943"/>
      <c r="X192" s="1943"/>
      <c r="Y192" s="1943"/>
      <c r="Z192" s="1943"/>
      <c r="AA192" s="1943"/>
      <c r="AB192" s="1943"/>
      <c r="AC192" s="1943"/>
      <c r="AD192" s="1943"/>
      <c r="AE192" s="1943"/>
      <c r="AF192" s="25"/>
      <c r="AH192" s="25"/>
      <c r="AJ192" s="3"/>
      <c r="AK192" s="3"/>
      <c r="AL192" s="3"/>
      <c r="AM192" s="673"/>
      <c r="AN192" s="673"/>
      <c r="AO192" s="673"/>
      <c r="AP192" s="673"/>
      <c r="AQ192" s="673"/>
      <c r="AR192" s="673"/>
      <c r="AS192" s="673"/>
      <c r="AT192" s="673"/>
      <c r="AU192" s="673"/>
      <c r="AV192" s="673"/>
      <c r="AW192" s="673"/>
      <c r="AX192" s="673"/>
      <c r="AY192" s="673"/>
      <c r="BC192" s="711" t="s">
        <v>1121</v>
      </c>
      <c r="BH192" s="58" t="s">
        <v>1829</v>
      </c>
      <c r="BN192" s="36" t="s">
        <v>714</v>
      </c>
      <c r="BT192" s="12" t="s">
        <v>756</v>
      </c>
    </row>
    <row r="193" spans="1:96" ht="13.2">
      <c r="A193" s="25"/>
      <c r="B193" s="711"/>
      <c r="C193" s="46"/>
      <c r="D193" s="679" t="s">
        <v>2689</v>
      </c>
      <c r="E193" s="25"/>
      <c r="F193" s="25"/>
      <c r="G193" s="25"/>
      <c r="H193" s="25"/>
      <c r="I193" s="25"/>
      <c r="J193" s="25"/>
      <c r="K193" s="25"/>
      <c r="L193" s="25"/>
      <c r="M193" s="170"/>
      <c r="N193" s="941"/>
      <c r="O193" s="941"/>
      <c r="P193" s="941"/>
      <c r="Q193" s="941"/>
      <c r="R193" s="941"/>
      <c r="S193" s="941"/>
      <c r="T193" s="2085" t="s">
        <v>2560</v>
      </c>
      <c r="U193" s="2085"/>
      <c r="V193" s="2085"/>
      <c r="W193" s="2085"/>
      <c r="X193" s="2085"/>
      <c r="Y193" s="2085"/>
      <c r="Z193" s="2085"/>
      <c r="AA193" s="2085"/>
      <c r="AB193" s="2085"/>
      <c r="AC193" s="2085"/>
      <c r="AD193" s="2085"/>
      <c r="AE193" s="2085"/>
      <c r="AF193" s="2085"/>
      <c r="AG193" s="2085"/>
      <c r="AH193" s="2085"/>
      <c r="AI193" s="2085"/>
      <c r="AJ193" s="673"/>
      <c r="AK193" s="673"/>
      <c r="AL193" s="673"/>
      <c r="AM193" s="673"/>
      <c r="AN193" s="673"/>
      <c r="AO193" s="673"/>
      <c r="AP193" s="673"/>
      <c r="AQ193" s="673"/>
      <c r="AR193" s="673"/>
      <c r="AS193" s="673"/>
      <c r="AT193" s="673"/>
      <c r="AU193" s="673"/>
      <c r="AV193" s="673"/>
      <c r="AW193" s="673"/>
      <c r="AX193" s="673"/>
      <c r="AY193" s="673"/>
      <c r="BC193" s="711" t="s">
        <v>1120</v>
      </c>
      <c r="BH193" s="58" t="s">
        <v>1830</v>
      </c>
      <c r="BN193" s="36" t="s">
        <v>715</v>
      </c>
      <c r="BT193" s="12" t="s">
        <v>757</v>
      </c>
    </row>
    <row r="194" spans="1:96" ht="13.2">
      <c r="A194" s="25"/>
      <c r="C194" s="46"/>
      <c r="D194" s="25" t="s">
        <v>336</v>
      </c>
      <c r="E194" s="25"/>
      <c r="F194" s="25"/>
      <c r="G194" s="25"/>
      <c r="H194" s="25"/>
      <c r="I194" s="25"/>
      <c r="J194" s="25"/>
      <c r="K194" s="25"/>
      <c r="L194" s="25"/>
      <c r="M194" s="25"/>
      <c r="N194" s="25"/>
      <c r="O194" s="25"/>
      <c r="P194" s="25"/>
      <c r="Q194" s="25"/>
      <c r="R194" s="25"/>
      <c r="T194" s="1893" t="s">
        <v>693</v>
      </c>
      <c r="U194" s="1893"/>
      <c r="W194" s="25" t="s">
        <v>709</v>
      </c>
      <c r="X194" s="25"/>
      <c r="Y194" s="25"/>
      <c r="Z194" s="25"/>
      <c r="AA194" s="25"/>
      <c r="AB194" s="25"/>
      <c r="AC194" s="25"/>
      <c r="AD194" s="25"/>
      <c r="AE194" s="25"/>
      <c r="AF194" s="25"/>
      <c r="AG194" s="25"/>
      <c r="AH194" s="1893">
        <v>12</v>
      </c>
      <c r="AI194" s="1893"/>
      <c r="AJ194" s="3"/>
      <c r="AK194" s="3"/>
      <c r="AL194" s="3"/>
      <c r="AM194" s="673"/>
      <c r="AN194" s="673"/>
      <c r="AO194" s="673"/>
      <c r="AP194" s="673"/>
      <c r="AQ194" s="673"/>
      <c r="AR194" s="673"/>
      <c r="AS194" s="673"/>
      <c r="AT194" s="673"/>
      <c r="AU194" s="673"/>
      <c r="AV194" s="673"/>
      <c r="AW194" s="673"/>
      <c r="AX194" s="673"/>
      <c r="AY194" s="673"/>
      <c r="BC194" s="711" t="s">
        <v>1554</v>
      </c>
      <c r="BN194" s="36" t="s">
        <v>716</v>
      </c>
      <c r="BT194" s="12" t="s">
        <v>758</v>
      </c>
    </row>
    <row r="195" spans="1:96" s="711" customFormat="1" ht="13.2">
      <c r="A195" s="25"/>
      <c r="B195" s="12"/>
      <c r="C195" s="46"/>
      <c r="D195" s="25" t="s">
        <v>399</v>
      </c>
      <c r="E195" s="25"/>
      <c r="F195" s="25"/>
      <c r="G195" s="25"/>
      <c r="H195" s="25"/>
      <c r="I195" s="25"/>
      <c r="J195" s="25"/>
      <c r="K195" s="25"/>
      <c r="L195" s="25"/>
      <c r="M195" s="25"/>
      <c r="N195" s="25"/>
      <c r="O195" s="25"/>
      <c r="P195" s="25"/>
      <c r="Q195" s="25"/>
      <c r="R195" s="25"/>
      <c r="S195" s="12"/>
      <c r="T195" s="1915" t="s">
        <v>568</v>
      </c>
      <c r="U195" s="1915"/>
      <c r="V195" s="12"/>
      <c r="W195" s="25" t="s">
        <v>710</v>
      </c>
      <c r="X195" s="25"/>
      <c r="Y195" s="25"/>
      <c r="Z195" s="25"/>
      <c r="AA195" s="25"/>
      <c r="AB195" s="25"/>
      <c r="AC195" s="25"/>
      <c r="AD195" s="25"/>
      <c r="AE195" s="25"/>
      <c r="AF195" s="25"/>
      <c r="AG195" s="25"/>
      <c r="AH195" s="1893">
        <v>17</v>
      </c>
      <c r="AI195" s="1893"/>
      <c r="AJ195" s="3"/>
      <c r="AK195" s="3"/>
      <c r="AL195" s="3"/>
      <c r="AM195" s="673"/>
      <c r="AN195" s="673"/>
      <c r="AO195" s="673"/>
      <c r="AP195" s="673"/>
      <c r="AQ195" s="673"/>
      <c r="AR195" s="673"/>
      <c r="AS195" s="673"/>
      <c r="AT195" s="673"/>
      <c r="AU195" s="673"/>
      <c r="AV195" s="673"/>
      <c r="AW195" s="673"/>
      <c r="AX195" s="673"/>
      <c r="AY195" s="673"/>
      <c r="BC195" s="711" t="s">
        <v>2168</v>
      </c>
      <c r="BN195" s="36" t="s">
        <v>247</v>
      </c>
      <c r="BT195" s="12" t="s">
        <v>759</v>
      </c>
      <c r="CR195" s="25"/>
    </row>
    <row r="196" spans="1:96" ht="13.2">
      <c r="A196" s="25"/>
      <c r="C196" s="46"/>
      <c r="D196" s="177" t="s">
        <v>173</v>
      </c>
      <c r="E196" s="25"/>
      <c r="F196" s="25"/>
      <c r="G196" s="25"/>
      <c r="H196" s="25"/>
      <c r="I196" s="25"/>
      <c r="J196" s="25"/>
      <c r="K196" s="25"/>
      <c r="L196" s="25"/>
      <c r="M196" s="25"/>
      <c r="N196" s="25"/>
      <c r="O196" s="25"/>
      <c r="P196" s="25"/>
      <c r="Q196" s="25"/>
      <c r="R196" s="25"/>
      <c r="T196" s="1915" t="s">
        <v>693</v>
      </c>
      <c r="U196" s="1915"/>
      <c r="W196" s="25" t="s">
        <v>711</v>
      </c>
      <c r="X196" s="25"/>
      <c r="Y196" s="25"/>
      <c r="Z196" s="25"/>
      <c r="AA196" s="25"/>
      <c r="AB196" s="25"/>
      <c r="AC196" s="25"/>
      <c r="AD196" s="25"/>
      <c r="AE196" s="25"/>
      <c r="AF196" s="25"/>
      <c r="AG196" s="25"/>
      <c r="AH196" s="1893">
        <v>11</v>
      </c>
      <c r="AI196" s="1893"/>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1854</v>
      </c>
      <c r="E197" s="25"/>
      <c r="F197" s="25"/>
      <c r="G197" s="25"/>
      <c r="H197" s="25"/>
      <c r="I197" s="25"/>
      <c r="J197" s="25"/>
      <c r="K197" s="25"/>
      <c r="L197" s="25"/>
      <c r="M197" s="25"/>
      <c r="N197" s="25"/>
      <c r="O197" s="25"/>
      <c r="P197" s="25"/>
      <c r="Q197" s="25"/>
      <c r="R197" s="25"/>
      <c r="S197" s="711"/>
      <c r="T197" s="1915" t="s">
        <v>615</v>
      </c>
      <c r="U197" s="191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2690</v>
      </c>
      <c r="Y198" s="1893" t="s">
        <v>693</v>
      </c>
      <c r="Z198" s="189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920</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919</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974</v>
      </c>
      <c r="E200" s="25"/>
      <c r="F200" s="25"/>
      <c r="G200" s="25"/>
      <c r="H200" s="25"/>
      <c r="I200" s="25"/>
      <c r="J200" s="25"/>
      <c r="K200" s="25"/>
      <c r="L200" s="25"/>
      <c r="M200" s="25"/>
      <c r="N200" s="25"/>
      <c r="O200" s="25"/>
      <c r="P200" s="25"/>
      <c r="Q200" s="25"/>
      <c r="R200" s="25"/>
      <c r="S200" s="39"/>
      <c r="T200" s="235"/>
      <c r="U200" s="235"/>
      <c r="V200" s="39"/>
      <c r="W200" s="333" t="s">
        <v>973</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1144</v>
      </c>
      <c r="BD200" s="675"/>
      <c r="BE200" s="21"/>
      <c r="BF200" s="21"/>
      <c r="BN200" s="36" t="s">
        <v>725</v>
      </c>
      <c r="BO200" s="12"/>
      <c r="BP200" s="12"/>
      <c r="BQ200" s="12"/>
      <c r="BR200" s="12"/>
      <c r="BS200" s="12"/>
      <c r="BT200" s="54" t="s">
        <v>198</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635</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1145</v>
      </c>
      <c r="BD202" s="675"/>
      <c r="BN202" s="36" t="s">
        <v>727</v>
      </c>
      <c r="BO202" s="51"/>
      <c r="BP202" s="54"/>
      <c r="BQ202" s="54"/>
      <c r="BR202" s="54"/>
      <c r="BS202" s="54"/>
      <c r="BT202" s="55" t="s">
        <v>200</v>
      </c>
    </row>
    <row r="203" spans="1:96" ht="12.75" customHeight="1">
      <c r="A203" s="25"/>
      <c r="C203" s="25"/>
      <c r="D203" s="1895" t="s">
        <v>398</v>
      </c>
      <c r="E203" s="1895"/>
      <c r="F203" s="1895"/>
      <c r="G203" s="1895"/>
      <c r="H203" s="1895"/>
      <c r="I203" s="1895"/>
      <c r="J203" s="1895"/>
      <c r="K203" s="1895"/>
      <c r="L203" s="1895"/>
      <c r="M203" s="1895"/>
      <c r="P203" s="2068">
        <f>M26</f>
        <v>3414683</v>
      </c>
      <c r="Q203" s="2069"/>
      <c r="R203" s="2069"/>
      <c r="S203" s="2069"/>
      <c r="T203" s="2069"/>
      <c r="U203" s="2069"/>
      <c r="V203" s="25"/>
      <c r="W203" s="25"/>
      <c r="X203" s="25"/>
      <c r="Y203" s="25"/>
      <c r="Z203" s="2087" t="s">
        <v>1344</v>
      </c>
      <c r="AA203" s="2087"/>
      <c r="AB203" s="2087"/>
      <c r="AC203" s="2087"/>
      <c r="AD203" s="2087"/>
      <c r="AE203" s="2087"/>
      <c r="AF203" s="2087"/>
      <c r="AG203" s="25"/>
      <c r="AH203" s="25"/>
      <c r="AI203" s="25"/>
      <c r="AJ203" s="3"/>
      <c r="AK203" s="3"/>
      <c r="AL203" s="3"/>
      <c r="AM203" s="673"/>
      <c r="AN203" s="673"/>
      <c r="AO203" s="673"/>
      <c r="AP203" s="673"/>
      <c r="AQ203" s="673"/>
      <c r="AR203" s="673"/>
      <c r="AS203" s="673"/>
      <c r="AT203" s="673"/>
      <c r="AU203" s="673"/>
      <c r="AV203" s="673"/>
      <c r="AW203" s="673"/>
      <c r="AX203" s="673"/>
      <c r="AY203" s="673"/>
      <c r="BC203" s="673" t="s">
        <v>1146</v>
      </c>
      <c r="BD203" s="672"/>
      <c r="BN203" s="36" t="s">
        <v>728</v>
      </c>
      <c r="BO203" s="51"/>
      <c r="BP203" s="54"/>
      <c r="BQ203" s="54"/>
      <c r="BR203" s="54"/>
      <c r="BS203" s="55"/>
      <c r="BT203" s="55" t="s">
        <v>201</v>
      </c>
    </row>
    <row r="204" spans="1:96" ht="12.75" customHeight="1">
      <c r="A204" s="25"/>
      <c r="C204" s="45"/>
      <c r="D204" s="2086" t="s">
        <v>1420</v>
      </c>
      <c r="E204" s="1895"/>
      <c r="F204" s="1895"/>
      <c r="G204" s="1895"/>
      <c r="H204" s="1895"/>
      <c r="I204" s="1895"/>
      <c r="J204" s="1895"/>
      <c r="K204" s="1895"/>
      <c r="L204" s="1895"/>
      <c r="M204" s="1895"/>
      <c r="P204" s="2069">
        <f>M27</f>
        <v>0</v>
      </c>
      <c r="Q204" s="2069"/>
      <c r="R204" s="2069"/>
      <c r="S204" s="2069"/>
      <c r="T204" s="2069"/>
      <c r="U204" s="2069"/>
      <c r="V204" s="47"/>
      <c r="W204" s="58" t="s">
        <v>2029</v>
      </c>
      <c r="Z204" s="2087"/>
      <c r="AA204" s="2087"/>
      <c r="AB204" s="2087"/>
      <c r="AC204" s="2087"/>
      <c r="AD204" s="2087"/>
      <c r="AE204" s="2087"/>
      <c r="AF204" s="2087"/>
      <c r="AG204" s="25" t="s">
        <v>1421</v>
      </c>
      <c r="AH204" s="25"/>
      <c r="AI204" s="25"/>
      <c r="AJ204" s="25"/>
      <c r="AK204" s="25"/>
      <c r="AL204" s="25"/>
      <c r="AM204" s="25"/>
      <c r="AN204" s="25"/>
      <c r="AO204" s="25"/>
      <c r="AP204" s="1893" t="s">
        <v>693</v>
      </c>
      <c r="AQ204" s="1893"/>
      <c r="AR204" s="673"/>
      <c r="AS204" s="673"/>
      <c r="AT204" s="673"/>
      <c r="AU204" s="673"/>
      <c r="AV204" s="673"/>
      <c r="AW204" s="673"/>
      <c r="AX204" s="673"/>
      <c r="AY204" s="673"/>
      <c r="BC204" s="676" t="s">
        <v>634</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088"/>
      <c r="AA205" s="2088"/>
      <c r="AB205" s="2088"/>
      <c r="AC205" s="2088"/>
      <c r="AD205" s="2088"/>
      <c r="AE205" s="2088"/>
      <c r="AF205" s="2088"/>
      <c r="AH205" s="25"/>
      <c r="AJ205" s="3"/>
      <c r="AK205" s="3"/>
      <c r="AL205" s="3"/>
      <c r="AM205" s="673"/>
      <c r="AN205" s="673"/>
      <c r="AO205" s="673"/>
      <c r="AP205" s="673"/>
      <c r="AQ205" s="673"/>
      <c r="AR205" s="673"/>
      <c r="AS205" s="673"/>
      <c r="AT205" s="673"/>
      <c r="AU205" s="673"/>
      <c r="AV205" s="673"/>
      <c r="AW205" s="673"/>
      <c r="AX205" s="673"/>
      <c r="AY205" s="673"/>
      <c r="BC205" s="676" t="s">
        <v>1103</v>
      </c>
      <c r="BD205" s="672"/>
      <c r="BN205" s="36" t="s">
        <v>114</v>
      </c>
      <c r="BT205" s="55" t="s">
        <v>178</v>
      </c>
      <c r="BU205" s="51"/>
    </row>
    <row r="206" spans="1:96" ht="13.2">
      <c r="A206" s="49" t="s">
        <v>613</v>
      </c>
      <c r="C206" s="49" t="s">
        <v>574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1147</v>
      </c>
      <c r="BD206" s="672"/>
      <c r="BN206" s="36" t="s">
        <v>115</v>
      </c>
      <c r="BT206" s="55" t="s">
        <v>203</v>
      </c>
      <c r="BU206" s="56"/>
    </row>
    <row r="207" spans="1:96" ht="13.2">
      <c r="A207" s="25"/>
      <c r="C207" s="45"/>
      <c r="D207" s="2046" t="s">
        <v>2561</v>
      </c>
      <c r="E207" s="2046"/>
      <c r="F207" s="2046"/>
      <c r="G207" s="2046"/>
      <c r="H207" s="2046"/>
      <c r="I207" s="2046"/>
      <c r="J207" s="2046"/>
      <c r="K207" s="2046"/>
      <c r="L207" s="2046"/>
      <c r="M207" s="20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1378</v>
      </c>
      <c r="BD207" s="672"/>
      <c r="BN207" s="36" t="s">
        <v>48</v>
      </c>
      <c r="BT207" s="55" t="s">
        <v>204</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1148</v>
      </c>
      <c r="BD208" s="672"/>
      <c r="BN208" s="36" t="s">
        <v>49</v>
      </c>
      <c r="BT208" s="55" t="s">
        <v>205</v>
      </c>
    </row>
    <row r="209" spans="1:96" ht="13.2">
      <c r="A209" s="50" t="s">
        <v>614</v>
      </c>
      <c r="C209" s="50" t="s">
        <v>401</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2">
      <c r="C210" s="45"/>
      <c r="D210" s="2046" t="s">
        <v>2168</v>
      </c>
      <c r="E210" s="2046"/>
      <c r="F210" s="2046"/>
      <c r="G210" s="2046"/>
      <c r="H210" s="2046"/>
      <c r="I210" s="2046"/>
      <c r="J210" s="2046"/>
      <c r="K210" s="2046"/>
      <c r="L210" s="2046"/>
      <c r="M210" s="204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2">
      <c r="A211" s="711"/>
      <c r="B211" s="711"/>
      <c r="C211" s="45"/>
      <c r="D211" s="711" t="s">
        <v>1410</v>
      </c>
      <c r="E211" s="711"/>
      <c r="F211" s="711"/>
      <c r="G211" s="711"/>
      <c r="H211" s="711"/>
      <c r="I211" s="711"/>
      <c r="J211" s="711"/>
      <c r="K211" s="711"/>
      <c r="L211" s="711"/>
      <c r="M211" s="711"/>
      <c r="N211" s="711"/>
      <c r="O211" s="711"/>
      <c r="P211" s="711"/>
      <c r="Q211" s="711"/>
      <c r="R211" s="711"/>
      <c r="S211" s="711"/>
      <c r="T211" s="711"/>
      <c r="U211" s="711"/>
      <c r="V211" s="711"/>
      <c r="W211" s="711"/>
      <c r="X211" s="711"/>
      <c r="Y211" s="1893">
        <v>0</v>
      </c>
      <c r="Z211" s="189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1828</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2">
      <c r="D213" s="1946" t="s">
        <v>615</v>
      </c>
      <c r="E213" s="1946"/>
      <c r="F213" s="1946"/>
      <c r="G213" s="1946"/>
      <c r="H213" s="1946"/>
      <c r="I213" s="1946"/>
      <c r="J213" s="1946"/>
      <c r="K213" s="1946"/>
      <c r="L213" s="1946"/>
      <c r="M213" s="1946"/>
      <c r="N213" s="1946"/>
      <c r="O213" s="1946"/>
      <c r="P213" s="1946"/>
      <c r="Q213" s="1946"/>
      <c r="R213" s="1946"/>
      <c r="S213" s="1946"/>
      <c r="T213" s="1946"/>
      <c r="U213" s="1946"/>
      <c r="V213" s="1946"/>
      <c r="W213" s="1946"/>
      <c r="X213" s="1946"/>
      <c r="Y213" s="1946"/>
      <c r="Z213" s="1946"/>
      <c r="AG213" s="673"/>
      <c r="AJ213" s="673"/>
      <c r="AK213" s="673"/>
      <c r="AL213" s="673"/>
      <c r="AM213" s="673"/>
      <c r="AN213" s="673"/>
      <c r="AO213" s="673"/>
      <c r="AP213" s="673"/>
      <c r="AQ213" s="673"/>
      <c r="AR213" s="673"/>
      <c r="AS213" s="673"/>
      <c r="AT213" s="673"/>
      <c r="AU213" s="673"/>
      <c r="AV213" s="673"/>
      <c r="AW213" s="673"/>
      <c r="AX213" s="673"/>
      <c r="AY213" s="673"/>
      <c r="BC213" s="12" t="s">
        <v>549</v>
      </c>
      <c r="BN213" s="36" t="s">
        <v>53</v>
      </c>
      <c r="BT213" s="55" t="s">
        <v>209</v>
      </c>
      <c r="CR213" s="25"/>
    </row>
    <row r="214" spans="1:96" ht="13.2">
      <c r="A214" s="711"/>
      <c r="B214" s="711"/>
      <c r="C214" s="711"/>
      <c r="D214" s="58" t="s">
        <v>1855</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1863" t="s">
        <v>615</v>
      </c>
      <c r="AC214" s="1863"/>
      <c r="AD214" s="1863"/>
      <c r="AE214" s="1863"/>
      <c r="AF214" s="1863"/>
      <c r="AG214" s="1863"/>
      <c r="AH214" s="1863"/>
      <c r="AI214" s="1863"/>
      <c r="AJ214" s="1863"/>
      <c r="AK214" s="1863"/>
      <c r="AL214" s="1863"/>
      <c r="AM214" s="46"/>
      <c r="AN214" s="46"/>
      <c r="AO214" s="46"/>
      <c r="AP214" s="46"/>
      <c r="AQ214" s="46"/>
      <c r="AR214" s="46"/>
      <c r="AS214" s="46"/>
      <c r="AT214" s="46"/>
      <c r="AU214" s="46"/>
      <c r="AV214" s="46"/>
      <c r="AW214" s="46"/>
      <c r="AX214" s="46"/>
      <c r="AY214" s="46"/>
      <c r="AZ214" s="711"/>
      <c r="BA214" s="711"/>
      <c r="BC214" s="12" t="s">
        <v>553</v>
      </c>
      <c r="BN214" s="36" t="s">
        <v>331</v>
      </c>
      <c r="BT214" s="55" t="s">
        <v>210</v>
      </c>
    </row>
    <row r="215" spans="1:96" s="711" customFormat="1" ht="12.75" customHeight="1">
      <c r="A215" s="12"/>
      <c r="B215" s="12"/>
      <c r="C215" s="12"/>
      <c r="D215" s="58" t="s">
        <v>1853</v>
      </c>
      <c r="Z215" s="69"/>
      <c r="AB215" s="1863"/>
      <c r="AC215" s="1863"/>
      <c r="AD215" s="1863"/>
      <c r="AE215" s="1863"/>
      <c r="AF215" s="1863"/>
      <c r="AG215" s="1863"/>
      <c r="AH215" s="1863"/>
      <c r="AI215" s="1863"/>
      <c r="AJ215" s="1863"/>
      <c r="AK215" s="1863"/>
      <c r="AL215" s="1863"/>
      <c r="AM215" s="46"/>
      <c r="AN215" s="46"/>
      <c r="AO215" s="46"/>
      <c r="AP215" s="46"/>
      <c r="AQ215" s="46"/>
      <c r="AR215" s="46"/>
      <c r="AS215" s="46"/>
      <c r="AT215" s="46"/>
      <c r="AU215" s="46"/>
      <c r="AV215" s="46"/>
      <c r="AW215" s="46"/>
      <c r="AX215" s="46"/>
      <c r="AY215" s="46"/>
      <c r="BC215" s="39" t="s">
        <v>550</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589</v>
      </c>
      <c r="CR216" s="25"/>
    </row>
    <row r="217" spans="1:96" s="711" customFormat="1" ht="13.2">
      <c r="A217" s="497" t="s">
        <v>616</v>
      </c>
      <c r="B217" s="39"/>
      <c r="C217" s="497" t="s">
        <v>1386</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551</v>
      </c>
      <c r="CR217" s="25"/>
    </row>
    <row r="218" spans="1:96" ht="13.2">
      <c r="A218" s="50"/>
      <c r="C218" s="50"/>
      <c r="D218" s="7" t="s">
        <v>1056</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552</v>
      </c>
    </row>
    <row r="219" spans="1:96" s="39" customFormat="1" ht="12.75" customHeight="1">
      <c r="A219" s="50"/>
      <c r="B219" s="12"/>
      <c r="C219" s="50"/>
      <c r="D219" s="2046" t="s">
        <v>683</v>
      </c>
      <c r="E219" s="2046"/>
      <c r="F219" s="2046"/>
      <c r="G219" s="2046"/>
      <c r="H219" s="2046"/>
      <c r="I219" s="2046"/>
      <c r="J219" s="2046"/>
      <c r="K219" s="2046"/>
      <c r="L219" s="2046"/>
      <c r="M219" s="2046"/>
      <c r="N219" s="2046"/>
      <c r="O219" s="2046"/>
      <c r="P219" s="2046"/>
      <c r="Q219" s="2046"/>
      <c r="R219" s="2046"/>
      <c r="S219" s="2046"/>
      <c r="T219" s="2046"/>
      <c r="U219" s="2046"/>
      <c r="V219" s="2046"/>
      <c r="W219" s="2046"/>
      <c r="X219" s="2046"/>
      <c r="Y219" s="2046"/>
      <c r="Z219" s="204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390</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2">
      <c r="A221" s="1939" t="s">
        <v>563</v>
      </c>
      <c r="B221" s="1939"/>
      <c r="C221" s="1939"/>
      <c r="D221" s="1939"/>
      <c r="E221" s="1939"/>
      <c r="F221" s="1939"/>
      <c r="G221" s="1939"/>
      <c r="H221" s="1939"/>
      <c r="I221" s="1939"/>
      <c r="J221" s="1939"/>
      <c r="K221" s="1939"/>
      <c r="L221" s="1939"/>
      <c r="M221" s="1939"/>
      <c r="N221" s="1939"/>
      <c r="O221" s="1939"/>
      <c r="P221" s="1939"/>
      <c r="Q221" s="1939"/>
      <c r="R221" s="1939"/>
      <c r="S221" s="1939"/>
      <c r="T221" s="1939"/>
      <c r="U221" s="1939"/>
      <c r="V221" s="1939"/>
      <c r="W221" s="1939"/>
      <c r="X221" s="1939"/>
      <c r="Y221" s="1939"/>
      <c r="Z221" s="1939"/>
      <c r="AA221" s="1939"/>
      <c r="AB221" s="1939"/>
      <c r="AC221" s="1939"/>
      <c r="AD221" s="1939"/>
      <c r="AE221" s="1939"/>
      <c r="AF221" s="1939"/>
      <c r="AG221" s="1939"/>
      <c r="AH221" s="1939"/>
      <c r="AI221" s="1939"/>
      <c r="AJ221" s="1939"/>
      <c r="AK221" s="1939"/>
      <c r="AL221" s="1939"/>
      <c r="AM221" s="144"/>
      <c r="AN221" s="144"/>
      <c r="AO221" s="144"/>
      <c r="AP221" s="144"/>
      <c r="AQ221" s="144"/>
      <c r="AR221" s="144"/>
      <c r="AS221" s="144"/>
      <c r="AT221" s="144"/>
      <c r="AU221" s="144"/>
      <c r="AV221" s="144"/>
      <c r="AW221" s="144"/>
      <c r="AX221" s="144"/>
      <c r="AY221" s="144"/>
      <c r="BA221" s="58"/>
    </row>
    <row r="222" spans="1:96" ht="13.8" thickBot="1">
      <c r="A222" s="1940"/>
      <c r="B222" s="1940"/>
      <c r="C222" s="1940"/>
      <c r="D222" s="1940"/>
      <c r="E222" s="1940"/>
      <c r="F222" s="1940"/>
      <c r="G222" s="1940"/>
      <c r="H222" s="1940"/>
      <c r="I222" s="1940"/>
      <c r="J222" s="1940"/>
      <c r="K222" s="1940"/>
      <c r="L222" s="1940"/>
      <c r="M222" s="1940"/>
      <c r="N222" s="1940"/>
      <c r="O222" s="1940"/>
      <c r="P222" s="1940"/>
      <c r="Q222" s="1940"/>
      <c r="R222" s="1940"/>
      <c r="S222" s="1940"/>
      <c r="T222" s="1940"/>
      <c r="U222" s="1940"/>
      <c r="V222" s="1940"/>
      <c r="W222" s="1940"/>
      <c r="X222" s="1940"/>
      <c r="Y222" s="1940"/>
      <c r="Z222" s="1940"/>
      <c r="AA222" s="1940"/>
      <c r="AB222" s="1940"/>
      <c r="AC222" s="1940"/>
      <c r="AD222" s="1940"/>
      <c r="AE222" s="1940"/>
      <c r="AF222" s="1940"/>
      <c r="AG222" s="1940"/>
      <c r="AH222" s="1940"/>
      <c r="AI222" s="1940"/>
      <c r="AJ222" s="1940"/>
      <c r="AK222" s="1940"/>
      <c r="AL222" s="1940"/>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324</v>
      </c>
      <c r="B224" s="50"/>
      <c r="C224" s="50" t="s">
        <v>2691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93" t="s">
        <v>615</v>
      </c>
      <c r="AJ225" s="1893"/>
      <c r="AL225" s="58"/>
      <c r="AM225" s="239"/>
      <c r="AN225" s="239"/>
      <c r="AO225" s="239"/>
      <c r="AP225" s="239"/>
      <c r="AQ225" s="239"/>
      <c r="AR225" s="239"/>
      <c r="AS225" s="239"/>
      <c r="AT225" s="239"/>
      <c r="AU225" s="239"/>
      <c r="AV225" s="239"/>
      <c r="AW225" s="239"/>
      <c r="AX225" s="239"/>
      <c r="AY225" s="239"/>
      <c r="BO225" s="61"/>
    </row>
    <row r="226" spans="1:69" ht="13.2">
      <c r="B226" s="30"/>
      <c r="D226" s="7" t="s">
        <v>577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93" t="s">
        <v>615</v>
      </c>
      <c r="AJ226" s="1893"/>
      <c r="AL226" s="58"/>
      <c r="AM226" s="239"/>
      <c r="AN226" s="239"/>
      <c r="AO226" s="239"/>
      <c r="AP226" s="239"/>
      <c r="AQ226" s="239"/>
      <c r="AR226" s="239"/>
      <c r="AS226" s="239"/>
      <c r="AT226" s="239"/>
      <c r="AU226" s="239"/>
      <c r="AV226" s="239"/>
      <c r="AW226" s="239"/>
      <c r="AX226" s="239"/>
      <c r="AY226" s="239"/>
      <c r="AZ226" s="7"/>
      <c r="BB226" s="379" t="s">
        <v>561</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93" t="s">
        <v>568</v>
      </c>
      <c r="AJ227" s="1893"/>
      <c r="AL227" s="58"/>
      <c r="AM227" s="239"/>
      <c r="AN227" s="239"/>
      <c r="AO227" s="239"/>
      <c r="AP227" s="239"/>
      <c r="AQ227" s="239"/>
      <c r="AR227" s="239"/>
      <c r="AS227" s="239"/>
      <c r="AT227" s="239"/>
      <c r="AU227" s="239"/>
      <c r="AV227" s="239"/>
      <c r="AW227" s="239"/>
      <c r="AX227" s="239"/>
      <c r="AY227" s="239"/>
      <c r="BA227" s="58"/>
      <c r="BB227" s="379" t="s">
        <v>561</v>
      </c>
      <c r="BG227" s="386">
        <f>IF(AND(AND($M$248="for profit",$M$256="nonprofit",$M$264="for profit")),2,0)</f>
        <v>0</v>
      </c>
      <c r="BQ227" s="61"/>
    </row>
    <row r="228" spans="1:69" ht="13.2">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93" t="s">
        <v>615</v>
      </c>
      <c r="AJ228" s="1893"/>
      <c r="AL228" s="58"/>
      <c r="AM228" s="239"/>
      <c r="AN228" s="239"/>
      <c r="AO228" s="239"/>
      <c r="AP228" s="239"/>
      <c r="AQ228" s="239"/>
      <c r="AR228" s="239"/>
      <c r="AS228" s="239"/>
      <c r="AT228" s="239"/>
      <c r="AU228" s="239"/>
      <c r="AV228" s="239"/>
      <c r="AW228" s="239"/>
      <c r="AX228" s="239"/>
      <c r="AY228" s="239"/>
      <c r="AZ228" s="7"/>
      <c r="BA228" s="58"/>
      <c r="BB228" s="380" t="s">
        <v>561</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561</v>
      </c>
      <c r="BG229" s="386">
        <f>IF(AND(AND($M$248="for profit",$M$256="nonprofit",$M$264="(select one)")),2,0)</f>
        <v>0</v>
      </c>
      <c r="BO229" s="61"/>
    </row>
    <row r="230" spans="1:69" ht="13.2">
      <c r="A230" s="50" t="s">
        <v>600</v>
      </c>
      <c r="B230" s="30"/>
      <c r="C230" s="50" t="s">
        <v>2692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561</v>
      </c>
      <c r="BG230" s="385">
        <f>IF(AND(AND($M$248="nonprofit",$M$256="for profit",$M$264="(select one)")),2,0)</f>
        <v>0</v>
      </c>
      <c r="BO230" s="61"/>
    </row>
    <row r="231" spans="1:69" ht="13.2">
      <c r="D231" s="57" t="s">
        <v>493</v>
      </c>
      <c r="E231" s="57"/>
      <c r="F231" s="57"/>
      <c r="G231" s="57"/>
      <c r="H231" s="57"/>
      <c r="I231" s="57"/>
      <c r="J231" s="57"/>
      <c r="K231" s="7"/>
      <c r="M231" s="2072" t="str">
        <f>H16</f>
        <v>Hunters Point Block 56, L.P.</v>
      </c>
      <c r="N231" s="2072"/>
      <c r="O231" s="2072"/>
      <c r="P231" s="2072"/>
      <c r="Q231" s="2072"/>
      <c r="R231" s="2072"/>
      <c r="S231" s="2072"/>
      <c r="T231" s="2072"/>
      <c r="U231" s="2072"/>
      <c r="V231" s="2072"/>
      <c r="W231" s="2072"/>
      <c r="X231" s="2072"/>
      <c r="Y231" s="2072"/>
      <c r="Z231" s="2072"/>
      <c r="AA231" s="2072"/>
      <c r="AB231" s="2072"/>
      <c r="AC231" s="2072"/>
      <c r="AD231" s="2072"/>
      <c r="AE231" s="2072"/>
      <c r="AF231" s="2072"/>
      <c r="AG231" s="2072"/>
      <c r="AH231" s="2072"/>
      <c r="AI231" s="2072"/>
      <c r="AJ231" s="2072"/>
      <c r="AK231" s="2072"/>
      <c r="BA231" s="58"/>
      <c r="BB231" s="381"/>
      <c r="BG231" s="384"/>
      <c r="BQ231" s="61"/>
    </row>
    <row r="232" spans="1:69" ht="13.2">
      <c r="D232" s="57" t="s">
        <v>90</v>
      </c>
      <c r="E232" s="57"/>
      <c r="F232" s="57"/>
      <c r="G232" s="57"/>
      <c r="H232" s="57"/>
      <c r="I232" s="57"/>
      <c r="J232" s="57"/>
      <c r="K232" s="7"/>
      <c r="M232" s="2024" t="s">
        <v>2477</v>
      </c>
      <c r="N232" s="2046"/>
      <c r="O232" s="2046"/>
      <c r="P232" s="2046"/>
      <c r="Q232" s="2046"/>
      <c r="R232" s="2046"/>
      <c r="S232" s="2046"/>
      <c r="T232" s="2046"/>
      <c r="U232" s="2046"/>
      <c r="V232" s="2046"/>
      <c r="W232" s="2046"/>
      <c r="X232" s="2046"/>
      <c r="Y232" s="2046"/>
      <c r="Z232" s="2046"/>
      <c r="AA232" s="2046"/>
      <c r="AB232" s="2046"/>
      <c r="AC232" s="2046"/>
      <c r="AD232" s="2046"/>
      <c r="AE232" s="2046"/>
      <c r="AZ232" s="7"/>
      <c r="BA232" s="58"/>
      <c r="BB232" s="334" t="s">
        <v>561</v>
      </c>
      <c r="BG232" s="386">
        <f>IF(AND(AND($M$248="nonprofit",$M$256="nonprofit",$M$264="for profit")),2,0)</f>
        <v>0</v>
      </c>
      <c r="BQ232" s="61"/>
    </row>
    <row r="233" spans="1:69" ht="13.2">
      <c r="D233" s="57" t="s">
        <v>604</v>
      </c>
      <c r="E233" s="57"/>
      <c r="M233" s="2024" t="s">
        <v>758</v>
      </c>
      <c r="N233" s="2046"/>
      <c r="O233" s="2046"/>
      <c r="P233" s="2046"/>
      <c r="Q233" s="2046"/>
      <c r="R233" s="2046"/>
      <c r="S233" s="2046"/>
      <c r="T233" s="2046"/>
      <c r="V233" s="59" t="s">
        <v>91</v>
      </c>
      <c r="W233" s="1973" t="s">
        <v>2478</v>
      </c>
      <c r="X233" s="1885"/>
      <c r="Y233" s="57" t="s">
        <v>607</v>
      </c>
      <c r="AC233" s="2046">
        <v>94102</v>
      </c>
      <c r="AD233" s="2046"/>
      <c r="AE233" s="2046"/>
      <c r="BB233" s="334" t="s">
        <v>561</v>
      </c>
      <c r="BG233" s="386">
        <f>IF(AND(AND($M$248="nonprofit",$M$256="for profit",$M$264="nonprofit")),2,0)</f>
        <v>0</v>
      </c>
    </row>
    <row r="234" spans="1:69" ht="13.2">
      <c r="D234" s="60" t="s">
        <v>92</v>
      </c>
      <c r="E234" s="7"/>
      <c r="F234" s="7"/>
      <c r="G234" s="7"/>
      <c r="H234" s="7"/>
      <c r="I234" s="7"/>
      <c r="J234" s="7"/>
      <c r="K234" s="29"/>
      <c r="M234" s="2024" t="s">
        <v>2479</v>
      </c>
      <c r="N234" s="2046"/>
      <c r="O234" s="2046"/>
      <c r="P234" s="2046"/>
      <c r="Q234" s="2046"/>
      <c r="R234" s="2046"/>
      <c r="S234" s="2046"/>
      <c r="T234" s="2046"/>
      <c r="U234" s="2046"/>
      <c r="V234" s="2046"/>
      <c r="W234" s="2046"/>
      <c r="X234" s="2046"/>
      <c r="Y234" s="2046"/>
      <c r="Z234" s="2046"/>
      <c r="AA234" s="2046"/>
      <c r="AB234" s="2046"/>
      <c r="AC234" s="2046"/>
      <c r="AD234" s="2046"/>
      <c r="AE234" s="2046"/>
      <c r="AI234" s="7"/>
      <c r="AJ234" s="7"/>
      <c r="AK234" s="7"/>
      <c r="AL234" s="7"/>
      <c r="AM234" s="130"/>
      <c r="AN234" s="130"/>
      <c r="AO234" s="130"/>
      <c r="AP234" s="130"/>
      <c r="AQ234" s="130"/>
      <c r="AR234" s="130"/>
      <c r="AS234" s="130"/>
      <c r="AT234" s="130"/>
      <c r="AU234" s="130"/>
      <c r="AV234" s="130"/>
      <c r="AW234" s="130"/>
      <c r="AX234" s="130"/>
      <c r="AY234" s="130"/>
      <c r="AZ234" s="7"/>
      <c r="BB234" s="334" t="s">
        <v>561</v>
      </c>
      <c r="BG234" s="385">
        <f>IF(AND(AND($M$248="for profit",$M$256="nonprofit",$M$264="nonprofit")),2,0)</f>
        <v>0</v>
      </c>
      <c r="BO234" s="61"/>
    </row>
    <row r="235" spans="1:69" ht="13.2">
      <c r="D235" s="60" t="s">
        <v>93</v>
      </c>
      <c r="E235" s="7"/>
      <c r="F235" s="7"/>
      <c r="M235" s="1975" t="s">
        <v>2480</v>
      </c>
      <c r="N235" s="1919"/>
      <c r="O235" s="1919"/>
      <c r="P235" s="1919"/>
      <c r="Q235" s="1919"/>
      <c r="R235" s="1919"/>
      <c r="S235" s="7" t="s">
        <v>211</v>
      </c>
      <c r="T235" s="7"/>
      <c r="U235" s="1885"/>
      <c r="V235" s="1885"/>
      <c r="W235" s="1885"/>
      <c r="X235" s="7" t="s">
        <v>94</v>
      </c>
      <c r="Z235" s="1975" t="s">
        <v>2481</v>
      </c>
      <c r="AA235" s="1919"/>
      <c r="AB235" s="1919"/>
      <c r="AC235" s="1919"/>
      <c r="AD235" s="1919"/>
      <c r="AE235" s="1919"/>
      <c r="BB235" s="382"/>
      <c r="BG235" s="383"/>
    </row>
    <row r="236" spans="1:69" ht="13.2">
      <c r="D236" s="60" t="s">
        <v>95</v>
      </c>
      <c r="E236" s="7"/>
      <c r="F236" s="7"/>
      <c r="M236" s="2050" t="s">
        <v>2482</v>
      </c>
      <c r="N236" s="2050"/>
      <c r="O236" s="2050"/>
      <c r="P236" s="2050"/>
      <c r="Q236" s="2050"/>
      <c r="R236" s="2050"/>
      <c r="S236" s="2050"/>
      <c r="T236" s="2050"/>
      <c r="U236" s="2050"/>
      <c r="V236" s="2050"/>
      <c r="W236" s="2050"/>
      <c r="X236" s="2050"/>
      <c r="Y236" s="2050"/>
      <c r="Z236" s="2050"/>
      <c r="AA236" s="2050"/>
      <c r="AB236" s="2050"/>
      <c r="AC236" s="2050"/>
      <c r="AD236" s="2050"/>
      <c r="AE236" s="20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560</v>
      </c>
      <c r="BG236" s="386">
        <f>IF(AND(AND($M$248="nonprofit",$M$256="nonprofit",$M$264="(select one)")),1,0)</f>
        <v>1</v>
      </c>
    </row>
    <row r="237" spans="1:69" ht="13.2">
      <c r="A237" s="50" t="s">
        <v>610</v>
      </c>
      <c r="C237" s="37" t="s">
        <v>548</v>
      </c>
      <c r="M237" s="1944" t="s">
        <v>551</v>
      </c>
      <c r="N237" s="1944"/>
      <c r="O237" s="1944"/>
      <c r="P237" s="1944"/>
      <c r="Q237" s="1944"/>
      <c r="R237" s="1944"/>
      <c r="S237" s="1944"/>
      <c r="T237" s="1944"/>
      <c r="U237" s="384" t="s">
        <v>955</v>
      </c>
      <c r="V237" s="325"/>
      <c r="W237" s="325"/>
      <c r="X237" s="325"/>
      <c r="Y237" s="325"/>
      <c r="Z237" s="325"/>
      <c r="AA237" s="2063" t="s">
        <v>2489</v>
      </c>
      <c r="AB237" s="2064"/>
      <c r="AC237" s="2064"/>
      <c r="AD237" s="2064"/>
      <c r="AE237" s="2064"/>
      <c r="AF237" s="2064"/>
      <c r="AG237" s="2064"/>
      <c r="AH237" s="2064"/>
      <c r="AI237" s="2064"/>
      <c r="AJ237" s="2064"/>
      <c r="AK237" s="2064"/>
      <c r="AL237" s="58"/>
      <c r="AM237" s="239"/>
      <c r="AN237" s="239"/>
      <c r="AO237" s="239"/>
      <c r="AP237" s="239"/>
      <c r="AQ237" s="239"/>
      <c r="AR237" s="239"/>
      <c r="AS237" s="239"/>
      <c r="AT237" s="239"/>
      <c r="AU237" s="239"/>
      <c r="AV237" s="239"/>
      <c r="AW237" s="239"/>
      <c r="AX237" s="239"/>
      <c r="AY237" s="239"/>
      <c r="BB237" s="380" t="s">
        <v>560</v>
      </c>
      <c r="BG237" s="386">
        <f>IF(AND(AND($M$248="nonprofit",$M$256="nonprofit",$M$264="nonprofit")),1,0)</f>
        <v>0</v>
      </c>
    </row>
    <row r="238" spans="1:69" ht="13.2">
      <c r="D238" s="12" t="s">
        <v>554</v>
      </c>
      <c r="M238" s="1894"/>
      <c r="N238" s="1894"/>
      <c r="O238" s="1894"/>
      <c r="P238" s="1894"/>
      <c r="Q238" s="1894"/>
      <c r="R238" s="1894"/>
      <c r="S238" s="1894"/>
      <c r="T238" s="1894"/>
      <c r="U238" s="1894"/>
      <c r="V238" s="1894"/>
      <c r="W238" s="1894"/>
      <c r="X238" s="1894"/>
      <c r="Y238" s="1894"/>
      <c r="Z238" s="1894"/>
      <c r="AA238" s="1894"/>
      <c r="AB238" s="1894"/>
      <c r="AC238" s="1894"/>
      <c r="AD238" s="1894"/>
      <c r="AE238" s="189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560</v>
      </c>
      <c r="BG238" s="386">
        <f>IF(AND(AND($M$248="nonprofit",$M$256="(select one)",$M$264="(select one)")),1,0)</f>
        <v>0</v>
      </c>
      <c r="BN238" s="61"/>
    </row>
    <row r="239" spans="1:69" ht="13.2">
      <c r="D239" s="60"/>
      <c r="K239" s="3"/>
      <c r="BB239" s="380" t="s">
        <v>922</v>
      </c>
      <c r="BG239" s="386">
        <f>IF(AND(AND($M$248="for profit",$M$256="for profit",$M$264="(select one)")),3,0)</f>
        <v>0</v>
      </c>
    </row>
    <row r="240" spans="1:69" ht="13.2">
      <c r="A240" s="50" t="s">
        <v>613</v>
      </c>
      <c r="C240" s="50" t="s">
        <v>1343</v>
      </c>
      <c r="D240" s="60"/>
      <c r="K240" s="3"/>
      <c r="L240" s="14"/>
      <c r="M240" s="14"/>
      <c r="N240" s="14"/>
      <c r="BB240" s="380" t="s">
        <v>922</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922</v>
      </c>
      <c r="BG241" s="386">
        <f>IF(AND(AND($M$248="for profit",$M$256="(select one)",$M$264="(select one)")),3,0)</f>
        <v>0</v>
      </c>
    </row>
    <row r="242" spans="1:72" ht="13.2">
      <c r="A242" s="29"/>
      <c r="B242" s="7"/>
      <c r="C242" s="136" t="s">
        <v>496</v>
      </c>
      <c r="D242" s="57" t="s">
        <v>555</v>
      </c>
      <c r="E242" s="57"/>
      <c r="F242" s="57"/>
      <c r="G242" s="57"/>
      <c r="H242" s="57"/>
      <c r="I242" s="57"/>
      <c r="J242" s="57"/>
      <c r="K242" s="57"/>
      <c r="L242" s="7"/>
      <c r="M242" s="2060" t="s">
        <v>2474</v>
      </c>
      <c r="N242" s="2061"/>
      <c r="O242" s="2061"/>
      <c r="P242" s="2061"/>
      <c r="Q242" s="2061"/>
      <c r="R242" s="2061"/>
      <c r="S242" s="2061"/>
      <c r="T242" s="2061"/>
      <c r="U242" s="2061"/>
      <c r="V242" s="2061"/>
      <c r="W242" s="2061"/>
      <c r="X242" s="2061"/>
      <c r="Y242" s="2061"/>
      <c r="Z242" s="2061"/>
      <c r="AA242" s="2061"/>
      <c r="AB242" s="2061"/>
      <c r="AC242" s="2061"/>
      <c r="AD242" s="2061"/>
      <c r="AE242" s="2061"/>
      <c r="AF242" s="2061" t="s">
        <v>2475</v>
      </c>
      <c r="AG242" s="2061"/>
      <c r="AH242" s="2061"/>
      <c r="AI242" s="2061"/>
      <c r="AJ242" s="2061"/>
      <c r="AK242" s="2061"/>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024" t="s">
        <v>2477</v>
      </c>
      <c r="N243" s="2046"/>
      <c r="O243" s="2046"/>
      <c r="P243" s="2046"/>
      <c r="Q243" s="2046"/>
      <c r="R243" s="2046"/>
      <c r="S243" s="2046"/>
      <c r="T243" s="2046"/>
      <c r="U243" s="2046"/>
      <c r="V243" s="2046"/>
      <c r="W243" s="2046"/>
      <c r="X243" s="2046"/>
      <c r="Y243" s="2046"/>
      <c r="Z243" s="2046"/>
      <c r="AA243" s="2046"/>
      <c r="AB243" s="2046"/>
      <c r="AC243" s="2046"/>
      <c r="AD243" s="2046"/>
      <c r="AE243" s="2046"/>
      <c r="AF243" s="58" t="s">
        <v>1339</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604</v>
      </c>
      <c r="E244" s="57"/>
      <c r="M244" s="2024" t="s">
        <v>758</v>
      </c>
      <c r="N244" s="2046"/>
      <c r="O244" s="2046"/>
      <c r="P244" s="2046"/>
      <c r="Q244" s="2046"/>
      <c r="R244" s="2046"/>
      <c r="S244" s="2046"/>
      <c r="T244" s="2046"/>
      <c r="V244" s="59" t="s">
        <v>91</v>
      </c>
      <c r="W244" s="1973" t="s">
        <v>2478</v>
      </c>
      <c r="X244" s="1885"/>
      <c r="Y244" s="57" t="s">
        <v>607</v>
      </c>
      <c r="AC244" s="2046">
        <v>94102</v>
      </c>
      <c r="AD244" s="2046"/>
      <c r="AE244" s="2046"/>
      <c r="AF244" s="58" t="s">
        <v>1340</v>
      </c>
      <c r="AG244" s="711"/>
      <c r="AH244" s="711"/>
      <c r="AI244" s="711"/>
      <c r="AJ244" s="711"/>
      <c r="AK244" s="711"/>
      <c r="BB244" s="12" t="s">
        <v>312</v>
      </c>
      <c r="BG244" s="12">
        <v>1</v>
      </c>
      <c r="BH244" s="12" t="s">
        <v>557</v>
      </c>
      <c r="BM244" s="25"/>
      <c r="BN244" s="3"/>
      <c r="BO244" s="3"/>
    </row>
    <row r="245" spans="1:72" ht="13.2">
      <c r="A245" s="29"/>
      <c r="B245" s="7"/>
      <c r="C245" s="7"/>
      <c r="D245" s="60" t="s">
        <v>92</v>
      </c>
      <c r="E245" s="7"/>
      <c r="F245" s="7"/>
      <c r="G245" s="7"/>
      <c r="H245" s="7"/>
      <c r="I245" s="7"/>
      <c r="J245" s="7"/>
      <c r="K245" s="7"/>
      <c r="L245" s="29"/>
      <c r="M245" s="2024" t="s">
        <v>2485</v>
      </c>
      <c r="N245" s="2046"/>
      <c r="O245" s="2046"/>
      <c r="P245" s="2046"/>
      <c r="Q245" s="2046"/>
      <c r="R245" s="2046"/>
      <c r="S245" s="2046"/>
      <c r="T245" s="2046"/>
      <c r="U245" s="2046"/>
      <c r="V245" s="2046"/>
      <c r="W245" s="2046"/>
      <c r="X245" s="2046"/>
      <c r="Y245" s="2046"/>
      <c r="Z245" s="2046"/>
      <c r="AA245" s="2046"/>
      <c r="AB245" s="2046"/>
      <c r="AC245" s="2046"/>
      <c r="AD245" s="2046"/>
      <c r="AE245" s="2046"/>
      <c r="AH245" s="1957">
        <v>5.0000000000000001E-3</v>
      </c>
      <c r="AI245" s="1957"/>
      <c r="AJ245" s="1957"/>
      <c r="AK245" s="1957"/>
      <c r="AL245" s="7"/>
      <c r="AM245" s="130"/>
      <c r="AN245" s="130"/>
      <c r="AO245" s="130"/>
      <c r="AP245" s="130"/>
      <c r="AQ245" s="130"/>
      <c r="AR245" s="130"/>
      <c r="AS245" s="130"/>
      <c r="AT245" s="130"/>
      <c r="AU245" s="130"/>
      <c r="AV245" s="130"/>
      <c r="AW245" s="130"/>
      <c r="AX245" s="130"/>
      <c r="AY245" s="130"/>
      <c r="BB245" s="7" t="s">
        <v>285</v>
      </c>
      <c r="BG245" s="12">
        <v>2</v>
      </c>
      <c r="BH245" s="12" t="s">
        <v>589</v>
      </c>
      <c r="BN245" s="3"/>
      <c r="BO245" s="378" t="str">
        <f>VLOOKUP(BG243,BG244:BH246,2,FALSE)</f>
        <v>Nonprofit</v>
      </c>
    </row>
    <row r="246" spans="1:72" ht="13.2">
      <c r="A246" s="29"/>
      <c r="B246" s="7"/>
      <c r="C246" s="7"/>
      <c r="D246" s="60" t="s">
        <v>93</v>
      </c>
      <c r="E246" s="7"/>
      <c r="F246" s="7"/>
      <c r="M246" s="1975" t="s">
        <v>2486</v>
      </c>
      <c r="N246" s="1919"/>
      <c r="O246" s="1919"/>
      <c r="P246" s="1919"/>
      <c r="Q246" s="1919"/>
      <c r="R246" s="1919"/>
      <c r="S246" s="7" t="s">
        <v>211</v>
      </c>
      <c r="T246" s="7"/>
      <c r="U246" s="1885"/>
      <c r="V246" s="1885"/>
      <c r="W246" s="1885"/>
      <c r="X246" s="7" t="s">
        <v>94</v>
      </c>
      <c r="Z246" s="1975" t="s">
        <v>2487</v>
      </c>
      <c r="AA246" s="1919"/>
      <c r="AB246" s="1919"/>
      <c r="AC246" s="1919"/>
      <c r="AD246" s="1919"/>
      <c r="AE246" s="1919"/>
      <c r="BB246" s="7" t="s">
        <v>177</v>
      </c>
      <c r="BG246" s="12">
        <v>3</v>
      </c>
      <c r="BH246" s="12" t="s">
        <v>559</v>
      </c>
      <c r="BN246" s="387"/>
      <c r="BO246" s="39"/>
    </row>
    <row r="247" spans="1:72" ht="13.2">
      <c r="A247" s="29"/>
      <c r="B247" s="7"/>
      <c r="C247" s="7"/>
      <c r="D247" s="60" t="s">
        <v>95</v>
      </c>
      <c r="E247" s="7"/>
      <c r="F247" s="7"/>
      <c r="M247" s="2050" t="s">
        <v>2488</v>
      </c>
      <c r="N247" s="2050"/>
      <c r="O247" s="2050"/>
      <c r="P247" s="2050"/>
      <c r="Q247" s="2050"/>
      <c r="R247" s="2050"/>
      <c r="S247" s="2050"/>
      <c r="T247" s="2050"/>
      <c r="U247" s="2050"/>
      <c r="V247" s="2050"/>
      <c r="W247" s="2050"/>
      <c r="X247" s="2050"/>
      <c r="Y247" s="2050"/>
      <c r="Z247" s="2050"/>
      <c r="AA247" s="2050"/>
      <c r="AB247" s="2050"/>
      <c r="AC247" s="2050"/>
      <c r="AD247" s="2050"/>
      <c r="AE247" s="20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558</v>
      </c>
      <c r="E248" s="7"/>
      <c r="F248" s="7"/>
      <c r="G248" s="7"/>
      <c r="H248" s="7"/>
      <c r="I248" s="7"/>
      <c r="J248" s="7"/>
      <c r="K248" s="7"/>
      <c r="L248" s="7"/>
      <c r="M248" s="1944" t="s">
        <v>557</v>
      </c>
      <c r="N248" s="1944"/>
      <c r="O248" s="1944"/>
      <c r="P248" s="1944"/>
      <c r="Q248" s="1944"/>
      <c r="R248" s="1944"/>
      <c r="S248" s="1944"/>
      <c r="T248" s="1944"/>
      <c r="U248" s="384" t="s">
        <v>955</v>
      </c>
      <c r="V248" s="325"/>
      <c r="W248" s="325"/>
      <c r="X248" s="325"/>
      <c r="Y248" s="325"/>
      <c r="Z248" s="325"/>
      <c r="AA248" s="2063" t="s">
        <v>2489</v>
      </c>
      <c r="AB248" s="2064"/>
      <c r="AC248" s="2064"/>
      <c r="AD248" s="2064"/>
      <c r="AE248" s="2064"/>
      <c r="AF248" s="2064"/>
      <c r="AG248" s="2064"/>
      <c r="AH248" s="2064"/>
      <c r="AI248" s="2064"/>
      <c r="AJ248" s="2064"/>
      <c r="AK248" s="2064"/>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1011</v>
      </c>
      <c r="E250" s="57"/>
      <c r="F250" s="57"/>
      <c r="G250" s="57"/>
      <c r="H250" s="57"/>
      <c r="I250" s="57"/>
      <c r="J250" s="57"/>
      <c r="K250" s="57"/>
      <c r="L250" s="7"/>
      <c r="M250" s="2060" t="s">
        <v>2602</v>
      </c>
      <c r="N250" s="2061"/>
      <c r="O250" s="2061"/>
      <c r="P250" s="2061"/>
      <c r="Q250" s="2061"/>
      <c r="R250" s="2061"/>
      <c r="S250" s="2061"/>
      <c r="T250" s="2061"/>
      <c r="U250" s="2061"/>
      <c r="V250" s="2061"/>
      <c r="W250" s="2061"/>
      <c r="X250" s="2061"/>
      <c r="Y250" s="2061"/>
      <c r="Z250" s="2061"/>
      <c r="AA250" s="2061"/>
      <c r="AB250" s="2061"/>
      <c r="AC250" s="2061"/>
      <c r="AD250" s="2061"/>
      <c r="AE250" s="2061"/>
      <c r="AF250" s="2061" t="s">
        <v>2475</v>
      </c>
      <c r="AG250" s="2061"/>
      <c r="AH250" s="2061"/>
      <c r="AI250" s="2061"/>
      <c r="AJ250" s="2061"/>
      <c r="AK250" s="2061"/>
      <c r="BN250" s="61"/>
    </row>
    <row r="251" spans="1:72" ht="13.2">
      <c r="A251" s="29"/>
      <c r="B251" s="7"/>
      <c r="C251" s="7"/>
      <c r="D251" s="57" t="s">
        <v>90</v>
      </c>
      <c r="E251" s="57"/>
      <c r="F251" s="57"/>
      <c r="G251" s="57"/>
      <c r="H251" s="57"/>
      <c r="I251" s="57"/>
      <c r="J251" s="57"/>
      <c r="K251" s="57"/>
      <c r="L251" s="7"/>
      <c r="M251" s="2024" t="s">
        <v>2518</v>
      </c>
      <c r="N251" s="2046"/>
      <c r="O251" s="2046"/>
      <c r="P251" s="2046"/>
      <c r="Q251" s="2046"/>
      <c r="R251" s="2046"/>
      <c r="S251" s="2046"/>
      <c r="T251" s="2046"/>
      <c r="U251" s="2046"/>
      <c r="V251" s="2046"/>
      <c r="W251" s="2046"/>
      <c r="X251" s="2046"/>
      <c r="Y251" s="2046"/>
      <c r="Z251" s="2046"/>
      <c r="AA251" s="2046"/>
      <c r="AB251" s="2046"/>
      <c r="AC251" s="2046"/>
      <c r="AD251" s="2046"/>
      <c r="AE251" s="2046"/>
      <c r="AF251" s="58" t="s">
        <v>1339</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604</v>
      </c>
      <c r="E252" s="57"/>
      <c r="M252" s="2024" t="s">
        <v>758</v>
      </c>
      <c r="N252" s="2046"/>
      <c r="O252" s="2046"/>
      <c r="P252" s="2046"/>
      <c r="Q252" s="2046"/>
      <c r="R252" s="2046"/>
      <c r="S252" s="2046"/>
      <c r="T252" s="2046"/>
      <c r="V252" s="59" t="s">
        <v>91</v>
      </c>
      <c r="W252" s="1973" t="s">
        <v>2478</v>
      </c>
      <c r="X252" s="1885"/>
      <c r="Y252" s="57" t="s">
        <v>607</v>
      </c>
      <c r="AC252" s="2046">
        <v>94124</v>
      </c>
      <c r="AD252" s="2046"/>
      <c r="AE252" s="2046"/>
      <c r="AF252" s="58" t="s">
        <v>1340</v>
      </c>
      <c r="AG252" s="711"/>
      <c r="AH252" s="711"/>
      <c r="AI252" s="711"/>
      <c r="AJ252" s="711"/>
      <c r="AK252" s="711"/>
      <c r="BN252" s="61"/>
    </row>
    <row r="253" spans="1:72" ht="13.2">
      <c r="A253" s="29"/>
      <c r="B253" s="7"/>
      <c r="C253" s="7"/>
      <c r="D253" s="60" t="s">
        <v>92</v>
      </c>
      <c r="E253" s="7"/>
      <c r="F253" s="7"/>
      <c r="G253" s="7"/>
      <c r="H253" s="7"/>
      <c r="I253" s="7"/>
      <c r="J253" s="7"/>
      <c r="K253" s="7"/>
      <c r="L253" s="29"/>
      <c r="M253" s="2024" t="s">
        <v>2490</v>
      </c>
      <c r="N253" s="2046"/>
      <c r="O253" s="2046"/>
      <c r="P253" s="2046"/>
      <c r="Q253" s="2046"/>
      <c r="R253" s="2046"/>
      <c r="S253" s="2046"/>
      <c r="T253" s="2046"/>
      <c r="U253" s="2046"/>
      <c r="V253" s="2046"/>
      <c r="W253" s="2046"/>
      <c r="X253" s="2046"/>
      <c r="Y253" s="2046"/>
      <c r="Z253" s="2046"/>
      <c r="AA253" s="2046"/>
      <c r="AB253" s="2046"/>
      <c r="AC253" s="2046"/>
      <c r="AD253" s="2046"/>
      <c r="AE253" s="2046"/>
      <c r="AF253" s="711"/>
      <c r="AG253" s="711"/>
      <c r="AH253" s="1957">
        <v>5.0000000000000001E-3</v>
      </c>
      <c r="AI253" s="1957"/>
      <c r="AJ253" s="1957"/>
      <c r="AK253" s="195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1975" t="s">
        <v>2519</v>
      </c>
      <c r="N254" s="1919"/>
      <c r="O254" s="1919"/>
      <c r="P254" s="1919"/>
      <c r="Q254" s="1919"/>
      <c r="R254" s="1919"/>
      <c r="S254" s="7" t="s">
        <v>211</v>
      </c>
      <c r="T254" s="7"/>
      <c r="U254" s="1885"/>
      <c r="V254" s="1885"/>
      <c r="W254" s="1885"/>
      <c r="X254" s="7" t="s">
        <v>94</v>
      </c>
      <c r="Z254" s="1919"/>
      <c r="AA254" s="1919"/>
      <c r="AB254" s="1919"/>
      <c r="AC254" s="1919"/>
      <c r="AD254" s="1919"/>
      <c r="AE254" s="1919"/>
    </row>
    <row r="255" spans="1:72" ht="13.2">
      <c r="A255" s="29"/>
      <c r="B255" s="7"/>
      <c r="C255" s="7"/>
      <c r="D255" s="60" t="s">
        <v>95</v>
      </c>
      <c r="E255" s="7"/>
      <c r="F255" s="7"/>
      <c r="M255" s="2050" t="s">
        <v>2491</v>
      </c>
      <c r="N255" s="2050"/>
      <c r="O255" s="2050"/>
      <c r="P255" s="2050"/>
      <c r="Q255" s="2050"/>
      <c r="R255" s="2050"/>
      <c r="S255" s="2050"/>
      <c r="T255" s="2050"/>
      <c r="U255" s="2050"/>
      <c r="V255" s="2050"/>
      <c r="W255" s="2050"/>
      <c r="X255" s="2050"/>
      <c r="Y255" s="2050"/>
      <c r="Z255" s="2050"/>
      <c r="AA255" s="2050"/>
      <c r="AB255" s="2050"/>
      <c r="AC255" s="2050"/>
      <c r="AD255" s="2050"/>
      <c r="AE255" s="20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558</v>
      </c>
      <c r="E256" s="7"/>
      <c r="F256" s="7"/>
      <c r="G256" s="7"/>
      <c r="H256" s="7"/>
      <c r="I256" s="7"/>
      <c r="J256" s="7"/>
      <c r="K256" s="7"/>
      <c r="L256" s="7"/>
      <c r="M256" s="1944" t="s">
        <v>557</v>
      </c>
      <c r="N256" s="1944"/>
      <c r="O256" s="1944"/>
      <c r="P256" s="1944"/>
      <c r="Q256" s="1944"/>
      <c r="R256" s="1944"/>
      <c r="S256" s="1944"/>
      <c r="T256" s="1944"/>
      <c r="U256" s="384" t="s">
        <v>955</v>
      </c>
      <c r="V256" s="325"/>
      <c r="W256" s="325"/>
      <c r="X256" s="325"/>
      <c r="Y256" s="325"/>
      <c r="Z256" s="325"/>
      <c r="AA256" s="2063" t="s">
        <v>2492</v>
      </c>
      <c r="AB256" s="2064"/>
      <c r="AC256" s="2064"/>
      <c r="AD256" s="2064"/>
      <c r="AE256" s="2064"/>
      <c r="AF256" s="2064"/>
      <c r="AG256" s="2064"/>
      <c r="AH256" s="2064"/>
      <c r="AI256" s="2064"/>
      <c r="AJ256" s="2064"/>
      <c r="AK256" s="206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921</v>
      </c>
      <c r="D258" s="57" t="s">
        <v>555</v>
      </c>
      <c r="E258" s="57"/>
      <c r="F258" s="57"/>
      <c r="G258" s="57"/>
      <c r="H258" s="57"/>
      <c r="I258" s="57"/>
      <c r="J258" s="57"/>
      <c r="K258" s="57"/>
      <c r="L258" s="7"/>
      <c r="M258" s="2061"/>
      <c r="N258" s="2061"/>
      <c r="O258" s="2061"/>
      <c r="P258" s="2061"/>
      <c r="Q258" s="2061"/>
      <c r="R258" s="2061"/>
      <c r="S258" s="2061"/>
      <c r="T258" s="2061"/>
      <c r="U258" s="2061"/>
      <c r="V258" s="2061"/>
      <c r="W258" s="2061"/>
      <c r="X258" s="2061"/>
      <c r="Y258" s="2061"/>
      <c r="Z258" s="2061"/>
      <c r="AA258" s="2061"/>
      <c r="AB258" s="2061"/>
      <c r="AC258" s="2061"/>
      <c r="AD258" s="2061"/>
      <c r="AE258" s="2061"/>
      <c r="AF258" s="2061" t="s">
        <v>312</v>
      </c>
      <c r="AG258" s="2061"/>
      <c r="AH258" s="2061"/>
      <c r="AI258" s="2061"/>
      <c r="AJ258" s="2061"/>
      <c r="AK258" s="206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46"/>
      <c r="N259" s="2046"/>
      <c r="O259" s="2046"/>
      <c r="P259" s="2046"/>
      <c r="Q259" s="2046"/>
      <c r="R259" s="2046"/>
      <c r="S259" s="2046"/>
      <c r="T259" s="2046"/>
      <c r="U259" s="2046"/>
      <c r="V259" s="2046"/>
      <c r="W259" s="2046"/>
      <c r="X259" s="2046"/>
      <c r="Y259" s="2046"/>
      <c r="Z259" s="2046"/>
      <c r="AA259" s="2046"/>
      <c r="AB259" s="2046"/>
      <c r="AC259" s="2046"/>
      <c r="AD259" s="2046"/>
      <c r="AE259" s="2046"/>
      <c r="AF259" s="58" t="s">
        <v>1339</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604</v>
      </c>
      <c r="E260" s="57"/>
      <c r="M260" s="2046"/>
      <c r="N260" s="2046"/>
      <c r="O260" s="2046"/>
      <c r="P260" s="2046"/>
      <c r="Q260" s="2046"/>
      <c r="R260" s="2046"/>
      <c r="S260" s="2046"/>
      <c r="T260" s="2046"/>
      <c r="V260" s="59" t="s">
        <v>91</v>
      </c>
      <c r="W260" s="1885"/>
      <c r="X260" s="1885"/>
      <c r="Y260" s="57" t="s">
        <v>607</v>
      </c>
      <c r="AC260" s="2046"/>
      <c r="AD260" s="2046"/>
      <c r="AE260" s="2046"/>
      <c r="AF260" s="58" t="s">
        <v>1340</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046"/>
      <c r="N261" s="2046"/>
      <c r="O261" s="2046"/>
      <c r="P261" s="2046"/>
      <c r="Q261" s="2046"/>
      <c r="R261" s="2046"/>
      <c r="S261" s="2046"/>
      <c r="T261" s="2046"/>
      <c r="U261" s="2046"/>
      <c r="V261" s="2046"/>
      <c r="W261" s="2046"/>
      <c r="X261" s="2046"/>
      <c r="Y261" s="2046"/>
      <c r="Z261" s="2046"/>
      <c r="AA261" s="2046"/>
      <c r="AB261" s="2046"/>
      <c r="AC261" s="2046"/>
      <c r="AD261" s="2046"/>
      <c r="AE261" s="2046"/>
      <c r="AF261" s="711"/>
      <c r="AG261" s="711"/>
      <c r="AH261" s="1957"/>
      <c r="AI261" s="1957"/>
      <c r="AJ261" s="1957"/>
      <c r="AK261" s="195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1919"/>
      <c r="N262" s="1919"/>
      <c r="O262" s="1919"/>
      <c r="P262" s="1919"/>
      <c r="Q262" s="1919"/>
      <c r="R262" s="1919"/>
      <c r="S262" s="7" t="s">
        <v>211</v>
      </c>
      <c r="T262" s="7"/>
      <c r="U262" s="1885"/>
      <c r="V262" s="1885"/>
      <c r="W262" s="1885"/>
      <c r="X262" s="7" t="s">
        <v>94</v>
      </c>
      <c r="Z262" s="1919"/>
      <c r="AA262" s="1919"/>
      <c r="AB262" s="1919"/>
      <c r="AC262" s="1919"/>
      <c r="AD262" s="1919"/>
      <c r="AE262" s="1919"/>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050"/>
      <c r="N263" s="2050"/>
      <c r="O263" s="2050"/>
      <c r="P263" s="2050"/>
      <c r="Q263" s="2050"/>
      <c r="R263" s="2050"/>
      <c r="S263" s="2050"/>
      <c r="T263" s="2050"/>
      <c r="U263" s="2050"/>
      <c r="V263" s="2050"/>
      <c r="W263" s="2050"/>
      <c r="X263" s="2050"/>
      <c r="Y263" s="2050"/>
      <c r="Z263" s="2050"/>
      <c r="AA263" s="2059"/>
      <c r="AB263" s="2059"/>
      <c r="AC263" s="2059"/>
      <c r="AD263" s="2059"/>
      <c r="AE263" s="20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558</v>
      </c>
      <c r="E264" s="7"/>
      <c r="F264" s="7"/>
      <c r="G264" s="7"/>
      <c r="H264" s="7"/>
      <c r="I264" s="7"/>
      <c r="J264" s="7"/>
      <c r="K264" s="7"/>
      <c r="L264" s="7"/>
      <c r="M264" s="1944" t="s">
        <v>312</v>
      </c>
      <c r="N264" s="1944"/>
      <c r="O264" s="1944"/>
      <c r="P264" s="1944"/>
      <c r="Q264" s="1944"/>
      <c r="R264" s="1944"/>
      <c r="S264" s="1944"/>
      <c r="T264" s="1944"/>
      <c r="U264" s="384" t="s">
        <v>955</v>
      </c>
      <c r="V264" s="325"/>
      <c r="W264" s="325"/>
      <c r="X264" s="325"/>
      <c r="Y264" s="325"/>
      <c r="Z264" s="325"/>
      <c r="AA264" s="2062"/>
      <c r="AB264" s="2062"/>
      <c r="AC264" s="2062"/>
      <c r="AD264" s="2062"/>
      <c r="AE264" s="2062"/>
      <c r="AF264" s="2062"/>
      <c r="AG264" s="2062"/>
      <c r="AH264" s="2062"/>
      <c r="AI264" s="2062"/>
      <c r="AJ264" s="2062"/>
      <c r="AK264" s="206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614</v>
      </c>
      <c r="B266" s="7"/>
      <c r="C266" s="50" t="s">
        <v>300</v>
      </c>
      <c r="D266" s="7"/>
      <c r="E266" s="7"/>
      <c r="F266" s="7"/>
      <c r="G266" s="7"/>
      <c r="H266" s="7"/>
      <c r="I266" s="7"/>
      <c r="J266" s="7"/>
      <c r="K266" s="7"/>
      <c r="L266" s="7"/>
      <c r="M266" s="147"/>
      <c r="N266" s="147"/>
      <c r="O266" s="147"/>
      <c r="P266" s="147"/>
      <c r="Q266" s="147"/>
      <c r="T266" s="2065" t="str">
        <f>BO245</f>
        <v>Nonprofit</v>
      </c>
      <c r="U266" s="2065"/>
      <c r="V266" s="2065"/>
      <c r="W266" s="2065"/>
      <c r="X266" s="2065"/>
      <c r="Z266" s="475" t="s">
        <v>1010</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847</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616</v>
      </c>
      <c r="B268" s="7"/>
      <c r="C268" s="50" t="s">
        <v>176</v>
      </c>
      <c r="D268" s="7"/>
      <c r="E268" s="7"/>
      <c r="F268" s="7"/>
      <c r="G268" s="7"/>
      <c r="H268" s="7"/>
      <c r="I268" s="7"/>
      <c r="J268" s="7"/>
      <c r="K268" s="7"/>
      <c r="L268" s="7"/>
      <c r="M268" s="7"/>
      <c r="N268" s="7"/>
      <c r="O268" s="7"/>
      <c r="P268" s="7"/>
      <c r="Q268" s="7"/>
      <c r="R268" s="7"/>
      <c r="S268" s="7"/>
      <c r="T268" s="7"/>
      <c r="U268" s="7"/>
      <c r="V268" s="7"/>
      <c r="W268" s="7"/>
      <c r="Z268" s="479" t="s">
        <v>1009</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046" t="s">
        <v>285</v>
      </c>
      <c r="E269" s="2046"/>
      <c r="F269" s="2046"/>
      <c r="G269" s="2046"/>
      <c r="H269" s="2046"/>
      <c r="J269" s="12" t="s">
        <v>284</v>
      </c>
      <c r="X269" s="2058"/>
      <c r="Y269" s="2058"/>
      <c r="Z269" s="2058"/>
      <c r="AA269" s="2058"/>
      <c r="AB269" s="2058"/>
      <c r="AC269" s="2058"/>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490</v>
      </c>
      <c r="B272" s="50"/>
      <c r="C272" s="50" t="s">
        <v>646</v>
      </c>
      <c r="D272" s="7"/>
      <c r="E272" s="7"/>
      <c r="F272" s="7"/>
      <c r="G272" s="7"/>
      <c r="H272" s="7"/>
      <c r="I272" s="7"/>
      <c r="J272" s="7"/>
      <c r="K272" s="7"/>
      <c r="L272" s="7"/>
      <c r="M272" s="7"/>
      <c r="N272" s="7"/>
      <c r="O272" s="7"/>
      <c r="P272" s="7"/>
      <c r="Q272" s="7"/>
      <c r="R272" s="7"/>
      <c r="S272" s="7"/>
      <c r="T272" s="7"/>
      <c r="BN272" s="61"/>
    </row>
    <row r="273" spans="1:66" ht="13.2">
      <c r="D273" s="57" t="s">
        <v>301</v>
      </c>
      <c r="E273" s="57"/>
      <c r="F273" s="57"/>
      <c r="G273" s="57"/>
      <c r="H273" s="57"/>
      <c r="I273" s="57"/>
      <c r="J273" s="57"/>
      <c r="K273" s="7"/>
      <c r="L273" s="2060" t="s">
        <v>2476</v>
      </c>
      <c r="M273" s="2061"/>
      <c r="N273" s="2061"/>
      <c r="O273" s="2061"/>
      <c r="P273" s="2061"/>
      <c r="Q273" s="2061"/>
      <c r="R273" s="2061"/>
      <c r="S273" s="2061"/>
      <c r="T273" s="2061"/>
      <c r="U273" s="2061"/>
      <c r="V273" s="2061"/>
      <c r="W273" s="2061"/>
      <c r="X273" s="2061"/>
      <c r="Y273" s="2061"/>
      <c r="Z273" s="2061"/>
      <c r="AA273" s="2061"/>
      <c r="AB273" s="2061"/>
      <c r="AC273" s="2061"/>
      <c r="AD273" s="2061"/>
      <c r="AE273" s="2061"/>
      <c r="AF273" s="2061"/>
      <c r="AG273" s="2061"/>
      <c r="AH273" s="2061"/>
      <c r="AI273" s="2061"/>
      <c r="AJ273" s="206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24" t="s">
        <v>2477</v>
      </c>
      <c r="M274" s="2046"/>
      <c r="N274" s="2046"/>
      <c r="O274" s="2046"/>
      <c r="P274" s="2046"/>
      <c r="Q274" s="2046"/>
      <c r="R274" s="2046"/>
      <c r="S274" s="2046"/>
      <c r="T274" s="2046"/>
      <c r="U274" s="2046"/>
      <c r="V274" s="2046"/>
      <c r="W274" s="2046"/>
      <c r="X274" s="2046"/>
      <c r="Y274" s="2046"/>
      <c r="Z274" s="2046"/>
      <c r="AA274" s="2046"/>
      <c r="AB274" s="2046"/>
      <c r="AC274" s="2046"/>
      <c r="AD274" s="2046"/>
      <c r="AK274" s="58"/>
      <c r="AL274" s="58"/>
      <c r="AM274" s="239"/>
      <c r="AN274" s="239"/>
      <c r="AO274" s="239"/>
      <c r="AP274" s="239"/>
      <c r="AQ274" s="239"/>
      <c r="AR274" s="239"/>
      <c r="AS274" s="239"/>
      <c r="AT274" s="239"/>
      <c r="AU274" s="239"/>
      <c r="AV274" s="239"/>
      <c r="AW274" s="239"/>
      <c r="AX274" s="239"/>
      <c r="AY274" s="239"/>
      <c r="BN274" s="61"/>
    </row>
    <row r="275" spans="1:66" ht="13.2">
      <c r="D275" s="57" t="s">
        <v>604</v>
      </c>
      <c r="E275" s="57"/>
      <c r="L275" s="2024" t="s">
        <v>758</v>
      </c>
      <c r="M275" s="2046"/>
      <c r="N275" s="2046"/>
      <c r="O275" s="2046"/>
      <c r="P275" s="2046"/>
      <c r="Q275" s="2046"/>
      <c r="R275" s="2046"/>
      <c r="S275" s="2046"/>
      <c r="U275" s="59" t="s">
        <v>91</v>
      </c>
      <c r="V275" s="1973" t="s">
        <v>2478</v>
      </c>
      <c r="W275" s="1885"/>
      <c r="X275" s="57" t="s">
        <v>607</v>
      </c>
      <c r="AB275" s="2046">
        <v>94102</v>
      </c>
      <c r="AC275" s="2046"/>
      <c r="AD275" s="20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4" t="s">
        <v>2479</v>
      </c>
      <c r="M276" s="2046"/>
      <c r="N276" s="2046"/>
      <c r="O276" s="2046"/>
      <c r="P276" s="2046"/>
      <c r="Q276" s="2046"/>
      <c r="R276" s="2046"/>
      <c r="S276" s="2046"/>
      <c r="T276" s="2046"/>
      <c r="U276" s="2046"/>
      <c r="V276" s="2046"/>
      <c r="W276" s="2046"/>
      <c r="X276" s="2046"/>
      <c r="Y276" s="2046"/>
      <c r="Z276" s="2046"/>
      <c r="AA276" s="2046"/>
      <c r="AB276" s="2046"/>
      <c r="AC276" s="2046"/>
      <c r="AD276" s="204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1975" t="s">
        <v>2480</v>
      </c>
      <c r="M277" s="1919"/>
      <c r="N277" s="1919"/>
      <c r="O277" s="1919"/>
      <c r="P277" s="1919"/>
      <c r="Q277" s="1919"/>
      <c r="R277" s="7" t="s">
        <v>211</v>
      </c>
      <c r="S277" s="7"/>
      <c r="T277" s="1885"/>
      <c r="U277" s="1885"/>
      <c r="V277" s="1885"/>
      <c r="W277" s="7" t="s">
        <v>94</v>
      </c>
      <c r="Y277" s="1975" t="s">
        <v>2481</v>
      </c>
      <c r="Z277" s="1919"/>
      <c r="AA277" s="1919"/>
      <c r="AB277" s="1919"/>
      <c r="AC277" s="1919"/>
      <c r="AD277" s="1919"/>
      <c r="BN277" s="61"/>
    </row>
    <row r="278" spans="1:66" ht="13.2">
      <c r="D278" s="60" t="s">
        <v>95</v>
      </c>
      <c r="E278" s="7"/>
      <c r="F278" s="7"/>
      <c r="L278" s="2050" t="s">
        <v>2482</v>
      </c>
      <c r="M278" s="2050"/>
      <c r="N278" s="2050"/>
      <c r="O278" s="2050"/>
      <c r="P278" s="2050"/>
      <c r="Q278" s="2050"/>
      <c r="R278" s="2050"/>
      <c r="S278" s="2050"/>
      <c r="T278" s="2050"/>
      <c r="U278" s="2050"/>
      <c r="V278" s="2050"/>
      <c r="W278" s="2050"/>
      <c r="X278" s="2050"/>
      <c r="Y278" s="2050"/>
      <c r="Z278" s="2050"/>
      <c r="AA278" s="2050"/>
      <c r="AB278" s="2050"/>
      <c r="AC278" s="2050"/>
      <c r="AD278" s="2050"/>
      <c r="AF278" s="7"/>
      <c r="AG278" s="7"/>
      <c r="AH278" s="7"/>
      <c r="AI278" s="7"/>
      <c r="AJ278" s="7"/>
      <c r="BN278" s="61"/>
    </row>
    <row r="279" spans="1:66" ht="13.2">
      <c r="D279" s="58" t="s">
        <v>647</v>
      </c>
      <c r="E279" s="58"/>
      <c r="F279" s="58"/>
      <c r="G279" s="58"/>
      <c r="H279" s="58"/>
      <c r="I279" s="58"/>
      <c r="L279" s="1973" t="s">
        <v>2483</v>
      </c>
      <c r="M279" s="1973"/>
      <c r="N279" s="1973"/>
      <c r="O279" s="1973"/>
      <c r="P279" s="1973"/>
      <c r="Q279" s="1973"/>
      <c r="R279" s="1973"/>
      <c r="S279" s="1973"/>
      <c r="T279" s="1973"/>
      <c r="U279" s="1973"/>
      <c r="V279" s="1973"/>
      <c r="W279" s="1973"/>
      <c r="X279" s="1973"/>
      <c r="Y279" s="1973"/>
      <c r="Z279" s="1973"/>
      <c r="AA279" s="1973"/>
      <c r="AB279" s="1973"/>
      <c r="AC279" s="1973"/>
      <c r="AD279" s="1973"/>
      <c r="AK279" s="58"/>
      <c r="AL279" s="58"/>
      <c r="AM279" s="239"/>
      <c r="AN279" s="239"/>
      <c r="AO279" s="239"/>
      <c r="AP279" s="239"/>
      <c r="AQ279" s="239"/>
      <c r="AR279" s="239"/>
      <c r="AS279" s="239"/>
      <c r="AT279" s="239"/>
      <c r="AU279" s="239"/>
      <c r="AV279" s="239"/>
      <c r="AW279" s="239"/>
      <c r="AX279" s="239"/>
      <c r="AY279" s="239"/>
      <c r="BN279" s="61"/>
    </row>
    <row r="280" spans="1:66" ht="13.2">
      <c r="L280" s="35" t="s">
        <v>648</v>
      </c>
      <c r="BN280" s="61"/>
    </row>
    <row r="281" spans="1:66" ht="13.2">
      <c r="A281" s="1939" t="s">
        <v>564</v>
      </c>
      <c r="B281" s="1939"/>
      <c r="C281" s="1939"/>
      <c r="D281" s="1939"/>
      <c r="E281" s="1939"/>
      <c r="F281" s="1939"/>
      <c r="G281" s="1939"/>
      <c r="H281" s="1939"/>
      <c r="I281" s="1939"/>
      <c r="J281" s="1939"/>
      <c r="K281" s="1939"/>
      <c r="L281" s="1939"/>
      <c r="M281" s="1939"/>
      <c r="N281" s="1939"/>
      <c r="O281" s="1939"/>
      <c r="P281" s="1939"/>
      <c r="Q281" s="1939"/>
      <c r="R281" s="1939"/>
      <c r="S281" s="1939"/>
      <c r="T281" s="1939"/>
      <c r="U281" s="1939"/>
      <c r="V281" s="1939"/>
      <c r="W281" s="1939"/>
      <c r="X281" s="1939"/>
      <c r="Y281" s="1939"/>
      <c r="Z281" s="1939"/>
      <c r="AA281" s="1939"/>
      <c r="AB281" s="1939"/>
      <c r="AC281" s="1939"/>
      <c r="AD281" s="1939"/>
      <c r="AE281" s="1939"/>
      <c r="AF281" s="1939"/>
      <c r="AG281" s="1939"/>
      <c r="AH281" s="1939"/>
      <c r="AI281" s="1939"/>
      <c r="AJ281" s="1939"/>
      <c r="AK281" s="1939"/>
      <c r="AL281" s="1939"/>
      <c r="AM281" s="144"/>
      <c r="AN281" s="144"/>
      <c r="AO281" s="144"/>
      <c r="AP281" s="144"/>
      <c r="AQ281" s="144"/>
      <c r="AR281" s="144"/>
      <c r="AS281" s="144"/>
      <c r="AT281" s="144"/>
      <c r="AU281" s="144"/>
      <c r="AV281" s="144"/>
      <c r="AW281" s="144"/>
      <c r="AX281" s="144"/>
      <c r="AY281" s="144"/>
      <c r="BN281" s="61"/>
    </row>
    <row r="282" spans="1:66" ht="13.8" thickBot="1">
      <c r="A282" s="1940"/>
      <c r="B282" s="1940"/>
      <c r="C282" s="1940"/>
      <c r="D282" s="1940"/>
      <c r="E282" s="1940"/>
      <c r="F282" s="1940"/>
      <c r="G282" s="1940"/>
      <c r="H282" s="1940"/>
      <c r="I282" s="1940"/>
      <c r="J282" s="1940"/>
      <c r="K282" s="1940"/>
      <c r="L282" s="1940"/>
      <c r="M282" s="1940"/>
      <c r="N282" s="1940"/>
      <c r="O282" s="1940"/>
      <c r="P282" s="1940"/>
      <c r="Q282" s="1940"/>
      <c r="R282" s="1940"/>
      <c r="S282" s="1940"/>
      <c r="T282" s="1940"/>
      <c r="U282" s="1940"/>
      <c r="V282" s="1940"/>
      <c r="W282" s="1940"/>
      <c r="X282" s="1940"/>
      <c r="Y282" s="1940"/>
      <c r="Z282" s="1940"/>
      <c r="AA282" s="1940"/>
      <c r="AB282" s="1940"/>
      <c r="AC282" s="1940"/>
      <c r="AD282" s="1940"/>
      <c r="AE282" s="1940"/>
      <c r="AF282" s="1940"/>
      <c r="AG282" s="1940"/>
      <c r="AH282" s="1940"/>
      <c r="AI282" s="1940"/>
      <c r="AJ282" s="1940"/>
      <c r="AK282" s="1940"/>
      <c r="AL282" s="1940"/>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324</v>
      </c>
      <c r="C284" s="50" t="s">
        <v>649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650</v>
      </c>
      <c r="C286" s="58"/>
      <c r="D286" s="58"/>
      <c r="E286" s="58"/>
      <c r="F286" s="58"/>
      <c r="H286" s="1894" t="s">
        <v>2476</v>
      </c>
      <c r="I286" s="1894"/>
      <c r="J286" s="1894"/>
      <c r="K286" s="1894"/>
      <c r="L286" s="1894"/>
      <c r="M286" s="1894"/>
      <c r="N286" s="1894"/>
      <c r="O286" s="1894"/>
      <c r="P286" s="1894"/>
      <c r="Q286" s="1894"/>
      <c r="R286" s="1894"/>
      <c r="T286" s="58" t="s">
        <v>590</v>
      </c>
      <c r="V286" s="58"/>
      <c r="W286" s="58"/>
      <c r="X286" s="58"/>
      <c r="Y286" s="58"/>
      <c r="AA286" s="1894" t="s">
        <v>2493</v>
      </c>
      <c r="AB286" s="1894"/>
      <c r="AC286" s="1894"/>
      <c r="AD286" s="1894"/>
      <c r="AE286" s="1894"/>
      <c r="AF286" s="1894"/>
      <c r="AG286" s="1894"/>
      <c r="AH286" s="1894"/>
      <c r="AI286" s="1894"/>
      <c r="AJ286" s="1894"/>
      <c r="AK286" s="1894"/>
      <c r="BN286" s="61"/>
    </row>
    <row r="287" spans="1:66" ht="13.2">
      <c r="B287" s="58" t="s">
        <v>494</v>
      </c>
      <c r="C287" s="58"/>
      <c r="D287" s="58"/>
      <c r="E287" s="58"/>
      <c r="F287" s="58"/>
      <c r="H287" s="1944" t="s">
        <v>2477</v>
      </c>
      <c r="I287" s="1944"/>
      <c r="J287" s="1944"/>
      <c r="K287" s="1944"/>
      <c r="L287" s="1944"/>
      <c r="M287" s="1944"/>
      <c r="N287" s="1944"/>
      <c r="O287" s="1944"/>
      <c r="P287" s="1944"/>
      <c r="Q287" s="1944"/>
      <c r="R287" s="1944"/>
      <c r="T287" s="58" t="s">
        <v>494</v>
      </c>
      <c r="V287" s="58"/>
      <c r="W287" s="58"/>
      <c r="X287" s="58"/>
      <c r="Y287" s="58"/>
      <c r="AA287" s="1944" t="s">
        <v>2494</v>
      </c>
      <c r="AB287" s="1944"/>
      <c r="AC287" s="1944"/>
      <c r="AD287" s="1944"/>
      <c r="AE287" s="1944"/>
      <c r="AF287" s="1944"/>
      <c r="AG287" s="1944"/>
      <c r="AH287" s="1944"/>
      <c r="AI287" s="1944"/>
      <c r="AJ287" s="1944"/>
      <c r="AK287" s="1944"/>
      <c r="BN287" s="61"/>
    </row>
    <row r="288" spans="1:66" ht="13.2">
      <c r="B288" s="58" t="s">
        <v>495</v>
      </c>
      <c r="C288" s="58"/>
      <c r="D288" s="58"/>
      <c r="E288" s="58"/>
      <c r="F288" s="58"/>
      <c r="H288" s="1944" t="s">
        <v>2484</v>
      </c>
      <c r="I288" s="1944"/>
      <c r="J288" s="1944"/>
      <c r="K288" s="1944"/>
      <c r="L288" s="1944"/>
      <c r="M288" s="1944"/>
      <c r="N288" s="1944"/>
      <c r="O288" s="1944"/>
      <c r="P288" s="1944"/>
      <c r="Q288" s="1944"/>
      <c r="R288" s="1944"/>
      <c r="T288" s="58" t="s">
        <v>79</v>
      </c>
      <c r="V288" s="58"/>
      <c r="W288" s="58"/>
      <c r="X288" s="58"/>
      <c r="Y288" s="58"/>
      <c r="AA288" s="1944" t="s">
        <v>2495</v>
      </c>
      <c r="AB288" s="1944"/>
      <c r="AC288" s="1944"/>
      <c r="AD288" s="1944"/>
      <c r="AE288" s="1944"/>
      <c r="AF288" s="1944"/>
      <c r="AG288" s="1944"/>
      <c r="AH288" s="1944"/>
      <c r="AI288" s="1944"/>
      <c r="AJ288" s="1944"/>
      <c r="AK288" s="1944"/>
      <c r="BN288" s="61"/>
    </row>
    <row r="289" spans="2:66" ht="12.75" customHeight="1">
      <c r="B289" s="58" t="s">
        <v>92</v>
      </c>
      <c r="C289" s="58"/>
      <c r="D289" s="58"/>
      <c r="E289" s="58"/>
      <c r="F289" s="58"/>
      <c r="H289" s="1944" t="s">
        <v>2479</v>
      </c>
      <c r="I289" s="1944"/>
      <c r="J289" s="1944"/>
      <c r="K289" s="1944"/>
      <c r="L289" s="1944"/>
      <c r="M289" s="1944"/>
      <c r="N289" s="1944"/>
      <c r="O289" s="1944"/>
      <c r="P289" s="1944"/>
      <c r="Q289" s="1944"/>
      <c r="R289" s="1944"/>
      <c r="T289" s="58" t="s">
        <v>92</v>
      </c>
      <c r="V289" s="58"/>
      <c r="W289" s="58"/>
      <c r="X289" s="58"/>
      <c r="Y289" s="58"/>
      <c r="AA289" s="1944" t="s">
        <v>2600</v>
      </c>
      <c r="AB289" s="1944"/>
      <c r="AC289" s="1944"/>
      <c r="AD289" s="1944"/>
      <c r="AE289" s="1944"/>
      <c r="AF289" s="1944"/>
      <c r="AG289" s="1944"/>
      <c r="AH289" s="1944"/>
      <c r="AI289" s="1944"/>
      <c r="AJ289" s="1944"/>
      <c r="AK289" s="1944"/>
      <c r="BN289" s="61"/>
    </row>
    <row r="290" spans="2:66" ht="12.75" customHeight="1">
      <c r="B290" s="58" t="s">
        <v>93</v>
      </c>
      <c r="C290" s="58"/>
      <c r="D290" s="58"/>
      <c r="E290" s="58"/>
      <c r="F290" s="58"/>
      <c r="G290" s="58"/>
      <c r="H290" s="2047" t="s">
        <v>2480</v>
      </c>
      <c r="I290" s="2035"/>
      <c r="J290" s="2035"/>
      <c r="K290" s="2035"/>
      <c r="L290" s="2035"/>
      <c r="M290" s="2035"/>
      <c r="N290" s="7" t="s">
        <v>211</v>
      </c>
      <c r="O290" s="7"/>
      <c r="P290" s="2046"/>
      <c r="Q290" s="2046"/>
      <c r="R290" s="2046"/>
      <c r="S290" s="58"/>
      <c r="T290" s="58" t="s">
        <v>93</v>
      </c>
      <c r="V290" s="58"/>
      <c r="W290" s="58"/>
      <c r="X290" s="58"/>
      <c r="Y290" s="58"/>
      <c r="AA290" s="2047" t="s">
        <v>2496</v>
      </c>
      <c r="AB290" s="2035"/>
      <c r="AC290" s="2035"/>
      <c r="AD290" s="2035"/>
      <c r="AE290" s="2035"/>
      <c r="AF290" s="2035"/>
      <c r="AG290" s="7" t="s">
        <v>211</v>
      </c>
      <c r="AH290" s="7"/>
      <c r="AI290" s="2046">
        <v>220</v>
      </c>
      <c r="AJ290" s="2046"/>
      <c r="AK290" s="2046"/>
      <c r="BN290" s="61"/>
    </row>
    <row r="291" spans="2:66" ht="12.75" customHeight="1">
      <c r="B291" s="58" t="s">
        <v>94</v>
      </c>
      <c r="C291" s="58"/>
      <c r="D291" s="58"/>
      <c r="E291" s="58"/>
      <c r="F291" s="58"/>
      <c r="G291" s="58"/>
      <c r="H291" s="1975" t="s">
        <v>2481</v>
      </c>
      <c r="I291" s="1919"/>
      <c r="J291" s="1919"/>
      <c r="K291" s="1919"/>
      <c r="L291" s="1919"/>
      <c r="M291" s="1919"/>
      <c r="N291" s="60"/>
      <c r="O291" s="60"/>
      <c r="P291" s="62"/>
      <c r="Q291" s="62"/>
      <c r="R291" s="62"/>
      <c r="S291" s="58"/>
      <c r="T291" s="58" t="s">
        <v>94</v>
      </c>
      <c r="V291" s="58"/>
      <c r="W291" s="58"/>
      <c r="X291" s="58"/>
      <c r="Y291" s="58"/>
      <c r="AA291" s="1919"/>
      <c r="AB291" s="1919"/>
      <c r="AC291" s="1919"/>
      <c r="AD291" s="1919"/>
      <c r="AE291" s="1919"/>
      <c r="AF291" s="1919"/>
      <c r="AG291" s="60"/>
      <c r="AH291" s="60"/>
      <c r="AI291" s="62"/>
      <c r="AJ291" s="62"/>
      <c r="AK291" s="62"/>
      <c r="BN291" s="61"/>
    </row>
    <row r="292" spans="2:66" ht="12.75" customHeight="1">
      <c r="B292" s="58" t="s">
        <v>80</v>
      </c>
      <c r="C292" s="58"/>
      <c r="D292" s="58"/>
      <c r="E292" s="58"/>
      <c r="F292" s="58"/>
      <c r="G292" s="58"/>
      <c r="H292" s="1944" t="s">
        <v>2482</v>
      </c>
      <c r="I292" s="1944"/>
      <c r="J292" s="1944"/>
      <c r="K292" s="1944"/>
      <c r="L292" s="1944"/>
      <c r="M292" s="1944"/>
      <c r="N292" s="1894"/>
      <c r="O292" s="1894"/>
      <c r="P292" s="1894"/>
      <c r="Q292" s="1894"/>
      <c r="R292" s="1894"/>
      <c r="S292" s="58"/>
      <c r="T292" s="58" t="s">
        <v>80</v>
      </c>
      <c r="V292" s="58"/>
      <c r="W292" s="58"/>
      <c r="X292" s="58"/>
      <c r="Y292" s="58"/>
      <c r="AA292" s="1944" t="s">
        <v>2497</v>
      </c>
      <c r="AB292" s="1944"/>
      <c r="AC292" s="1944"/>
      <c r="AD292" s="1944"/>
      <c r="AE292" s="1944"/>
      <c r="AF292" s="1944"/>
      <c r="AG292" s="1894"/>
      <c r="AH292" s="1894"/>
      <c r="AI292" s="1894"/>
      <c r="AJ292" s="1894"/>
      <c r="AK292" s="189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328</v>
      </c>
      <c r="C294" s="58"/>
      <c r="D294" s="58"/>
      <c r="E294" s="58"/>
      <c r="F294" s="58"/>
      <c r="H294" s="1894" t="s">
        <v>2504</v>
      </c>
      <c r="I294" s="1894"/>
      <c r="J294" s="1894"/>
      <c r="K294" s="1894"/>
      <c r="L294" s="1894"/>
      <c r="M294" s="1894"/>
      <c r="N294" s="1894"/>
      <c r="O294" s="1894"/>
      <c r="P294" s="1894"/>
      <c r="Q294" s="1894"/>
      <c r="R294" s="1894"/>
      <c r="T294" s="58" t="s">
        <v>369</v>
      </c>
      <c r="V294" s="58"/>
      <c r="W294" s="58"/>
      <c r="X294" s="58"/>
      <c r="Y294" s="58"/>
      <c r="AA294" s="1894" t="s">
        <v>2516</v>
      </c>
      <c r="AB294" s="1894"/>
      <c r="AC294" s="1894"/>
      <c r="AD294" s="1894"/>
      <c r="AE294" s="1894"/>
      <c r="AF294" s="1894"/>
      <c r="AG294" s="1894"/>
      <c r="AH294" s="1894"/>
      <c r="AI294" s="1894"/>
      <c r="AJ294" s="1894"/>
      <c r="AK294" s="1894"/>
      <c r="BN294" s="61"/>
    </row>
    <row r="295" spans="2:66" ht="13.2">
      <c r="B295" s="58" t="s">
        <v>494</v>
      </c>
      <c r="C295" s="58"/>
      <c r="D295" s="58"/>
      <c r="E295" s="58"/>
      <c r="F295" s="58"/>
      <c r="H295" s="1944" t="s">
        <v>2505</v>
      </c>
      <c r="I295" s="1944"/>
      <c r="J295" s="1944"/>
      <c r="K295" s="1944"/>
      <c r="L295" s="1944"/>
      <c r="M295" s="1944"/>
      <c r="N295" s="1944"/>
      <c r="O295" s="1944"/>
      <c r="P295" s="1944"/>
      <c r="Q295" s="1944"/>
      <c r="R295" s="1944"/>
      <c r="T295" s="58" t="s">
        <v>494</v>
      </c>
      <c r="V295" s="58"/>
      <c r="W295" s="58"/>
      <c r="X295" s="58"/>
      <c r="Y295" s="58"/>
      <c r="AA295" s="1944" t="s">
        <v>2517</v>
      </c>
      <c r="AB295" s="1944"/>
      <c r="AC295" s="1944"/>
      <c r="AD295" s="1944"/>
      <c r="AE295" s="1944"/>
      <c r="AF295" s="1944"/>
      <c r="AG295" s="1944"/>
      <c r="AH295" s="1944"/>
      <c r="AI295" s="1944"/>
      <c r="AJ295" s="1944"/>
      <c r="AK295" s="1944"/>
      <c r="BN295" s="61"/>
    </row>
    <row r="296" spans="2:66" ht="13.2">
      <c r="B296" s="58" t="s">
        <v>495</v>
      </c>
      <c r="C296" s="58"/>
      <c r="D296" s="58"/>
      <c r="E296" s="58"/>
      <c r="F296" s="58"/>
      <c r="H296" s="1944" t="s">
        <v>2506</v>
      </c>
      <c r="I296" s="1944"/>
      <c r="J296" s="1944"/>
      <c r="K296" s="1944"/>
      <c r="L296" s="1944"/>
      <c r="M296" s="1944"/>
      <c r="N296" s="1944"/>
      <c r="O296" s="1944"/>
      <c r="P296" s="1944"/>
      <c r="Q296" s="1944"/>
      <c r="R296" s="1944"/>
      <c r="T296" s="58" t="s">
        <v>79</v>
      </c>
      <c r="V296" s="58"/>
      <c r="W296" s="58"/>
      <c r="X296" s="58"/>
      <c r="Y296" s="58"/>
      <c r="AA296" s="1944" t="s">
        <v>2512</v>
      </c>
      <c r="AB296" s="1944"/>
      <c r="AC296" s="1944"/>
      <c r="AD296" s="1944"/>
      <c r="AE296" s="1944"/>
      <c r="AF296" s="1944"/>
      <c r="AG296" s="1944"/>
      <c r="AH296" s="1944"/>
      <c r="AI296" s="1944"/>
      <c r="AJ296" s="1944"/>
      <c r="AK296" s="1944"/>
      <c r="BN296" s="61"/>
    </row>
    <row r="297" spans="2:66" ht="13.2">
      <c r="B297" s="58" t="s">
        <v>92</v>
      </c>
      <c r="C297" s="58"/>
      <c r="D297" s="58"/>
      <c r="E297" s="58"/>
      <c r="F297" s="58"/>
      <c r="H297" s="1944" t="s">
        <v>2507</v>
      </c>
      <c r="I297" s="1944"/>
      <c r="J297" s="1944"/>
      <c r="K297" s="1944"/>
      <c r="L297" s="1944"/>
      <c r="M297" s="1944"/>
      <c r="N297" s="1944"/>
      <c r="O297" s="1944"/>
      <c r="P297" s="1944"/>
      <c r="Q297" s="1944"/>
      <c r="R297" s="1944"/>
      <c r="T297" s="58" t="s">
        <v>92</v>
      </c>
      <c r="V297" s="58"/>
      <c r="W297" s="58"/>
      <c r="X297" s="58"/>
      <c r="Y297" s="58"/>
      <c r="AA297" s="1944" t="s">
        <v>2546</v>
      </c>
      <c r="AB297" s="1944"/>
      <c r="AC297" s="1944"/>
      <c r="AD297" s="1944"/>
      <c r="AE297" s="1944"/>
      <c r="AF297" s="1944"/>
      <c r="AG297" s="1944"/>
      <c r="AH297" s="1944"/>
      <c r="AI297" s="1944"/>
      <c r="AJ297" s="1944"/>
      <c r="AK297" s="1944"/>
      <c r="BN297" s="61"/>
    </row>
    <row r="298" spans="2:66" ht="13.2">
      <c r="B298" s="58" t="s">
        <v>93</v>
      </c>
      <c r="C298" s="58"/>
      <c r="D298" s="58"/>
      <c r="E298" s="58"/>
      <c r="F298" s="58"/>
      <c r="G298" s="58"/>
      <c r="H298" s="2047" t="s">
        <v>2508</v>
      </c>
      <c r="I298" s="2035"/>
      <c r="J298" s="2035"/>
      <c r="K298" s="2035"/>
      <c r="L298" s="2035"/>
      <c r="M298" s="2035"/>
      <c r="N298" s="7" t="s">
        <v>211</v>
      </c>
      <c r="O298" s="7"/>
      <c r="P298" s="2046"/>
      <c r="Q298" s="2046"/>
      <c r="R298" s="2046"/>
      <c r="S298" s="58"/>
      <c r="T298" s="58" t="s">
        <v>93</v>
      </c>
      <c r="V298" s="58"/>
      <c r="W298" s="58"/>
      <c r="X298" s="58"/>
      <c r="Y298" s="58"/>
      <c r="AA298" s="2047" t="s">
        <v>2547</v>
      </c>
      <c r="AB298" s="2035"/>
      <c r="AC298" s="2035"/>
      <c r="AD298" s="2035"/>
      <c r="AE298" s="2035"/>
      <c r="AF298" s="2035"/>
      <c r="AG298" s="7" t="s">
        <v>211</v>
      </c>
      <c r="AH298" s="7"/>
      <c r="AI298" s="2046"/>
      <c r="AJ298" s="2046"/>
      <c r="AK298" s="2046"/>
      <c r="BN298" s="61"/>
    </row>
    <row r="299" spans="2:66" ht="12.75" customHeight="1">
      <c r="B299" s="58" t="s">
        <v>94</v>
      </c>
      <c r="C299" s="58"/>
      <c r="D299" s="58"/>
      <c r="E299" s="58"/>
      <c r="F299" s="58"/>
      <c r="G299" s="58"/>
      <c r="H299" s="1919"/>
      <c r="I299" s="1919"/>
      <c r="J299" s="1919"/>
      <c r="K299" s="1919"/>
      <c r="L299" s="1919"/>
      <c r="M299" s="1919"/>
      <c r="N299" s="60"/>
      <c r="O299" s="60"/>
      <c r="P299" s="62"/>
      <c r="Q299" s="62"/>
      <c r="R299" s="62"/>
      <c r="S299" s="58"/>
      <c r="T299" s="58" t="s">
        <v>94</v>
      </c>
      <c r="V299" s="58"/>
      <c r="W299" s="58"/>
      <c r="X299" s="58"/>
      <c r="Y299" s="58"/>
      <c r="AA299" s="1919"/>
      <c r="AB299" s="1919"/>
      <c r="AC299" s="1919"/>
      <c r="AD299" s="1919"/>
      <c r="AE299" s="1919"/>
      <c r="AF299" s="1919"/>
      <c r="AG299" s="60"/>
      <c r="AH299" s="60"/>
      <c r="AI299" s="62"/>
      <c r="AJ299" s="62"/>
      <c r="AK299" s="62"/>
      <c r="BN299" s="61"/>
    </row>
    <row r="300" spans="2:66" ht="12.75" customHeight="1">
      <c r="B300" s="58" t="s">
        <v>80</v>
      </c>
      <c r="C300" s="58"/>
      <c r="D300" s="58"/>
      <c r="E300" s="58"/>
      <c r="F300" s="58"/>
      <c r="G300" s="58"/>
      <c r="H300" s="1944" t="s">
        <v>2509</v>
      </c>
      <c r="I300" s="1944"/>
      <c r="J300" s="1944"/>
      <c r="K300" s="1944"/>
      <c r="L300" s="1944"/>
      <c r="M300" s="1944"/>
      <c r="N300" s="1894"/>
      <c r="O300" s="1894"/>
      <c r="P300" s="1894"/>
      <c r="Q300" s="1894"/>
      <c r="R300" s="1894"/>
      <c r="S300" s="58"/>
      <c r="T300" s="58" t="s">
        <v>80</v>
      </c>
      <c r="V300" s="58"/>
      <c r="W300" s="58"/>
      <c r="X300" s="58"/>
      <c r="Y300" s="58"/>
      <c r="AA300" s="1944" t="s">
        <v>2548</v>
      </c>
      <c r="AB300" s="1944"/>
      <c r="AC300" s="1944"/>
      <c r="AD300" s="1944"/>
      <c r="AE300" s="1944"/>
      <c r="AF300" s="1944"/>
      <c r="AG300" s="1894"/>
      <c r="AH300" s="1894"/>
      <c r="AI300" s="1894"/>
      <c r="AJ300" s="1894"/>
      <c r="AK300" s="1894"/>
      <c r="BN300" s="61"/>
    </row>
    <row r="301" spans="2:66" ht="12.75" customHeight="1">
      <c r="BN301" s="61"/>
    </row>
    <row r="302" spans="2:66" ht="12.75" customHeight="1">
      <c r="B302" s="58" t="s">
        <v>81</v>
      </c>
      <c r="C302" s="58"/>
      <c r="D302" s="58"/>
      <c r="E302" s="58"/>
      <c r="F302" s="58"/>
      <c r="H302" s="1894" t="s">
        <v>2504</v>
      </c>
      <c r="I302" s="1894"/>
      <c r="J302" s="1894"/>
      <c r="K302" s="1894"/>
      <c r="L302" s="1894"/>
      <c r="M302" s="1894"/>
      <c r="N302" s="1894"/>
      <c r="O302" s="1894"/>
      <c r="P302" s="1894"/>
      <c r="Q302" s="1894"/>
      <c r="R302" s="1894"/>
      <c r="T302" s="7" t="s">
        <v>923</v>
      </c>
      <c r="V302" s="58"/>
      <c r="W302" s="58"/>
      <c r="X302" s="58"/>
      <c r="Y302" s="58"/>
      <c r="AA302" s="1894" t="s">
        <v>2528</v>
      </c>
      <c r="AB302" s="1894"/>
      <c r="AC302" s="1894"/>
      <c r="AD302" s="1894"/>
      <c r="AE302" s="1894"/>
      <c r="AF302" s="1894"/>
      <c r="AG302" s="1894"/>
      <c r="AH302" s="1894"/>
      <c r="AI302" s="1894"/>
      <c r="AJ302" s="1894"/>
      <c r="AK302" s="1894"/>
      <c r="BN302" s="61"/>
    </row>
    <row r="303" spans="2:66" ht="13.2">
      <c r="B303" s="58" t="s">
        <v>494</v>
      </c>
      <c r="C303" s="58"/>
      <c r="D303" s="58"/>
      <c r="E303" s="58"/>
      <c r="F303" s="58"/>
      <c r="H303" s="1944" t="s">
        <v>2505</v>
      </c>
      <c r="I303" s="1944"/>
      <c r="J303" s="1944"/>
      <c r="K303" s="1944"/>
      <c r="L303" s="1944"/>
      <c r="M303" s="1944"/>
      <c r="N303" s="1944"/>
      <c r="O303" s="1944"/>
      <c r="P303" s="1944"/>
      <c r="Q303" s="1944"/>
      <c r="R303" s="1944"/>
      <c r="T303" s="58" t="s">
        <v>494</v>
      </c>
      <c r="V303" s="58"/>
      <c r="W303" s="58"/>
      <c r="X303" s="58"/>
      <c r="Y303" s="58"/>
      <c r="AA303" s="1944" t="s">
        <v>2529</v>
      </c>
      <c r="AB303" s="1944"/>
      <c r="AC303" s="1944"/>
      <c r="AD303" s="1944"/>
      <c r="AE303" s="1944"/>
      <c r="AF303" s="1944"/>
      <c r="AG303" s="1944"/>
      <c r="AH303" s="1944"/>
      <c r="AI303" s="1944"/>
      <c r="AJ303" s="1944"/>
      <c r="AK303" s="1944"/>
      <c r="BN303" s="61"/>
    </row>
    <row r="304" spans="2:66" ht="13.2">
      <c r="B304" s="58" t="s">
        <v>495</v>
      </c>
      <c r="C304" s="58"/>
      <c r="D304" s="58"/>
      <c r="E304" s="58"/>
      <c r="F304" s="58"/>
      <c r="H304" s="1944" t="s">
        <v>2506</v>
      </c>
      <c r="I304" s="1944"/>
      <c r="J304" s="1944"/>
      <c r="K304" s="1944"/>
      <c r="L304" s="1944"/>
      <c r="M304" s="1944"/>
      <c r="N304" s="1944"/>
      <c r="O304" s="1944"/>
      <c r="P304" s="1944"/>
      <c r="Q304" s="1944"/>
      <c r="R304" s="1944"/>
      <c r="T304" s="58" t="s">
        <v>79</v>
      </c>
      <c r="V304" s="58"/>
      <c r="W304" s="58"/>
      <c r="X304" s="58"/>
      <c r="Y304" s="58"/>
      <c r="AA304" s="1944" t="s">
        <v>2530</v>
      </c>
      <c r="AB304" s="1944"/>
      <c r="AC304" s="1944"/>
      <c r="AD304" s="1944"/>
      <c r="AE304" s="1944"/>
      <c r="AF304" s="1944"/>
      <c r="AG304" s="1944"/>
      <c r="AH304" s="1944"/>
      <c r="AI304" s="1944"/>
      <c r="AJ304" s="1944"/>
      <c r="AK304" s="1944"/>
      <c r="BN304" s="61"/>
    </row>
    <row r="305" spans="2:66" ht="13.2">
      <c r="B305" s="58" t="s">
        <v>92</v>
      </c>
      <c r="C305" s="58"/>
      <c r="D305" s="58"/>
      <c r="E305" s="58"/>
      <c r="F305" s="58"/>
      <c r="H305" s="1944" t="s">
        <v>2507</v>
      </c>
      <c r="I305" s="1944"/>
      <c r="J305" s="1944"/>
      <c r="K305" s="1944"/>
      <c r="L305" s="1944"/>
      <c r="M305" s="1944"/>
      <c r="N305" s="1944"/>
      <c r="O305" s="1944"/>
      <c r="P305" s="1944"/>
      <c r="Q305" s="1944"/>
      <c r="R305" s="1944"/>
      <c r="T305" s="58" t="s">
        <v>92</v>
      </c>
      <c r="V305" s="58"/>
      <c r="W305" s="58"/>
      <c r="X305" s="58"/>
      <c r="Y305" s="58"/>
      <c r="AA305" s="1944" t="s">
        <v>2531</v>
      </c>
      <c r="AB305" s="1944"/>
      <c r="AC305" s="1944"/>
      <c r="AD305" s="1944"/>
      <c r="AE305" s="1944"/>
      <c r="AF305" s="1944"/>
      <c r="AG305" s="1944"/>
      <c r="AH305" s="1944"/>
      <c r="AI305" s="1944"/>
      <c r="AJ305" s="1944"/>
      <c r="AK305" s="1944"/>
      <c r="BN305" s="61"/>
    </row>
    <row r="306" spans="2:66" ht="13.2">
      <c r="B306" s="58" t="s">
        <v>93</v>
      </c>
      <c r="C306" s="58"/>
      <c r="D306" s="58"/>
      <c r="E306" s="58"/>
      <c r="F306" s="58"/>
      <c r="G306" s="58"/>
      <c r="H306" s="2047" t="s">
        <v>2508</v>
      </c>
      <c r="I306" s="2035"/>
      <c r="J306" s="2035"/>
      <c r="K306" s="2035"/>
      <c r="L306" s="2035"/>
      <c r="M306" s="2035"/>
      <c r="N306" s="7" t="s">
        <v>211</v>
      </c>
      <c r="O306" s="7"/>
      <c r="P306" s="2046"/>
      <c r="Q306" s="2046"/>
      <c r="R306" s="2046"/>
      <c r="S306" s="58"/>
      <c r="T306" s="58" t="s">
        <v>93</v>
      </c>
      <c r="V306" s="58"/>
      <c r="W306" s="58"/>
      <c r="X306" s="58"/>
      <c r="Y306" s="58"/>
      <c r="AA306" s="2047" t="s">
        <v>2537</v>
      </c>
      <c r="AB306" s="2035"/>
      <c r="AC306" s="2035"/>
      <c r="AD306" s="2035"/>
      <c r="AE306" s="2035"/>
      <c r="AF306" s="2035"/>
      <c r="AG306" s="7" t="s">
        <v>211</v>
      </c>
      <c r="AH306" s="7"/>
      <c r="AI306" s="2046"/>
      <c r="AJ306" s="2046"/>
      <c r="AK306" s="2046"/>
      <c r="BN306" s="61"/>
    </row>
    <row r="307" spans="2:66" ht="13.2">
      <c r="B307" s="58" t="s">
        <v>94</v>
      </c>
      <c r="C307" s="58"/>
      <c r="D307" s="58"/>
      <c r="E307" s="58"/>
      <c r="F307" s="58"/>
      <c r="G307" s="58"/>
      <c r="H307" s="1919"/>
      <c r="I307" s="1919"/>
      <c r="J307" s="1919"/>
      <c r="K307" s="1919"/>
      <c r="L307" s="1919"/>
      <c r="M307" s="1919"/>
      <c r="N307" s="60"/>
      <c r="O307" s="60"/>
      <c r="P307" s="62"/>
      <c r="Q307" s="62"/>
      <c r="R307" s="62"/>
      <c r="S307" s="58"/>
      <c r="T307" s="58" t="s">
        <v>94</v>
      </c>
      <c r="V307" s="58"/>
      <c r="W307" s="58"/>
      <c r="X307" s="58"/>
      <c r="Y307" s="58"/>
      <c r="AA307" s="1919"/>
      <c r="AB307" s="1919"/>
      <c r="AC307" s="1919"/>
      <c r="AD307" s="1919"/>
      <c r="AE307" s="1919"/>
      <c r="AF307" s="1919"/>
      <c r="AG307" s="60"/>
      <c r="AH307" s="60"/>
      <c r="AI307" s="62"/>
      <c r="AJ307" s="62"/>
      <c r="AK307" s="62"/>
      <c r="BN307" s="61"/>
    </row>
    <row r="308" spans="2:66" ht="13.2">
      <c r="B308" s="58" t="s">
        <v>80</v>
      </c>
      <c r="C308" s="58"/>
      <c r="D308" s="58"/>
      <c r="E308" s="58"/>
      <c r="F308" s="58"/>
      <c r="G308" s="58"/>
      <c r="H308" s="1944" t="s">
        <v>2509</v>
      </c>
      <c r="I308" s="1944"/>
      <c r="J308" s="1944"/>
      <c r="K308" s="1944"/>
      <c r="L308" s="1944"/>
      <c r="M308" s="1944"/>
      <c r="N308" s="1894"/>
      <c r="O308" s="1894"/>
      <c r="P308" s="1894"/>
      <c r="Q308" s="1894"/>
      <c r="R308" s="1894"/>
      <c r="S308" s="58"/>
      <c r="T308" s="58" t="s">
        <v>80</v>
      </c>
      <c r="V308" s="58"/>
      <c r="W308" s="58"/>
      <c r="X308" s="58"/>
      <c r="Y308" s="58"/>
      <c r="AA308" s="1944" t="s">
        <v>2538</v>
      </c>
      <c r="AB308" s="1944"/>
      <c r="AC308" s="1944"/>
      <c r="AD308" s="1944"/>
      <c r="AE308" s="1944"/>
      <c r="AF308" s="1944"/>
      <c r="AG308" s="1894"/>
      <c r="AH308" s="1894"/>
      <c r="AI308" s="1894"/>
      <c r="AJ308" s="1894"/>
      <c r="AK308" s="189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956</v>
      </c>
      <c r="C310" s="58"/>
      <c r="D310" s="58"/>
      <c r="E310" s="58"/>
      <c r="F310" s="58"/>
      <c r="H310" s="1894" t="s">
        <v>2536</v>
      </c>
      <c r="I310" s="1894"/>
      <c r="J310" s="1894"/>
      <c r="K310" s="1894"/>
      <c r="L310" s="1894"/>
      <c r="M310" s="1894"/>
      <c r="N310" s="1894"/>
      <c r="O310" s="1894"/>
      <c r="P310" s="1894"/>
      <c r="Q310" s="1894"/>
      <c r="R310" s="1894"/>
      <c r="S310" s="58"/>
      <c r="T310" s="58" t="s">
        <v>370</v>
      </c>
      <c r="V310" s="58"/>
      <c r="W310" s="58"/>
      <c r="X310" s="58"/>
      <c r="Y310" s="58"/>
      <c r="AA310" s="1894" t="s">
        <v>2532</v>
      </c>
      <c r="AB310" s="1894"/>
      <c r="AC310" s="1894"/>
      <c r="AD310" s="1894"/>
      <c r="AE310" s="1894"/>
      <c r="AF310" s="1894"/>
      <c r="AG310" s="1894"/>
      <c r="AH310" s="1894"/>
      <c r="AI310" s="1894"/>
      <c r="AJ310" s="1894"/>
      <c r="AK310" s="1894"/>
      <c r="BN310" s="61"/>
    </row>
    <row r="311" spans="2:66" ht="13.2">
      <c r="B311" s="58" t="s">
        <v>494</v>
      </c>
      <c r="C311" s="58"/>
      <c r="D311" s="58"/>
      <c r="E311" s="58"/>
      <c r="F311" s="58"/>
      <c r="H311" s="1944" t="s">
        <v>2540</v>
      </c>
      <c r="I311" s="1944"/>
      <c r="J311" s="1944"/>
      <c r="K311" s="1944"/>
      <c r="L311" s="1944"/>
      <c r="M311" s="1944"/>
      <c r="N311" s="1944"/>
      <c r="O311" s="1944"/>
      <c r="P311" s="1944"/>
      <c r="Q311" s="1944"/>
      <c r="R311" s="1944"/>
      <c r="S311" s="58"/>
      <c r="T311" s="58" t="s">
        <v>494</v>
      </c>
      <c r="V311" s="58"/>
      <c r="W311" s="58"/>
      <c r="X311" s="58"/>
      <c r="Y311" s="58"/>
      <c r="AA311" s="1944"/>
      <c r="AB311" s="1944"/>
      <c r="AC311" s="1944"/>
      <c r="AD311" s="1944"/>
      <c r="AE311" s="1944"/>
      <c r="AF311" s="1944"/>
      <c r="AG311" s="1944"/>
      <c r="AH311" s="1944"/>
      <c r="AI311" s="1944"/>
      <c r="AJ311" s="1944"/>
      <c r="AK311" s="1944"/>
      <c r="BN311" s="61"/>
    </row>
    <row r="312" spans="2:66" ht="12.75" customHeight="1">
      <c r="B312" s="58" t="s">
        <v>495</v>
      </c>
      <c r="C312" s="58"/>
      <c r="D312" s="58"/>
      <c r="E312" s="58"/>
      <c r="F312" s="58"/>
      <c r="H312" s="1944" t="s">
        <v>2541</v>
      </c>
      <c r="I312" s="1944"/>
      <c r="J312" s="1944"/>
      <c r="K312" s="1944"/>
      <c r="L312" s="1944"/>
      <c r="M312" s="1944"/>
      <c r="N312" s="1944"/>
      <c r="O312" s="1944"/>
      <c r="P312" s="1944"/>
      <c r="Q312" s="1944"/>
      <c r="R312" s="1944"/>
      <c r="S312" s="58"/>
      <c r="T312" s="58" t="s">
        <v>79</v>
      </c>
      <c r="V312" s="58"/>
      <c r="W312" s="58"/>
      <c r="X312" s="58"/>
      <c r="Y312" s="58"/>
      <c r="AA312" s="1944"/>
      <c r="AB312" s="1944"/>
      <c r="AC312" s="1944"/>
      <c r="AD312" s="1944"/>
      <c r="AE312" s="1944"/>
      <c r="AF312" s="1944"/>
      <c r="AG312" s="1944"/>
      <c r="AH312" s="1944"/>
      <c r="AI312" s="1944"/>
      <c r="AJ312" s="1944"/>
      <c r="AK312" s="1944"/>
      <c r="BN312" s="61"/>
    </row>
    <row r="313" spans="2:66" ht="13.2">
      <c r="B313" s="58" t="s">
        <v>92</v>
      </c>
      <c r="C313" s="58"/>
      <c r="D313" s="58"/>
      <c r="E313" s="58"/>
      <c r="F313" s="58"/>
      <c r="H313" s="1944" t="s">
        <v>2542</v>
      </c>
      <c r="I313" s="1944"/>
      <c r="J313" s="1944"/>
      <c r="K313" s="1944"/>
      <c r="L313" s="1944"/>
      <c r="M313" s="1944"/>
      <c r="N313" s="1944"/>
      <c r="O313" s="1944"/>
      <c r="P313" s="1944"/>
      <c r="Q313" s="1944"/>
      <c r="R313" s="1944"/>
      <c r="S313" s="58"/>
      <c r="T313" s="58" t="s">
        <v>92</v>
      </c>
      <c r="V313" s="58"/>
      <c r="W313" s="58"/>
      <c r="X313" s="58"/>
      <c r="Y313" s="58"/>
      <c r="AA313" s="1944"/>
      <c r="AB313" s="1944"/>
      <c r="AC313" s="1944"/>
      <c r="AD313" s="1944"/>
      <c r="AE313" s="1944"/>
      <c r="AF313" s="1944"/>
      <c r="AG313" s="1944"/>
      <c r="AH313" s="1944"/>
      <c r="AI313" s="1944"/>
      <c r="AJ313" s="1944"/>
      <c r="AK313" s="1944"/>
      <c r="BN313" s="61"/>
    </row>
    <row r="314" spans="2:66" ht="13.2">
      <c r="B314" s="58" t="s">
        <v>93</v>
      </c>
      <c r="C314" s="58"/>
      <c r="D314" s="58"/>
      <c r="E314" s="58"/>
      <c r="F314" s="58"/>
      <c r="G314" s="58"/>
      <c r="H314" s="2047" t="s">
        <v>2543</v>
      </c>
      <c r="I314" s="2035"/>
      <c r="J314" s="2035"/>
      <c r="K314" s="2035"/>
      <c r="L314" s="2035"/>
      <c r="M314" s="2035"/>
      <c r="N314" s="7" t="s">
        <v>211</v>
      </c>
      <c r="O314" s="7"/>
      <c r="P314" s="2046"/>
      <c r="Q314" s="2046"/>
      <c r="R314" s="2046"/>
      <c r="S314" s="58"/>
      <c r="T314" s="58" t="s">
        <v>93</v>
      </c>
      <c r="V314" s="58"/>
      <c r="W314" s="58"/>
      <c r="X314" s="58"/>
      <c r="Y314" s="58"/>
      <c r="AA314" s="2035"/>
      <c r="AB314" s="2035"/>
      <c r="AC314" s="2035"/>
      <c r="AD314" s="2035"/>
      <c r="AE314" s="2035"/>
      <c r="AF314" s="2035"/>
      <c r="AG314" s="7" t="s">
        <v>211</v>
      </c>
      <c r="AH314" s="7"/>
      <c r="AI314" s="2046"/>
      <c r="AJ314" s="2046"/>
      <c r="AK314" s="2046"/>
      <c r="BN314" s="61"/>
    </row>
    <row r="315" spans="2:66" ht="13.2">
      <c r="B315" s="58" t="s">
        <v>94</v>
      </c>
      <c r="C315" s="58"/>
      <c r="D315" s="58"/>
      <c r="E315" s="58"/>
      <c r="F315" s="58"/>
      <c r="G315" s="58"/>
      <c r="H315" s="1975" t="s">
        <v>2544</v>
      </c>
      <c r="I315" s="1919"/>
      <c r="J315" s="1919"/>
      <c r="K315" s="1919"/>
      <c r="L315" s="1919"/>
      <c r="M315" s="1919"/>
      <c r="N315" s="60"/>
      <c r="O315" s="60"/>
      <c r="P315" s="62"/>
      <c r="Q315" s="62"/>
      <c r="R315" s="62"/>
      <c r="S315" s="58"/>
      <c r="T315" s="58" t="s">
        <v>94</v>
      </c>
      <c r="V315" s="58"/>
      <c r="W315" s="58"/>
      <c r="X315" s="58"/>
      <c r="Y315" s="58"/>
      <c r="AA315" s="1919"/>
      <c r="AB315" s="1919"/>
      <c r="AC315" s="1919"/>
      <c r="AD315" s="1919"/>
      <c r="AE315" s="1919"/>
      <c r="AF315" s="1919"/>
      <c r="AG315" s="60"/>
      <c r="AH315" s="60"/>
      <c r="AI315" s="62"/>
      <c r="AJ315" s="62"/>
      <c r="AK315" s="62"/>
      <c r="BN315" s="61"/>
    </row>
    <row r="316" spans="2:66" ht="13.2">
      <c r="B316" s="58" t="s">
        <v>80</v>
      </c>
      <c r="C316" s="58"/>
      <c r="D316" s="58"/>
      <c r="E316" s="58"/>
      <c r="F316" s="58"/>
      <c r="G316" s="58"/>
      <c r="H316" s="1944" t="s">
        <v>2545</v>
      </c>
      <c r="I316" s="1944"/>
      <c r="J316" s="1944"/>
      <c r="K316" s="1944"/>
      <c r="L316" s="1944"/>
      <c r="M316" s="1944"/>
      <c r="N316" s="1894"/>
      <c r="O316" s="1894"/>
      <c r="P316" s="1894"/>
      <c r="Q316" s="1894"/>
      <c r="R316" s="1894"/>
      <c r="S316" s="58"/>
      <c r="T316" s="58" t="s">
        <v>80</v>
      </c>
      <c r="V316" s="58"/>
      <c r="W316" s="58"/>
      <c r="X316" s="58"/>
      <c r="Y316" s="58"/>
      <c r="AA316" s="1944"/>
      <c r="AB316" s="1944"/>
      <c r="AC316" s="1944"/>
      <c r="AD316" s="1944"/>
      <c r="AE316" s="1944"/>
      <c r="AF316" s="1944"/>
      <c r="AG316" s="1894"/>
      <c r="AH316" s="1894"/>
      <c r="AI316" s="1894"/>
      <c r="AJ316" s="1894"/>
      <c r="AK316" s="1894"/>
      <c r="BN316" s="61"/>
    </row>
    <row r="317" spans="2:66" ht="13.2">
      <c r="BN317" s="61"/>
    </row>
    <row r="318" spans="2:66" ht="13.2">
      <c r="B318" s="7" t="s">
        <v>957</v>
      </c>
      <c r="C318" s="58"/>
      <c r="D318" s="58"/>
      <c r="E318" s="58"/>
      <c r="F318" s="58"/>
      <c r="H318" s="1894" t="s">
        <v>2520</v>
      </c>
      <c r="I318" s="1894"/>
      <c r="J318" s="1894"/>
      <c r="K318" s="1894"/>
      <c r="L318" s="1894"/>
      <c r="M318" s="1894"/>
      <c r="N318" s="1894"/>
      <c r="O318" s="1894"/>
      <c r="P318" s="1894"/>
      <c r="Q318" s="1894"/>
      <c r="R318" s="1894"/>
      <c r="T318" s="58" t="s">
        <v>371</v>
      </c>
      <c r="V318" s="58"/>
      <c r="W318" s="58"/>
      <c r="X318" s="58"/>
      <c r="Y318" s="58"/>
      <c r="AA318" s="1894" t="s">
        <v>2498</v>
      </c>
      <c r="AB318" s="1894"/>
      <c r="AC318" s="1894"/>
      <c r="AD318" s="1894"/>
      <c r="AE318" s="1894"/>
      <c r="AF318" s="1894"/>
      <c r="AG318" s="1894"/>
      <c r="AH318" s="1894"/>
      <c r="AI318" s="1894"/>
      <c r="AJ318" s="1894"/>
      <c r="AK318" s="1894"/>
      <c r="BN318" s="61"/>
    </row>
    <row r="319" spans="2:66" ht="13.2">
      <c r="B319" s="58" t="s">
        <v>494</v>
      </c>
      <c r="C319" s="58"/>
      <c r="D319" s="58"/>
      <c r="E319" s="58"/>
      <c r="F319" s="58"/>
      <c r="H319" s="1944" t="s">
        <v>2521</v>
      </c>
      <c r="I319" s="1944"/>
      <c r="J319" s="1944"/>
      <c r="K319" s="1944"/>
      <c r="L319" s="1944"/>
      <c r="M319" s="1944"/>
      <c r="N319" s="1944"/>
      <c r="O319" s="1944"/>
      <c r="P319" s="1944"/>
      <c r="Q319" s="1944"/>
      <c r="R319" s="1944"/>
      <c r="T319" s="58" t="s">
        <v>494</v>
      </c>
      <c r="V319" s="58"/>
      <c r="W319" s="58"/>
      <c r="X319" s="58"/>
      <c r="Y319" s="58"/>
      <c r="AA319" s="1944" t="s">
        <v>2499</v>
      </c>
      <c r="AB319" s="1944"/>
      <c r="AC319" s="1944"/>
      <c r="AD319" s="1944"/>
      <c r="AE319" s="1944"/>
      <c r="AF319" s="1944"/>
      <c r="AG319" s="1944"/>
      <c r="AH319" s="1944"/>
      <c r="AI319" s="1944"/>
      <c r="AJ319" s="1944"/>
      <c r="AK319" s="1944"/>
      <c r="BN319" s="61"/>
    </row>
    <row r="320" spans="2:66" ht="13.2">
      <c r="B320" s="58" t="s">
        <v>495</v>
      </c>
      <c r="C320" s="58"/>
      <c r="D320" s="58"/>
      <c r="E320" s="58"/>
      <c r="F320" s="58"/>
      <c r="H320" s="1944" t="s">
        <v>2522</v>
      </c>
      <c r="I320" s="1944"/>
      <c r="J320" s="1944"/>
      <c r="K320" s="1944"/>
      <c r="L320" s="1944"/>
      <c r="M320" s="1944"/>
      <c r="N320" s="1944"/>
      <c r="O320" s="1944"/>
      <c r="P320" s="1944"/>
      <c r="Q320" s="1944"/>
      <c r="R320" s="1944"/>
      <c r="T320" s="58" t="s">
        <v>79</v>
      </c>
      <c r="V320" s="58"/>
      <c r="W320" s="58"/>
      <c r="X320" s="58"/>
      <c r="Y320" s="58"/>
      <c r="AA320" s="1944" t="s">
        <v>2500</v>
      </c>
      <c r="AB320" s="1944"/>
      <c r="AC320" s="1944"/>
      <c r="AD320" s="1944"/>
      <c r="AE320" s="1944"/>
      <c r="AF320" s="1944"/>
      <c r="AG320" s="1944"/>
      <c r="AH320" s="1944"/>
      <c r="AI320" s="1944"/>
      <c r="AJ320" s="1944"/>
      <c r="AK320" s="1944"/>
      <c r="BN320" s="61"/>
    </row>
    <row r="321" spans="1:66" ht="12.75" customHeight="1">
      <c r="A321" s="39"/>
      <c r="B321" s="58" t="s">
        <v>92</v>
      </c>
      <c r="C321" s="58"/>
      <c r="D321" s="58"/>
      <c r="E321" s="58"/>
      <c r="F321" s="58"/>
      <c r="H321" s="1944" t="s">
        <v>2523</v>
      </c>
      <c r="I321" s="1944"/>
      <c r="J321" s="1944"/>
      <c r="K321" s="1944"/>
      <c r="L321" s="1944"/>
      <c r="M321" s="1944"/>
      <c r="N321" s="1944"/>
      <c r="O321" s="1944"/>
      <c r="P321" s="1944"/>
      <c r="Q321" s="1944"/>
      <c r="R321" s="1944"/>
      <c r="T321" s="58" t="s">
        <v>92</v>
      </c>
      <c r="V321" s="58"/>
      <c r="W321" s="58"/>
      <c r="X321" s="58"/>
      <c r="Y321" s="58"/>
      <c r="AA321" s="1944" t="s">
        <v>2501</v>
      </c>
      <c r="AB321" s="1944"/>
      <c r="AC321" s="1944"/>
      <c r="AD321" s="1944"/>
      <c r="AE321" s="1944"/>
      <c r="AF321" s="1944"/>
      <c r="AG321" s="1944"/>
      <c r="AH321" s="1944"/>
      <c r="AI321" s="1944"/>
      <c r="AJ321" s="1944"/>
      <c r="AK321" s="1944"/>
      <c r="AL321" s="39"/>
      <c r="BN321" s="61"/>
    </row>
    <row r="322" spans="1:66" ht="13.2">
      <c r="A322" s="39"/>
      <c r="B322" s="58" t="s">
        <v>93</v>
      </c>
      <c r="C322" s="58"/>
      <c r="D322" s="58"/>
      <c r="E322" s="58"/>
      <c r="F322" s="58"/>
      <c r="G322" s="58"/>
      <c r="H322" s="2047" t="s">
        <v>2539</v>
      </c>
      <c r="I322" s="2035"/>
      <c r="J322" s="2035"/>
      <c r="K322" s="2035"/>
      <c r="L322" s="2035"/>
      <c r="M322" s="2035"/>
      <c r="N322" s="7" t="s">
        <v>211</v>
      </c>
      <c r="O322" s="7"/>
      <c r="P322" s="2046">
        <v>5</v>
      </c>
      <c r="Q322" s="2046"/>
      <c r="R322" s="2046"/>
      <c r="S322" s="58"/>
      <c r="T322" s="58" t="s">
        <v>93</v>
      </c>
      <c r="V322" s="58"/>
      <c r="W322" s="58"/>
      <c r="X322" s="58"/>
      <c r="Y322" s="58"/>
      <c r="AA322" s="2047" t="s">
        <v>2502</v>
      </c>
      <c r="AB322" s="2035"/>
      <c r="AC322" s="2035"/>
      <c r="AD322" s="2035"/>
      <c r="AE322" s="2035"/>
      <c r="AF322" s="2035"/>
      <c r="AG322" s="7" t="s">
        <v>211</v>
      </c>
      <c r="AH322" s="7"/>
      <c r="AI322" s="2046"/>
      <c r="AJ322" s="2046"/>
      <c r="AK322" s="2046"/>
      <c r="AL322" s="39"/>
      <c r="BN322" s="61"/>
    </row>
    <row r="323" spans="1:66" ht="12.75" customHeight="1">
      <c r="A323" s="39"/>
      <c r="B323" s="58" t="s">
        <v>94</v>
      </c>
      <c r="C323" s="58"/>
      <c r="D323" s="58"/>
      <c r="E323" s="58"/>
      <c r="F323" s="58"/>
      <c r="G323" s="58"/>
      <c r="H323" s="1919"/>
      <c r="I323" s="1919"/>
      <c r="J323" s="1919"/>
      <c r="K323" s="1919"/>
      <c r="L323" s="1919"/>
      <c r="M323" s="1919"/>
      <c r="N323" s="60"/>
      <c r="O323" s="60"/>
      <c r="P323" s="62"/>
      <c r="Q323" s="62"/>
      <c r="R323" s="62"/>
      <c r="S323" s="58"/>
      <c r="T323" s="58" t="s">
        <v>94</v>
      </c>
      <c r="V323" s="58"/>
      <c r="W323" s="58"/>
      <c r="X323" s="58"/>
      <c r="Y323" s="58"/>
      <c r="AA323" s="1919"/>
      <c r="AB323" s="1919"/>
      <c r="AC323" s="1919"/>
      <c r="AD323" s="1919"/>
      <c r="AE323" s="1919"/>
      <c r="AF323" s="1919"/>
      <c r="AG323" s="60"/>
      <c r="AH323" s="60"/>
      <c r="AI323" s="62"/>
      <c r="AJ323" s="62"/>
      <c r="AK323" s="62"/>
      <c r="AL323" s="39"/>
    </row>
    <row r="324" spans="1:66" ht="13.2">
      <c r="A324" s="39"/>
      <c r="B324" s="58" t="s">
        <v>80</v>
      </c>
      <c r="C324" s="58"/>
      <c r="D324" s="58"/>
      <c r="E324" s="58"/>
      <c r="F324" s="58"/>
      <c r="G324" s="58"/>
      <c r="H324" s="1944" t="s">
        <v>2524</v>
      </c>
      <c r="I324" s="1944"/>
      <c r="J324" s="1944"/>
      <c r="K324" s="1944"/>
      <c r="L324" s="1944"/>
      <c r="M324" s="1944"/>
      <c r="N324" s="1894"/>
      <c r="O324" s="1894"/>
      <c r="P324" s="1894"/>
      <c r="Q324" s="1894"/>
      <c r="R324" s="1894"/>
      <c r="S324" s="58"/>
      <c r="T324" s="58" t="s">
        <v>80</v>
      </c>
      <c r="V324" s="58"/>
      <c r="W324" s="58"/>
      <c r="X324" s="58"/>
      <c r="Y324" s="58"/>
      <c r="AA324" s="1944" t="s">
        <v>2503</v>
      </c>
      <c r="AB324" s="1944"/>
      <c r="AC324" s="1944"/>
      <c r="AD324" s="1944"/>
      <c r="AE324" s="1944"/>
      <c r="AF324" s="1944"/>
      <c r="AG324" s="1894"/>
      <c r="AH324" s="1894"/>
      <c r="AI324" s="1894"/>
      <c r="AJ324" s="1894"/>
      <c r="AK324" s="189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372</v>
      </c>
      <c r="C326" s="58"/>
      <c r="D326" s="58"/>
      <c r="E326" s="58"/>
      <c r="F326" s="58"/>
      <c r="H326" s="1894" t="s">
        <v>615</v>
      </c>
      <c r="I326" s="1894"/>
      <c r="J326" s="1894"/>
      <c r="K326" s="1894"/>
      <c r="L326" s="1894"/>
      <c r="M326" s="1894"/>
      <c r="N326" s="1894"/>
      <c r="O326" s="1894"/>
      <c r="P326" s="1894"/>
      <c r="Q326" s="1894"/>
      <c r="R326" s="1894"/>
      <c r="T326" s="58" t="s">
        <v>373</v>
      </c>
      <c r="V326" s="58"/>
      <c r="W326" s="58"/>
      <c r="X326" s="58"/>
      <c r="Y326" s="58"/>
      <c r="AA326" s="1894" t="s">
        <v>615</v>
      </c>
      <c r="AB326" s="1894"/>
      <c r="AC326" s="1894"/>
      <c r="AD326" s="1894"/>
      <c r="AE326" s="1894"/>
      <c r="AF326" s="1894"/>
      <c r="AG326" s="1894"/>
      <c r="AH326" s="1894"/>
      <c r="AI326" s="1894"/>
      <c r="AJ326" s="1894"/>
      <c r="AK326" s="1894"/>
      <c r="AL326" s="39"/>
    </row>
    <row r="327" spans="1:66" ht="13.2">
      <c r="A327" s="39"/>
      <c r="B327" s="58" t="s">
        <v>494</v>
      </c>
      <c r="C327" s="58"/>
      <c r="D327" s="58"/>
      <c r="E327" s="58"/>
      <c r="F327" s="58"/>
      <c r="H327" s="1944"/>
      <c r="I327" s="1944"/>
      <c r="J327" s="1944"/>
      <c r="K327" s="1944"/>
      <c r="L327" s="1944"/>
      <c r="M327" s="1944"/>
      <c r="N327" s="1944"/>
      <c r="O327" s="1944"/>
      <c r="P327" s="1944"/>
      <c r="Q327" s="1944"/>
      <c r="R327" s="1944"/>
      <c r="T327" s="58" t="s">
        <v>494</v>
      </c>
      <c r="V327" s="58"/>
      <c r="W327" s="58"/>
      <c r="X327" s="58"/>
      <c r="Y327" s="58"/>
      <c r="AA327" s="1944"/>
      <c r="AB327" s="1944"/>
      <c r="AC327" s="1944"/>
      <c r="AD327" s="1944"/>
      <c r="AE327" s="1944"/>
      <c r="AF327" s="1944"/>
      <c r="AG327" s="1944"/>
      <c r="AH327" s="1944"/>
      <c r="AI327" s="1944"/>
      <c r="AJ327" s="1944"/>
      <c r="AK327" s="1944"/>
      <c r="AL327" s="39"/>
    </row>
    <row r="328" spans="1:66" ht="13.2">
      <c r="A328" s="39"/>
      <c r="B328" s="58" t="s">
        <v>495</v>
      </c>
      <c r="C328" s="58"/>
      <c r="D328" s="58"/>
      <c r="E328" s="58"/>
      <c r="F328" s="58"/>
      <c r="H328" s="1944"/>
      <c r="I328" s="1944"/>
      <c r="J328" s="1944"/>
      <c r="K328" s="1944"/>
      <c r="L328" s="1944"/>
      <c r="M328" s="1944"/>
      <c r="N328" s="1944"/>
      <c r="O328" s="1944"/>
      <c r="P328" s="1944"/>
      <c r="Q328" s="1944"/>
      <c r="R328" s="1944"/>
      <c r="T328" s="58" t="s">
        <v>79</v>
      </c>
      <c r="V328" s="58"/>
      <c r="W328" s="58"/>
      <c r="X328" s="58"/>
      <c r="Y328" s="58"/>
      <c r="AA328" s="1944"/>
      <c r="AB328" s="1944"/>
      <c r="AC328" s="1944"/>
      <c r="AD328" s="1944"/>
      <c r="AE328" s="1944"/>
      <c r="AF328" s="1944"/>
      <c r="AG328" s="1944"/>
      <c r="AH328" s="1944"/>
      <c r="AI328" s="1944"/>
      <c r="AJ328" s="1944"/>
      <c r="AK328" s="1944"/>
      <c r="AL328" s="39"/>
    </row>
    <row r="329" spans="1:66" ht="13.2">
      <c r="A329" s="39"/>
      <c r="B329" s="58" t="s">
        <v>92</v>
      </c>
      <c r="C329" s="58"/>
      <c r="D329" s="58"/>
      <c r="E329" s="58"/>
      <c r="F329" s="58"/>
      <c r="H329" s="1944"/>
      <c r="I329" s="1944"/>
      <c r="J329" s="1944"/>
      <c r="K329" s="1944"/>
      <c r="L329" s="1944"/>
      <c r="M329" s="1944"/>
      <c r="N329" s="1944"/>
      <c r="O329" s="1944"/>
      <c r="P329" s="1944"/>
      <c r="Q329" s="1944"/>
      <c r="R329" s="1944"/>
      <c r="T329" s="58" t="s">
        <v>92</v>
      </c>
      <c r="V329" s="58"/>
      <c r="W329" s="58"/>
      <c r="X329" s="58"/>
      <c r="Y329" s="58"/>
      <c r="AA329" s="1944"/>
      <c r="AB329" s="1944"/>
      <c r="AC329" s="1944"/>
      <c r="AD329" s="1944"/>
      <c r="AE329" s="1944"/>
      <c r="AF329" s="1944"/>
      <c r="AG329" s="1944"/>
      <c r="AH329" s="1944"/>
      <c r="AI329" s="1944"/>
      <c r="AJ329" s="1944"/>
      <c r="AK329" s="1944"/>
      <c r="AL329" s="39"/>
    </row>
    <row r="330" spans="1:66" ht="12.75" customHeight="1">
      <c r="A330" s="39"/>
      <c r="B330" s="58" t="s">
        <v>93</v>
      </c>
      <c r="C330" s="58"/>
      <c r="D330" s="58"/>
      <c r="E330" s="58"/>
      <c r="F330" s="58"/>
      <c r="G330" s="58"/>
      <c r="H330" s="2035"/>
      <c r="I330" s="2035"/>
      <c r="J330" s="2035"/>
      <c r="K330" s="2035"/>
      <c r="L330" s="2035"/>
      <c r="M330" s="2035"/>
      <c r="N330" s="7" t="s">
        <v>211</v>
      </c>
      <c r="O330" s="7"/>
      <c r="P330" s="2046"/>
      <c r="Q330" s="2046"/>
      <c r="R330" s="2046"/>
      <c r="S330" s="58"/>
      <c r="T330" s="58" t="s">
        <v>93</v>
      </c>
      <c r="V330" s="58"/>
      <c r="W330" s="58"/>
      <c r="X330" s="58"/>
      <c r="Y330" s="58"/>
      <c r="AA330" s="2035"/>
      <c r="AB330" s="2035"/>
      <c r="AC330" s="2035"/>
      <c r="AD330" s="2035"/>
      <c r="AE330" s="2035"/>
      <c r="AF330" s="2035"/>
      <c r="AG330" s="7" t="s">
        <v>211</v>
      </c>
      <c r="AH330" s="7"/>
      <c r="AI330" s="2046"/>
      <c r="AJ330" s="2046"/>
      <c r="AK330" s="2046"/>
      <c r="AL330" s="39"/>
    </row>
    <row r="331" spans="1:66" ht="13.2">
      <c r="A331" s="39"/>
      <c r="B331" s="58" t="s">
        <v>94</v>
      </c>
      <c r="C331" s="58"/>
      <c r="D331" s="58"/>
      <c r="E331" s="58"/>
      <c r="F331" s="58"/>
      <c r="G331" s="58"/>
      <c r="H331" s="1919"/>
      <c r="I331" s="1919"/>
      <c r="J331" s="1919"/>
      <c r="K331" s="1919"/>
      <c r="L331" s="1919"/>
      <c r="M331" s="1919"/>
      <c r="N331" s="60"/>
      <c r="O331" s="60"/>
      <c r="P331" s="62"/>
      <c r="Q331" s="62"/>
      <c r="R331" s="62"/>
      <c r="S331" s="58"/>
      <c r="T331" s="58" t="s">
        <v>94</v>
      </c>
      <c r="V331" s="58"/>
      <c r="W331" s="58"/>
      <c r="X331" s="58"/>
      <c r="Y331" s="58"/>
      <c r="AA331" s="1919"/>
      <c r="AB331" s="1919"/>
      <c r="AC331" s="1919"/>
      <c r="AD331" s="1919"/>
      <c r="AE331" s="1919"/>
      <c r="AF331" s="1919"/>
      <c r="AG331" s="60"/>
      <c r="AH331" s="60"/>
      <c r="AI331" s="62"/>
      <c r="AJ331" s="62"/>
      <c r="AK331" s="62"/>
      <c r="AL331" s="39"/>
    </row>
    <row r="332" spans="1:66" ht="13.2">
      <c r="A332" s="39"/>
      <c r="B332" s="58" t="s">
        <v>80</v>
      </c>
      <c r="C332" s="58"/>
      <c r="D332" s="58"/>
      <c r="E332" s="58"/>
      <c r="F332" s="58"/>
      <c r="G332" s="58"/>
      <c r="H332" s="1944"/>
      <c r="I332" s="1944"/>
      <c r="J332" s="1944"/>
      <c r="K332" s="1944"/>
      <c r="L332" s="1944"/>
      <c r="M332" s="1944"/>
      <c r="N332" s="1894"/>
      <c r="O332" s="1894"/>
      <c r="P332" s="1894"/>
      <c r="Q332" s="1894"/>
      <c r="R332" s="1894"/>
      <c r="S332" s="58"/>
      <c r="T332" s="58" t="s">
        <v>80</v>
      </c>
      <c r="V332" s="58"/>
      <c r="W332" s="58"/>
      <c r="X332" s="58"/>
      <c r="Y332" s="58"/>
      <c r="AA332" s="1944"/>
      <c r="AB332" s="1944"/>
      <c r="AC332" s="1944"/>
      <c r="AD332" s="1944"/>
      <c r="AE332" s="1944"/>
      <c r="AF332" s="1944"/>
      <c r="AG332" s="1894"/>
      <c r="AH332" s="1894"/>
      <c r="AI332" s="1894"/>
      <c r="AJ332" s="1894"/>
      <c r="AK332" s="189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1894" t="s">
        <v>2510</v>
      </c>
      <c r="I334" s="1894"/>
      <c r="J334" s="1894"/>
      <c r="K334" s="1894"/>
      <c r="L334" s="1894"/>
      <c r="M334" s="1894"/>
      <c r="N334" s="1894"/>
      <c r="O334" s="1894"/>
      <c r="P334" s="1894"/>
      <c r="Q334" s="1894"/>
      <c r="R334" s="1894"/>
      <c r="T334" s="402" t="s">
        <v>932</v>
      </c>
      <c r="V334" s="58"/>
      <c r="W334" s="58"/>
      <c r="X334" s="58"/>
      <c r="Y334" s="58"/>
      <c r="AA334" s="1894" t="s">
        <v>2533</v>
      </c>
      <c r="AB334" s="1894"/>
      <c r="AC334" s="1894"/>
      <c r="AD334" s="1894"/>
      <c r="AE334" s="1894"/>
      <c r="AF334" s="1894"/>
      <c r="AG334" s="1894"/>
      <c r="AH334" s="1894"/>
      <c r="AI334" s="1894"/>
      <c r="AJ334" s="1894"/>
      <c r="AK334" s="1894"/>
      <c r="AL334" s="39"/>
    </row>
    <row r="335" spans="1:66" ht="12.75" customHeight="1">
      <c r="B335" s="58" t="s">
        <v>494</v>
      </c>
      <c r="C335" s="240"/>
      <c r="D335" s="240"/>
      <c r="E335" s="240"/>
      <c r="F335" s="240"/>
      <c r="G335" s="3"/>
      <c r="H335" s="1944" t="s">
        <v>2511</v>
      </c>
      <c r="I335" s="1944"/>
      <c r="J335" s="1944"/>
      <c r="K335" s="1944"/>
      <c r="L335" s="1944"/>
      <c r="M335" s="1944"/>
      <c r="N335" s="1944"/>
      <c r="O335" s="1944"/>
      <c r="P335" s="1944"/>
      <c r="Q335" s="1944"/>
      <c r="R335" s="1944"/>
      <c r="T335" s="58" t="s">
        <v>494</v>
      </c>
      <c r="V335" s="58"/>
      <c r="W335" s="58"/>
      <c r="X335" s="58"/>
      <c r="Y335" s="58"/>
      <c r="AA335" s="1944" t="s">
        <v>2477</v>
      </c>
      <c r="AB335" s="1944"/>
      <c r="AC335" s="1944"/>
      <c r="AD335" s="1944"/>
      <c r="AE335" s="1944"/>
      <c r="AF335" s="1944"/>
      <c r="AG335" s="1944"/>
      <c r="AH335" s="1944"/>
      <c r="AI335" s="1944"/>
      <c r="AJ335" s="1944"/>
      <c r="AK335" s="1944"/>
      <c r="AL335" s="39"/>
    </row>
    <row r="336" spans="1:66" ht="12.75" customHeight="1">
      <c r="B336" s="58" t="s">
        <v>79</v>
      </c>
      <c r="C336" s="240"/>
      <c r="D336" s="240"/>
      <c r="E336" s="240"/>
      <c r="F336" s="240"/>
      <c r="G336" s="3"/>
      <c r="H336" s="1944" t="s">
        <v>2512</v>
      </c>
      <c r="I336" s="1944"/>
      <c r="J336" s="1944"/>
      <c r="K336" s="1944"/>
      <c r="L336" s="1944"/>
      <c r="M336" s="1944"/>
      <c r="N336" s="1944"/>
      <c r="O336" s="1944"/>
      <c r="P336" s="1944"/>
      <c r="Q336" s="1944"/>
      <c r="R336" s="1944"/>
      <c r="T336" s="58" t="s">
        <v>79</v>
      </c>
      <c r="V336" s="58"/>
      <c r="W336" s="58"/>
      <c r="X336" s="58"/>
      <c r="Y336" s="58"/>
      <c r="AA336" s="1944" t="s">
        <v>2484</v>
      </c>
      <c r="AB336" s="1944"/>
      <c r="AC336" s="1944"/>
      <c r="AD336" s="1944"/>
      <c r="AE336" s="1944"/>
      <c r="AF336" s="1944"/>
      <c r="AG336" s="1944"/>
      <c r="AH336" s="1944"/>
      <c r="AI336" s="1944"/>
      <c r="AJ336" s="1944"/>
      <c r="AK336" s="1944"/>
      <c r="AL336" s="39"/>
    </row>
    <row r="337" spans="1:66" ht="12.75" customHeight="1">
      <c r="A337" s="39"/>
      <c r="B337" s="58" t="s">
        <v>92</v>
      </c>
      <c r="C337" s="240"/>
      <c r="D337" s="240"/>
      <c r="E337" s="240"/>
      <c r="F337" s="240"/>
      <c r="G337" s="240"/>
      <c r="H337" s="1944" t="s">
        <v>2513</v>
      </c>
      <c r="I337" s="1944"/>
      <c r="J337" s="1944"/>
      <c r="K337" s="1944"/>
      <c r="L337" s="1944"/>
      <c r="M337" s="1944"/>
      <c r="N337" s="1944"/>
      <c r="O337" s="1944"/>
      <c r="P337" s="1944"/>
      <c r="Q337" s="1944"/>
      <c r="R337" s="1944"/>
      <c r="T337" s="58" t="s">
        <v>92</v>
      </c>
      <c r="V337" s="58"/>
      <c r="W337" s="58"/>
      <c r="X337" s="58"/>
      <c r="Y337" s="58"/>
      <c r="AA337" s="1944" t="s">
        <v>2534</v>
      </c>
      <c r="AB337" s="1944"/>
      <c r="AC337" s="1944"/>
      <c r="AD337" s="1944"/>
      <c r="AE337" s="1944"/>
      <c r="AF337" s="1944"/>
      <c r="AG337" s="1944"/>
      <c r="AH337" s="1944"/>
      <c r="AI337" s="1944"/>
      <c r="AJ337" s="1944"/>
      <c r="AK337" s="1944"/>
      <c r="AL337" s="39"/>
    </row>
    <row r="338" spans="1:66" ht="12.75" customHeight="1">
      <c r="A338" s="39"/>
      <c r="B338" s="58" t="s">
        <v>93</v>
      </c>
      <c r="C338" s="240"/>
      <c r="D338" s="240"/>
      <c r="E338" s="240"/>
      <c r="F338" s="240"/>
      <c r="G338" s="240"/>
      <c r="H338" s="2047" t="s">
        <v>2514</v>
      </c>
      <c r="I338" s="2035"/>
      <c r="J338" s="2035"/>
      <c r="K338" s="2035"/>
      <c r="L338" s="2035"/>
      <c r="M338" s="2035"/>
      <c r="N338" s="7" t="s">
        <v>211</v>
      </c>
      <c r="O338" s="7"/>
      <c r="P338" s="2046"/>
      <c r="Q338" s="2046"/>
      <c r="R338" s="2046"/>
      <c r="S338" s="58"/>
      <c r="T338" s="58" t="s">
        <v>93</v>
      </c>
      <c r="V338" s="58"/>
      <c r="W338" s="58"/>
      <c r="X338" s="58"/>
      <c r="Y338" s="58"/>
      <c r="AA338" s="2047" t="s">
        <v>2486</v>
      </c>
      <c r="AB338" s="2035"/>
      <c r="AC338" s="2035"/>
      <c r="AD338" s="2035"/>
      <c r="AE338" s="2035"/>
      <c r="AF338" s="2035"/>
      <c r="AG338" s="7" t="s">
        <v>211</v>
      </c>
      <c r="AH338" s="7"/>
      <c r="AI338" s="2046"/>
      <c r="AJ338" s="2046"/>
      <c r="AK338" s="2046"/>
      <c r="AL338" s="39"/>
    </row>
    <row r="339" spans="1:66" ht="13.2">
      <c r="A339" s="39"/>
      <c r="B339" s="58" t="s">
        <v>94</v>
      </c>
      <c r="C339" s="240"/>
      <c r="D339" s="240"/>
      <c r="E339" s="240"/>
      <c r="F339" s="240"/>
      <c r="G339" s="240"/>
      <c r="H339" s="1919"/>
      <c r="I339" s="1919"/>
      <c r="J339" s="1919"/>
      <c r="K339" s="1919"/>
      <c r="L339" s="1919"/>
      <c r="M339" s="1919"/>
      <c r="N339" s="60"/>
      <c r="O339" s="60"/>
      <c r="P339" s="62"/>
      <c r="Q339" s="62"/>
      <c r="R339" s="62"/>
      <c r="S339" s="58"/>
      <c r="T339" s="58" t="s">
        <v>94</v>
      </c>
      <c r="V339" s="58"/>
      <c r="W339" s="58"/>
      <c r="X339" s="58"/>
      <c r="Y339" s="58"/>
      <c r="AA339" s="1919"/>
      <c r="AB339" s="1919"/>
      <c r="AC339" s="1919"/>
      <c r="AD339" s="1919"/>
      <c r="AE339" s="1919"/>
      <c r="AF339" s="1919"/>
      <c r="AG339" s="60"/>
      <c r="AH339" s="60"/>
      <c r="AI339" s="62"/>
      <c r="AJ339" s="62"/>
      <c r="AK339" s="62"/>
      <c r="AL339" s="39"/>
    </row>
    <row r="340" spans="1:66" ht="13.2">
      <c r="A340" s="39"/>
      <c r="B340" s="58" t="s">
        <v>80</v>
      </c>
      <c r="C340" s="237"/>
      <c r="D340" s="237"/>
      <c r="E340" s="237"/>
      <c r="F340" s="237"/>
      <c r="G340" s="237"/>
      <c r="H340" s="1944" t="s">
        <v>2515</v>
      </c>
      <c r="I340" s="1944"/>
      <c r="J340" s="1944"/>
      <c r="K340" s="1944"/>
      <c r="L340" s="1944"/>
      <c r="M340" s="1944"/>
      <c r="N340" s="1894"/>
      <c r="O340" s="1894"/>
      <c r="P340" s="1894"/>
      <c r="Q340" s="1894"/>
      <c r="R340" s="1894"/>
      <c r="S340" s="58"/>
      <c r="T340" s="58" t="s">
        <v>80</v>
      </c>
      <c r="V340" s="58"/>
      <c r="W340" s="58"/>
      <c r="X340" s="58"/>
      <c r="Y340" s="58"/>
      <c r="AA340" s="1944" t="s">
        <v>2535</v>
      </c>
      <c r="AB340" s="1944"/>
      <c r="AC340" s="1944"/>
      <c r="AD340" s="1944"/>
      <c r="AE340" s="1944"/>
      <c r="AF340" s="1944"/>
      <c r="AG340" s="1894"/>
      <c r="AH340" s="1894"/>
      <c r="AI340" s="1894"/>
      <c r="AJ340" s="1894"/>
      <c r="AK340" s="189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933</v>
      </c>
      <c r="P342" s="1894" t="s">
        <v>615</v>
      </c>
      <c r="Q342" s="1894"/>
      <c r="R342" s="1894"/>
      <c r="S342" s="1894"/>
      <c r="T342" s="1894"/>
      <c r="U342" s="1894"/>
      <c r="V342" s="1894"/>
      <c r="W342" s="1894"/>
      <c r="X342" s="1894"/>
      <c r="Y342" s="1894"/>
      <c r="Z342" s="1894"/>
      <c r="AA342" s="1894"/>
      <c r="AB342" s="1894"/>
      <c r="AC342" s="1894"/>
      <c r="AD342" s="1894"/>
      <c r="AE342" s="1894"/>
      <c r="AF342" s="88"/>
      <c r="AG342" s="88"/>
      <c r="AH342" s="88"/>
      <c r="AI342" s="88"/>
      <c r="AJ342" s="88"/>
      <c r="AK342" s="88"/>
      <c r="AL342" s="39"/>
      <c r="BN342" s="12" t="s">
        <v>615</v>
      </c>
    </row>
    <row r="343" spans="1:66" ht="13.2">
      <c r="A343" s="3"/>
      <c r="B343" s="60"/>
      <c r="C343" s="60"/>
      <c r="D343" s="60"/>
      <c r="E343" s="60"/>
      <c r="F343" s="60"/>
      <c r="G343" s="3"/>
      <c r="H343" s="88"/>
      <c r="I343" s="7" t="s">
        <v>494</v>
      </c>
      <c r="P343" s="1944"/>
      <c r="Q343" s="1944"/>
      <c r="R343" s="1944"/>
      <c r="S343" s="1944"/>
      <c r="T343" s="1944"/>
      <c r="U343" s="1944"/>
      <c r="V343" s="1944"/>
      <c r="W343" s="1944"/>
      <c r="X343" s="1944"/>
      <c r="Y343" s="1944"/>
      <c r="Z343" s="1944"/>
      <c r="AA343" s="1944"/>
      <c r="AB343" s="1944"/>
      <c r="AC343" s="1944"/>
      <c r="AD343" s="1944"/>
      <c r="AE343" s="1944"/>
      <c r="AF343" s="88"/>
      <c r="AG343" s="88"/>
      <c r="AH343" s="88"/>
      <c r="AI343" s="88"/>
      <c r="AJ343" s="88"/>
      <c r="AK343" s="88"/>
      <c r="AL343" s="39"/>
      <c r="BN343" s="12" t="s">
        <v>693</v>
      </c>
    </row>
    <row r="344" spans="1:66" ht="13.2">
      <c r="A344" s="3"/>
      <c r="B344" s="60"/>
      <c r="C344" s="60"/>
      <c r="D344" s="60"/>
      <c r="E344" s="60"/>
      <c r="F344" s="60"/>
      <c r="G344" s="3"/>
      <c r="H344" s="88"/>
      <c r="I344" s="7" t="s">
        <v>79</v>
      </c>
      <c r="P344" s="1944"/>
      <c r="Q344" s="1944"/>
      <c r="R344" s="1944"/>
      <c r="S344" s="1944"/>
      <c r="T344" s="1944"/>
      <c r="U344" s="1944"/>
      <c r="V344" s="1944"/>
      <c r="W344" s="1944"/>
      <c r="X344" s="1944"/>
      <c r="Y344" s="1944"/>
      <c r="Z344" s="1944"/>
      <c r="AA344" s="1944"/>
      <c r="AB344" s="1944"/>
      <c r="AC344" s="1944"/>
      <c r="AD344" s="1944"/>
      <c r="AE344" s="1944"/>
      <c r="AF344" s="88"/>
      <c r="AG344" s="88"/>
      <c r="AH344" s="88"/>
      <c r="AI344" s="88"/>
      <c r="AJ344" s="88"/>
      <c r="AK344" s="88"/>
      <c r="AL344" s="39"/>
      <c r="BN344" s="12" t="s">
        <v>568</v>
      </c>
    </row>
    <row r="345" spans="1:66" ht="13.2">
      <c r="A345" s="3"/>
      <c r="B345" s="60"/>
      <c r="C345" s="60"/>
      <c r="D345" s="60"/>
      <c r="E345" s="60"/>
      <c r="F345" s="60"/>
      <c r="G345" s="60"/>
      <c r="H345" s="88"/>
      <c r="I345" s="7" t="s">
        <v>92</v>
      </c>
      <c r="P345" s="1944"/>
      <c r="Q345" s="1944"/>
      <c r="R345" s="1944"/>
      <c r="S345" s="1944"/>
      <c r="T345" s="1944"/>
      <c r="U345" s="1944"/>
      <c r="V345" s="1944"/>
      <c r="W345" s="1944"/>
      <c r="X345" s="1944"/>
      <c r="Y345" s="1944"/>
      <c r="Z345" s="1944"/>
      <c r="AA345" s="1944"/>
      <c r="AB345" s="1944"/>
      <c r="AC345" s="1944"/>
      <c r="AD345" s="1944"/>
      <c r="AE345" s="1944"/>
      <c r="AF345" s="88"/>
      <c r="AG345" s="88"/>
      <c r="AH345" s="88"/>
      <c r="AI345" s="88"/>
      <c r="AJ345" s="88"/>
      <c r="AK345" s="88"/>
      <c r="AL345" s="39"/>
    </row>
    <row r="346" spans="1:66" ht="13.2">
      <c r="A346" s="3"/>
      <c r="B346" s="60"/>
      <c r="C346" s="60"/>
      <c r="D346" s="60"/>
      <c r="E346" s="60"/>
      <c r="F346" s="60"/>
      <c r="G346" s="60"/>
      <c r="H346" s="462"/>
      <c r="I346" s="7" t="s">
        <v>93</v>
      </c>
      <c r="P346" s="1919"/>
      <c r="Q346" s="1919"/>
      <c r="R346" s="1919"/>
      <c r="S346" s="1919"/>
      <c r="T346" s="1919"/>
      <c r="U346" s="1919"/>
      <c r="V346" s="1919"/>
      <c r="W346" s="1919"/>
      <c r="X346" s="1919"/>
      <c r="Y346" s="1919"/>
      <c r="Z346" s="1919"/>
      <c r="AA346" s="7" t="s">
        <v>211</v>
      </c>
      <c r="AB346" s="7"/>
      <c r="AC346" s="1885"/>
      <c r="AD346" s="1885"/>
      <c r="AE346" s="1885"/>
      <c r="AF346" s="462"/>
      <c r="AG346" s="60"/>
      <c r="AH346" s="60"/>
      <c r="AI346" s="403"/>
      <c r="AJ346" s="403"/>
      <c r="AK346" s="403"/>
      <c r="AL346" s="39"/>
    </row>
    <row r="347" spans="1:66" ht="12.75" customHeight="1">
      <c r="A347" s="3"/>
      <c r="B347" s="60"/>
      <c r="C347" s="60"/>
      <c r="D347" s="60"/>
      <c r="E347" s="60"/>
      <c r="F347" s="60"/>
      <c r="G347" s="60"/>
      <c r="H347" s="462"/>
      <c r="I347" s="7" t="s">
        <v>94</v>
      </c>
      <c r="P347" s="1919"/>
      <c r="Q347" s="1919"/>
      <c r="R347" s="1919"/>
      <c r="S347" s="1919"/>
      <c r="T347" s="1919"/>
      <c r="U347" s="1919"/>
      <c r="V347" s="1919"/>
      <c r="W347" s="1919"/>
      <c r="X347" s="1919"/>
      <c r="Y347" s="1919"/>
      <c r="Z347" s="1919"/>
      <c r="AF347" s="462"/>
      <c r="AG347" s="60"/>
      <c r="AH347" s="60"/>
      <c r="AI347" s="62"/>
      <c r="AJ347" s="62"/>
      <c r="AK347" s="62"/>
      <c r="AL347" s="39"/>
    </row>
    <row r="348" spans="1:66" ht="13.2">
      <c r="A348" s="3"/>
      <c r="B348" s="60"/>
      <c r="C348" s="403"/>
      <c r="D348" s="403"/>
      <c r="E348" s="403"/>
      <c r="F348" s="403"/>
      <c r="G348" s="403"/>
      <c r="H348" s="88"/>
      <c r="I348" s="7" t="s">
        <v>80</v>
      </c>
      <c r="P348" s="1894"/>
      <c r="Q348" s="1894"/>
      <c r="R348" s="1894"/>
      <c r="S348" s="1894"/>
      <c r="T348" s="1894"/>
      <c r="U348" s="1894"/>
      <c r="V348" s="1894"/>
      <c r="W348" s="1894"/>
      <c r="X348" s="1894"/>
      <c r="Y348" s="1894"/>
      <c r="Z348" s="1894"/>
      <c r="AA348" s="1894"/>
      <c r="AB348" s="1894"/>
      <c r="AC348" s="1894"/>
      <c r="AD348" s="1894"/>
      <c r="AE348" s="189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1939" t="s">
        <v>565</v>
      </c>
      <c r="B350" s="1939"/>
      <c r="C350" s="1939"/>
      <c r="D350" s="1939"/>
      <c r="E350" s="1939"/>
      <c r="F350" s="1939"/>
      <c r="G350" s="1939"/>
      <c r="H350" s="1939"/>
      <c r="I350" s="1939"/>
      <c r="J350" s="1939"/>
      <c r="K350" s="1939"/>
      <c r="L350" s="1939"/>
      <c r="M350" s="1939"/>
      <c r="N350" s="1939"/>
      <c r="O350" s="1939"/>
      <c r="P350" s="1939"/>
      <c r="Q350" s="1939"/>
      <c r="R350" s="1939"/>
      <c r="S350" s="1939"/>
      <c r="T350" s="1939"/>
      <c r="U350" s="1939"/>
      <c r="V350" s="1939"/>
      <c r="W350" s="1939"/>
      <c r="X350" s="1939"/>
      <c r="Y350" s="1939"/>
      <c r="Z350" s="1939"/>
      <c r="AA350" s="1939"/>
      <c r="AB350" s="1939"/>
      <c r="AC350" s="1939"/>
      <c r="AD350" s="1939"/>
      <c r="AE350" s="1939"/>
      <c r="AF350" s="1939"/>
      <c r="AG350" s="1939"/>
      <c r="AH350" s="1939"/>
      <c r="AI350" s="1939"/>
      <c r="AJ350" s="1939"/>
      <c r="AK350" s="1939"/>
      <c r="AL350" s="1939"/>
      <c r="AM350" s="144"/>
      <c r="AN350" s="144"/>
      <c r="AO350" s="144"/>
      <c r="AP350" s="144"/>
      <c r="AQ350" s="144"/>
      <c r="AR350" s="144"/>
      <c r="AS350" s="144"/>
      <c r="AT350" s="144"/>
      <c r="AU350" s="144"/>
      <c r="AV350" s="144"/>
      <c r="AW350" s="144"/>
      <c r="AX350" s="144"/>
      <c r="AY350" s="144"/>
    </row>
    <row r="351" spans="1:66" ht="13.8" thickBot="1">
      <c r="A351" s="1940"/>
      <c r="B351" s="1940"/>
      <c r="C351" s="1940"/>
      <c r="D351" s="1940"/>
      <c r="E351" s="1940"/>
      <c r="F351" s="1940"/>
      <c r="G351" s="1940"/>
      <c r="H351" s="1940"/>
      <c r="I351" s="1940"/>
      <c r="J351" s="1940"/>
      <c r="K351" s="1940"/>
      <c r="L351" s="1940"/>
      <c r="M351" s="1940"/>
      <c r="N351" s="1940"/>
      <c r="O351" s="1940"/>
      <c r="P351" s="1940"/>
      <c r="Q351" s="1940"/>
      <c r="R351" s="1940"/>
      <c r="S351" s="1940"/>
      <c r="T351" s="1940"/>
      <c r="U351" s="1940"/>
      <c r="V351" s="1940"/>
      <c r="W351" s="1940"/>
      <c r="X351" s="1940"/>
      <c r="Y351" s="1940"/>
      <c r="Z351" s="1940"/>
      <c r="AA351" s="1940"/>
      <c r="AB351" s="1940"/>
      <c r="AC351" s="1940"/>
      <c r="AD351" s="1940"/>
      <c r="AE351" s="1940"/>
      <c r="AF351" s="1940"/>
      <c r="AG351" s="1940"/>
      <c r="AH351" s="1940"/>
      <c r="AI351" s="1940"/>
      <c r="AJ351" s="1940"/>
      <c r="AK351" s="1940"/>
      <c r="AL351" s="1940"/>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821</v>
      </c>
      <c r="K353" s="25"/>
      <c r="L353" s="25"/>
    </row>
    <row r="354" spans="1:37" ht="12.75" customHeight="1">
      <c r="D354" s="12" t="s">
        <v>374</v>
      </c>
      <c r="M354" s="1893" t="s">
        <v>568</v>
      </c>
      <c r="N354" s="1893"/>
      <c r="P354" s="12" t="s">
        <v>1852</v>
      </c>
      <c r="AJ354" s="1893" t="s">
        <v>615</v>
      </c>
      <c r="AK354" s="1893"/>
    </row>
    <row r="355" spans="1:37" ht="12.75" customHeight="1">
      <c r="D355" s="58" t="s">
        <v>1841</v>
      </c>
      <c r="M355" s="1893" t="s">
        <v>615</v>
      </c>
      <c r="N355" s="1893"/>
      <c r="P355" s="58" t="s">
        <v>2028</v>
      </c>
      <c r="AJ355" s="2007" t="s">
        <v>615</v>
      </c>
      <c r="AK355" s="2007"/>
    </row>
    <row r="356" spans="1:37" ht="12.75" customHeight="1">
      <c r="D356" s="12" t="s">
        <v>732</v>
      </c>
      <c r="M356" s="1893" t="s">
        <v>615</v>
      </c>
      <c r="N356" s="1893"/>
      <c r="P356" s="711" t="s">
        <v>1851</v>
      </c>
      <c r="AJ356" s="1893" t="s">
        <v>615</v>
      </c>
      <c r="AK356" s="1893"/>
    </row>
    <row r="357" spans="1:37" ht="12.75" customHeight="1">
      <c r="D357" s="12" t="s">
        <v>733</v>
      </c>
      <c r="M357" s="1893" t="s">
        <v>615</v>
      </c>
      <c r="N357" s="1893"/>
      <c r="Q357" s="7"/>
    </row>
    <row r="358" spans="1:37" ht="12.75" customHeight="1">
      <c r="Q358" s="7"/>
    </row>
    <row r="359" spans="1:37" ht="12.75" customHeight="1">
      <c r="Q359" s="7"/>
    </row>
    <row r="360" spans="1:37" ht="12.75" customHeight="1">
      <c r="A360" s="50" t="s">
        <v>600</v>
      </c>
      <c r="B360" s="50"/>
      <c r="C360" s="50" t="s">
        <v>575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893" t="s">
        <v>615</v>
      </c>
      <c r="O362" s="1893"/>
      <c r="P362" s="69"/>
      <c r="Q362" s="69"/>
      <c r="R362" s="69"/>
      <c r="S362" s="69"/>
      <c r="T362" s="69"/>
      <c r="U362" s="69"/>
      <c r="V362" s="69"/>
      <c r="W362" s="69"/>
      <c r="X362" s="69"/>
      <c r="Y362" s="70"/>
      <c r="Z362" s="70"/>
      <c r="AC362" s="69"/>
      <c r="AD362" s="69"/>
      <c r="AE362" s="69"/>
    </row>
    <row r="363" spans="1:37" ht="12.75" customHeight="1">
      <c r="E363" s="12" t="s">
        <v>376</v>
      </c>
      <c r="Y363" s="1893" t="s">
        <v>615</v>
      </c>
      <c r="Z363" s="1893"/>
    </row>
    <row r="364" spans="1:37" ht="12.75" customHeight="1">
      <c r="D364" s="7" t="s">
        <v>1033</v>
      </c>
      <c r="Q364" s="1894"/>
      <c r="R364" s="1894"/>
      <c r="S364" s="1894"/>
      <c r="T364" s="1894"/>
      <c r="U364" s="1894"/>
      <c r="V364" s="1894"/>
      <c r="W364" s="1894"/>
      <c r="X364" s="1894"/>
      <c r="Y364" s="1894"/>
      <c r="Z364" s="1894"/>
      <c r="AA364" s="1894"/>
      <c r="AB364" s="1894"/>
      <c r="AC364" s="1894"/>
      <c r="AD364" s="1894"/>
      <c r="AE364" s="1894"/>
      <c r="AF364" s="1894"/>
      <c r="AG364" s="189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893" t="s">
        <v>615</v>
      </c>
      <c r="K366" s="1893"/>
      <c r="L366" s="69"/>
      <c r="M366" s="69"/>
      <c r="N366" s="69"/>
      <c r="O366" s="69"/>
      <c r="P366" s="69"/>
      <c r="Q366" s="69"/>
      <c r="R366" s="69"/>
      <c r="S366" s="69"/>
      <c r="T366" s="69"/>
      <c r="U366" s="69"/>
      <c r="V366" s="69"/>
      <c r="W366" s="69"/>
      <c r="X366" s="69"/>
      <c r="Y366" s="69"/>
      <c r="Z366" s="69"/>
      <c r="AC366" s="69"/>
      <c r="AD366" s="69"/>
      <c r="AE366" s="69"/>
    </row>
    <row r="367" spans="1:37" ht="12.75" customHeight="1">
      <c r="E367" s="2243" t="s">
        <v>734</v>
      </c>
      <c r="F367" s="2243"/>
      <c r="G367" s="2243"/>
      <c r="H367" s="2243"/>
      <c r="I367" s="2243"/>
      <c r="J367" s="2243"/>
      <c r="K367" s="2243"/>
      <c r="L367" s="2243"/>
      <c r="M367" s="2243"/>
      <c r="N367" s="2243"/>
      <c r="O367" s="2243"/>
      <c r="P367" s="2243"/>
      <c r="Q367" s="2243"/>
      <c r="R367" s="2243"/>
      <c r="S367" s="2243"/>
      <c r="T367" s="2243"/>
      <c r="U367" s="2243"/>
      <c r="V367" s="2243"/>
      <c r="W367" s="2243"/>
      <c r="X367" s="2243"/>
      <c r="Y367" s="2243"/>
      <c r="Z367" s="2243"/>
      <c r="AA367" s="2243"/>
      <c r="AB367" s="2243"/>
      <c r="AC367" s="2243"/>
      <c r="AD367" s="2243"/>
      <c r="AE367" s="2243"/>
      <c r="AF367" s="2243"/>
      <c r="AG367" s="2243"/>
      <c r="AH367" s="2243"/>
    </row>
    <row r="368" spans="1:37" ht="12.75" customHeight="1">
      <c r="E368" s="2243"/>
      <c r="F368" s="2243"/>
      <c r="G368" s="2243"/>
      <c r="H368" s="2243"/>
      <c r="I368" s="2243"/>
      <c r="J368" s="2243"/>
      <c r="K368" s="2243"/>
      <c r="L368" s="2243"/>
      <c r="M368" s="2243"/>
      <c r="N368" s="2243"/>
      <c r="O368" s="2243"/>
      <c r="P368" s="2243"/>
      <c r="Q368" s="2243"/>
      <c r="R368" s="2243"/>
      <c r="S368" s="2243"/>
      <c r="T368" s="2243"/>
      <c r="U368" s="2243"/>
      <c r="V368" s="2243"/>
      <c r="W368" s="2243"/>
      <c r="X368" s="2243"/>
      <c r="Y368" s="2243"/>
      <c r="Z368" s="2243"/>
      <c r="AA368" s="2243"/>
      <c r="AB368" s="2243"/>
      <c r="AC368" s="2243"/>
      <c r="AD368" s="2243"/>
      <c r="AE368" s="2243"/>
      <c r="AF368" s="2243"/>
      <c r="AG368" s="2243"/>
      <c r="AH368" s="2243"/>
    </row>
    <row r="369" spans="1:36" ht="12.75" customHeight="1">
      <c r="E369" s="7" t="s">
        <v>470</v>
      </c>
      <c r="F369" s="7"/>
      <c r="G369" s="7"/>
      <c r="H369" s="7"/>
      <c r="I369" s="7"/>
      <c r="J369" s="7"/>
      <c r="K369" s="7"/>
      <c r="L369" s="7"/>
      <c r="N369" s="1918"/>
      <c r="O369" s="1918"/>
      <c r="P369" s="1918"/>
      <c r="Q369" s="1918"/>
      <c r="R369" s="7"/>
      <c r="U369" s="7" t="s">
        <v>471</v>
      </c>
      <c r="V369" s="7"/>
      <c r="W369" s="7"/>
      <c r="X369" s="7"/>
      <c r="Y369" s="7"/>
      <c r="Z369" s="7"/>
      <c r="AA369" s="7"/>
      <c r="AB369" s="7"/>
      <c r="AC369" s="1918"/>
      <c r="AD369" s="1918"/>
      <c r="AE369" s="1918"/>
      <c r="AF369" s="1918"/>
    </row>
    <row r="370" spans="1:36" ht="12.75" customHeight="1">
      <c r="E370" s="7" t="s">
        <v>472</v>
      </c>
      <c r="F370" s="7"/>
      <c r="G370" s="7"/>
      <c r="H370" s="7"/>
      <c r="I370" s="7"/>
      <c r="J370" s="7"/>
      <c r="K370" s="7"/>
      <c r="L370" s="7"/>
      <c r="N370" s="1918"/>
      <c r="O370" s="1918"/>
      <c r="P370" s="1918"/>
      <c r="Q370" s="1918"/>
      <c r="R370" s="7"/>
      <c r="U370" s="7" t="s">
        <v>0</v>
      </c>
      <c r="V370" s="7"/>
      <c r="W370" s="7"/>
      <c r="X370" s="7"/>
      <c r="Y370" s="7"/>
      <c r="Z370" s="7"/>
      <c r="AA370" s="7"/>
      <c r="AB370" s="7"/>
      <c r="AC370" s="1918"/>
      <c r="AD370" s="1918"/>
      <c r="AE370" s="1918"/>
      <c r="AF370" s="1918"/>
    </row>
    <row r="371" spans="1:36" ht="12.75" customHeight="1">
      <c r="E371" s="7" t="s">
        <v>1</v>
      </c>
      <c r="F371" s="7"/>
      <c r="G371" s="7"/>
      <c r="H371" s="7"/>
      <c r="I371" s="7"/>
      <c r="J371" s="7"/>
      <c r="K371" s="7"/>
      <c r="L371" s="7"/>
      <c r="N371" s="1918"/>
      <c r="O371" s="1918"/>
      <c r="P371" s="1918"/>
      <c r="Q371" s="1918"/>
      <c r="R371" s="7"/>
      <c r="V371" s="7"/>
      <c r="W371" s="7"/>
      <c r="X371" s="7"/>
      <c r="Y371" s="7"/>
      <c r="Z371" s="7"/>
      <c r="AA371" s="7"/>
      <c r="AB371" s="7"/>
    </row>
    <row r="372" spans="1:36" ht="12.75" customHeight="1">
      <c r="E372" s="7" t="s">
        <v>2</v>
      </c>
      <c r="F372" s="7"/>
      <c r="G372" s="7"/>
      <c r="H372" s="7"/>
      <c r="I372" s="7"/>
      <c r="J372" s="7"/>
      <c r="K372" s="7"/>
      <c r="L372" s="7"/>
      <c r="N372" s="1920"/>
      <c r="O372" s="1920"/>
      <c r="P372" s="1920"/>
      <c r="Q372" s="1920"/>
      <c r="R372" s="1920"/>
      <c r="S372" s="1920"/>
      <c r="T372" s="1920"/>
      <c r="U372" s="1920"/>
      <c r="V372" s="1920"/>
      <c r="W372" s="1920"/>
      <c r="X372" s="1920"/>
      <c r="Y372" s="1920"/>
      <c r="Z372" s="1920"/>
      <c r="AA372" s="1920"/>
      <c r="AB372" s="1920"/>
      <c r="AC372" s="1920"/>
      <c r="AD372" s="1920"/>
      <c r="AE372" s="1920"/>
      <c r="AF372" s="1920"/>
    </row>
    <row r="373" spans="1:36" ht="12.75" customHeight="1">
      <c r="E373" s="7"/>
      <c r="F373" s="7"/>
      <c r="G373" s="7"/>
      <c r="H373" s="7"/>
      <c r="I373" s="7"/>
      <c r="J373" s="7"/>
      <c r="K373" s="7"/>
      <c r="L373" s="7"/>
      <c r="N373" s="1921"/>
      <c r="O373" s="1921"/>
      <c r="P373" s="1921"/>
      <c r="Q373" s="1921"/>
      <c r="R373" s="1921"/>
      <c r="S373" s="1921"/>
      <c r="T373" s="1921"/>
      <c r="U373" s="1921"/>
      <c r="V373" s="1921"/>
      <c r="W373" s="1921"/>
      <c r="X373" s="1921"/>
      <c r="Y373" s="1921"/>
      <c r="Z373" s="1921"/>
      <c r="AA373" s="1921"/>
      <c r="AB373" s="1921"/>
      <c r="AC373" s="1921"/>
      <c r="AD373" s="1921"/>
      <c r="AE373" s="1921"/>
      <c r="AF373" s="1921"/>
    </row>
    <row r="374" spans="1:36" ht="12.75" customHeight="1">
      <c r="C374" s="904"/>
      <c r="E374" s="7"/>
      <c r="F374" s="7"/>
      <c r="G374" s="7"/>
      <c r="H374" s="7"/>
      <c r="I374" s="7"/>
      <c r="J374" s="7"/>
      <c r="K374" s="7"/>
      <c r="L374" s="7"/>
    </row>
    <row r="375" spans="1:36" ht="12.75" customHeight="1">
      <c r="D375" s="50" t="s">
        <v>1030</v>
      </c>
      <c r="E375" s="50"/>
      <c r="F375" s="7"/>
      <c r="G375" s="7"/>
      <c r="H375" s="7"/>
      <c r="I375" s="7"/>
      <c r="J375" s="7"/>
      <c r="K375" s="7"/>
      <c r="L375" s="7"/>
    </row>
    <row r="376" spans="1:36" ht="12.75" customHeight="1">
      <c r="E376" s="7" t="s">
        <v>2693</v>
      </c>
      <c r="F376" s="7"/>
      <c r="G376" s="7"/>
      <c r="H376" s="7"/>
      <c r="I376" s="7"/>
      <c r="J376" s="7"/>
      <c r="K376" s="7"/>
      <c r="L376" s="7"/>
      <c r="N376" s="25" t="s">
        <v>2687</v>
      </c>
      <c r="P376" s="25"/>
      <c r="Q376" s="25" t="s">
        <v>310</v>
      </c>
      <c r="S376" s="1941"/>
      <c r="T376" s="1941"/>
      <c r="U376" s="4" t="s">
        <v>311</v>
      </c>
      <c r="V376" s="1941"/>
      <c r="W376" s="1941"/>
      <c r="Y376" s="25" t="s">
        <v>2687</v>
      </c>
      <c r="AA376" s="25"/>
      <c r="AB376" s="25" t="s">
        <v>310</v>
      </c>
      <c r="AD376" s="1941"/>
      <c r="AE376" s="1941"/>
      <c r="AF376" s="4" t="s">
        <v>311</v>
      </c>
      <c r="AG376" s="1941"/>
      <c r="AH376" s="1941"/>
    </row>
    <row r="377" spans="1:36" ht="12.75" customHeight="1">
      <c r="E377" s="7" t="s">
        <v>1059</v>
      </c>
      <c r="F377" s="7"/>
      <c r="G377" s="7"/>
      <c r="H377" s="7"/>
      <c r="I377" s="7"/>
      <c r="J377" s="7"/>
      <c r="K377" s="7"/>
      <c r="L377" s="7"/>
      <c r="N377" s="1941"/>
      <c r="O377" s="1941"/>
      <c r="P377" s="1941"/>
    </row>
    <row r="378" spans="1:36" ht="12.75" customHeight="1">
      <c r="E378" s="379" t="s">
        <v>2694</v>
      </c>
      <c r="F378" s="7"/>
      <c r="G378" s="7"/>
      <c r="H378" s="7"/>
      <c r="I378" s="7"/>
      <c r="J378" s="7"/>
      <c r="K378" s="7"/>
      <c r="L378" s="7"/>
      <c r="AG378" s="2053" t="s">
        <v>615</v>
      </c>
      <c r="AH378" s="2053"/>
    </row>
    <row r="379" spans="1:36" ht="12.75" customHeight="1">
      <c r="E379" s="7"/>
      <c r="F379" s="7"/>
      <c r="G379" s="7" t="s">
        <v>2695</v>
      </c>
      <c r="H379" s="7"/>
      <c r="I379" s="7"/>
      <c r="J379" s="7"/>
      <c r="K379" s="7"/>
      <c r="L379" s="7"/>
      <c r="AG379" s="2053" t="s">
        <v>615</v>
      </c>
      <c r="AH379" s="2053"/>
    </row>
    <row r="380" spans="1:36" ht="12.75" customHeight="1">
      <c r="E380" s="7"/>
      <c r="F380" s="7"/>
      <c r="G380" s="502" t="s">
        <v>1060</v>
      </c>
      <c r="H380" s="7"/>
      <c r="I380" s="7"/>
      <c r="J380" s="7"/>
      <c r="K380" s="7"/>
      <c r="L380" s="7"/>
      <c r="V380" s="1893" t="s">
        <v>615</v>
      </c>
      <c r="W380" s="1893"/>
      <c r="Y380" s="35" t="s">
        <v>1035</v>
      </c>
    </row>
    <row r="381" spans="1:36" ht="12.75" customHeight="1">
      <c r="E381" s="7" t="s">
        <v>1036</v>
      </c>
      <c r="F381" s="7"/>
      <c r="G381" s="7"/>
      <c r="H381" s="7"/>
      <c r="I381" s="7"/>
      <c r="J381" s="7"/>
      <c r="K381" s="7"/>
      <c r="L381" s="7"/>
      <c r="V381" s="1893" t="s">
        <v>615</v>
      </c>
      <c r="W381" s="1893"/>
      <c r="Y381" s="7" t="s">
        <v>1037</v>
      </c>
    </row>
    <row r="382" spans="1:36" ht="12.75" customHeight="1"/>
    <row r="383" spans="1:36" ht="12.75" customHeight="1">
      <c r="A383" s="50" t="s">
        <v>82</v>
      </c>
      <c r="B383" s="50"/>
    </row>
    <row r="384" spans="1:36" ht="12.75" customHeight="1">
      <c r="D384" s="12" t="s">
        <v>443</v>
      </c>
      <c r="J384" s="2024" t="s">
        <v>2596</v>
      </c>
      <c r="K384" s="1894"/>
      <c r="L384" s="1894"/>
      <c r="M384" s="1894"/>
      <c r="N384" s="1894"/>
      <c r="O384" s="1894"/>
      <c r="P384" s="1894"/>
      <c r="Q384" s="1894"/>
      <c r="R384" s="1894"/>
      <c r="S384" s="1894"/>
      <c r="T384" s="1894"/>
      <c r="U384" s="1894"/>
      <c r="V384" s="14" t="s">
        <v>88</v>
      </c>
      <c r="W384" s="14"/>
      <c r="X384" s="14"/>
      <c r="Y384" s="14"/>
      <c r="Z384" s="14"/>
      <c r="AA384" s="14"/>
      <c r="AB384" s="14"/>
      <c r="AC384" s="1894" t="s">
        <v>615</v>
      </c>
      <c r="AD384" s="1894"/>
      <c r="AE384" s="1894"/>
      <c r="AF384" s="1894"/>
      <c r="AG384" s="1894"/>
      <c r="AH384" s="1894"/>
      <c r="AI384" s="1894"/>
      <c r="AJ384" s="1894"/>
    </row>
    <row r="385" spans="1:96" ht="12.75" customHeight="1">
      <c r="A385" s="711"/>
      <c r="B385" s="711"/>
      <c r="C385" s="711"/>
      <c r="D385" s="58" t="s">
        <v>1342</v>
      </c>
      <c r="E385" s="711"/>
      <c r="F385" s="711"/>
      <c r="G385" s="711"/>
      <c r="H385" s="711"/>
      <c r="I385" s="711"/>
      <c r="J385" s="1944" t="s">
        <v>615</v>
      </c>
      <c r="K385" s="1944"/>
      <c r="L385" s="1944"/>
      <c r="M385" s="1944"/>
      <c r="N385" s="1944"/>
      <c r="O385" s="1944"/>
      <c r="P385" s="1944"/>
      <c r="Q385" s="1944"/>
      <c r="R385" s="1944"/>
      <c r="S385" s="1944"/>
      <c r="T385" s="1944"/>
      <c r="U385" s="1944"/>
      <c r="V385" s="58" t="s">
        <v>1342</v>
      </c>
      <c r="W385" s="14"/>
      <c r="X385" s="14"/>
      <c r="Y385" s="14"/>
      <c r="Z385" s="14"/>
      <c r="AA385" s="14"/>
      <c r="AB385" s="14"/>
      <c r="AC385" s="1894" t="s">
        <v>615</v>
      </c>
      <c r="AD385" s="1894"/>
      <c r="AE385" s="1894"/>
      <c r="AF385" s="1894"/>
      <c r="AG385" s="1894"/>
      <c r="AH385" s="1894"/>
      <c r="AI385" s="1894"/>
      <c r="AJ385" s="1894"/>
      <c r="AK385" s="711"/>
      <c r="AL385" s="711"/>
    </row>
    <row r="386" spans="1:96" ht="12.75" customHeight="1">
      <c r="A386" s="711"/>
      <c r="B386" s="711"/>
      <c r="C386" s="711"/>
      <c r="D386" s="58" t="s">
        <v>457</v>
      </c>
      <c r="E386" s="711"/>
      <c r="F386" s="711"/>
      <c r="G386" s="711"/>
      <c r="H386" s="711"/>
      <c r="I386" s="711"/>
      <c r="J386" s="1944" t="s">
        <v>615</v>
      </c>
      <c r="K386" s="1944"/>
      <c r="L386" s="1944"/>
      <c r="M386" s="1944"/>
      <c r="N386" s="1944"/>
      <c r="O386" s="1944"/>
      <c r="P386" s="1944"/>
      <c r="Q386" s="1944"/>
      <c r="R386" s="1944"/>
      <c r="S386" s="1944"/>
      <c r="T386" s="1944"/>
      <c r="U386" s="1944"/>
      <c r="V386" s="58" t="s">
        <v>457</v>
      </c>
      <c r="W386" s="14"/>
      <c r="X386" s="14"/>
      <c r="Y386" s="14"/>
      <c r="Z386" s="14"/>
      <c r="AA386" s="14"/>
      <c r="AB386" s="14"/>
      <c r="AC386" s="1894" t="s">
        <v>615</v>
      </c>
      <c r="AD386" s="1894"/>
      <c r="AE386" s="1894"/>
      <c r="AF386" s="1894"/>
      <c r="AG386" s="1894"/>
      <c r="AH386" s="1894"/>
      <c r="AI386" s="1894"/>
      <c r="AJ386" s="1894"/>
      <c r="AK386" s="711"/>
      <c r="AL386" s="711"/>
    </row>
    <row r="387" spans="1:96" ht="12.75" customHeight="1">
      <c r="A387" s="711"/>
      <c r="B387" s="711"/>
      <c r="C387" s="711"/>
      <c r="D387" s="474" t="s">
        <v>1338</v>
      </c>
      <c r="E387" s="711"/>
      <c r="F387" s="711"/>
      <c r="G387" s="711"/>
      <c r="H387" s="711"/>
      <c r="I387" s="88"/>
      <c r="J387" s="1915" t="s">
        <v>615</v>
      </c>
      <c r="K387" s="1915"/>
      <c r="L387" s="1915"/>
      <c r="M387" s="1915"/>
      <c r="N387" s="1915"/>
      <c r="O387" s="1915"/>
      <c r="P387" s="1915"/>
      <c r="Q387" s="1915"/>
      <c r="R387" s="1915"/>
      <c r="S387" s="1915"/>
      <c r="T387" s="1915"/>
      <c r="U387" s="1915"/>
      <c r="V387" s="1894"/>
      <c r="W387" s="1894"/>
      <c r="X387" s="1894"/>
      <c r="Y387" s="1894"/>
      <c r="Z387" s="1894"/>
      <c r="AA387" s="1894"/>
      <c r="AB387" s="1894"/>
      <c r="AC387" s="1894"/>
      <c r="AD387" s="1894"/>
      <c r="AE387" s="1894"/>
      <c r="AF387" s="1894"/>
      <c r="AG387" s="1894"/>
      <c r="AH387" s="1894"/>
      <c r="AI387" s="1894"/>
      <c r="AJ387" s="1894"/>
      <c r="AK387" s="711"/>
      <c r="AL387" s="711"/>
    </row>
    <row r="388" spans="1:96" ht="12.75" customHeight="1">
      <c r="D388" s="12" t="s">
        <v>4</v>
      </c>
      <c r="Q388" s="2273"/>
      <c r="R388" s="2274"/>
      <c r="S388" s="2274"/>
      <c r="T388" s="2274"/>
      <c r="U388" s="2274"/>
      <c r="V388" s="12" t="s">
        <v>314</v>
      </c>
      <c r="AI388" s="1893" t="s">
        <v>693</v>
      </c>
      <c r="AJ388" s="1893"/>
    </row>
    <row r="389" spans="1:96" ht="12.75" customHeight="1">
      <c r="D389" s="12" t="s">
        <v>5</v>
      </c>
      <c r="Q389" s="2181"/>
      <c r="R389" s="2242"/>
      <c r="S389" s="2242"/>
      <c r="T389" s="2242"/>
      <c r="U389" s="2242"/>
      <c r="W389" s="33" t="s">
        <v>78</v>
      </c>
      <c r="AG389" s="1916"/>
      <c r="AH389" s="1916"/>
      <c r="AI389" s="1916"/>
      <c r="AJ389" s="1916"/>
    </row>
    <row r="390" spans="1:96" ht="12.75" customHeight="1">
      <c r="D390" s="12" t="s">
        <v>442</v>
      </c>
      <c r="Q390" s="2241"/>
      <c r="R390" s="2241"/>
      <c r="S390" s="2241"/>
      <c r="T390" s="2241"/>
      <c r="U390" s="2241"/>
      <c r="V390" s="58" t="s">
        <v>1341</v>
      </c>
      <c r="AG390" s="1917"/>
      <c r="AH390" s="1917"/>
      <c r="AI390" s="1917"/>
      <c r="AJ390" s="1917"/>
    </row>
    <row r="391" spans="1:96" ht="12.75" customHeight="1">
      <c r="D391" s="12" t="s">
        <v>93</v>
      </c>
      <c r="I391" s="2035"/>
      <c r="J391" s="2035"/>
      <c r="K391" s="2035"/>
      <c r="L391" s="2035"/>
      <c r="M391" s="2035"/>
      <c r="N391" s="2035"/>
      <c r="Q391" s="57" t="s">
        <v>211</v>
      </c>
      <c r="S391" s="2105"/>
      <c r="T391" s="2105"/>
      <c r="U391" s="2105"/>
      <c r="V391" s="12" t="s">
        <v>77</v>
      </c>
      <c r="AI391" s="1893" t="s">
        <v>693</v>
      </c>
      <c r="AJ391" s="1893"/>
    </row>
    <row r="392" spans="1:96" ht="12.75" customHeight="1">
      <c r="D392" s="12" t="s">
        <v>315</v>
      </c>
      <c r="Q392" s="1899"/>
      <c r="R392" s="1899"/>
      <c r="S392" s="1899"/>
      <c r="T392" s="1899"/>
      <c r="U392" s="1899"/>
      <c r="V392" s="12" t="s">
        <v>316</v>
      </c>
      <c r="AG392" s="1916"/>
      <c r="AH392" s="1916"/>
      <c r="AI392" s="1916"/>
      <c r="AJ392" s="1916"/>
    </row>
    <row r="393" spans="1:96" ht="12.75" customHeight="1">
      <c r="D393" s="12" t="s">
        <v>317</v>
      </c>
      <c r="Q393" s="2038"/>
      <c r="R393" s="2038"/>
      <c r="S393" s="2038"/>
      <c r="T393" s="2038"/>
      <c r="U393" s="2038"/>
      <c r="V393" s="711" t="s">
        <v>1322</v>
      </c>
      <c r="AG393" s="1916"/>
      <c r="AH393" s="1916"/>
      <c r="AI393" s="1916"/>
      <c r="AJ393" s="1916"/>
    </row>
    <row r="394" spans="1:96" ht="13.2">
      <c r="D394" s="711" t="s">
        <v>1321</v>
      </c>
      <c r="V394" s="711"/>
      <c r="AG394" s="1916"/>
      <c r="AH394" s="1916"/>
      <c r="AI394" s="1916"/>
      <c r="AJ394" s="1916"/>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1869</v>
      </c>
      <c r="AG396" s="740"/>
      <c r="AH396" s="740"/>
      <c r="AI396" s="1893" t="s">
        <v>693</v>
      </c>
      <c r="AJ396" s="1893"/>
      <c r="AM396" s="39"/>
      <c r="AN396" s="39"/>
      <c r="AO396" s="39"/>
      <c r="AP396" s="39"/>
      <c r="AQ396" s="39"/>
      <c r="AR396" s="39"/>
      <c r="AS396" s="39"/>
      <c r="AT396" s="39"/>
      <c r="AU396" s="39"/>
      <c r="AV396" s="39"/>
      <c r="AW396" s="39"/>
      <c r="AX396" s="39"/>
      <c r="AY396" s="39"/>
      <c r="CR396" s="25"/>
    </row>
    <row r="397" spans="1:96" s="711" customFormat="1" ht="13.2">
      <c r="D397" s="58" t="s">
        <v>1871</v>
      </c>
      <c r="T397" s="1956"/>
      <c r="U397" s="1956"/>
      <c r="V397" s="1956"/>
      <c r="W397" s="1956"/>
      <c r="X397" s="1956"/>
      <c r="Y397" s="1956"/>
      <c r="Z397" s="1956"/>
      <c r="AA397" s="1956"/>
      <c r="AB397" s="1956"/>
      <c r="AC397" s="1956"/>
      <c r="AD397" s="1956"/>
      <c r="AE397" s="1956"/>
      <c r="AF397" s="1956"/>
      <c r="AG397" s="1956"/>
      <c r="AH397" s="1956"/>
      <c r="AI397" s="1956"/>
      <c r="AJ397" s="1956"/>
      <c r="AM397" s="39"/>
      <c r="AN397" s="39"/>
      <c r="AO397" s="39"/>
      <c r="AP397" s="39"/>
      <c r="AQ397" s="39"/>
      <c r="AR397" s="39"/>
      <c r="AS397" s="39"/>
      <c r="AT397" s="39"/>
      <c r="AU397" s="39"/>
      <c r="AV397" s="39"/>
      <c r="AW397" s="39"/>
      <c r="AX397" s="39"/>
      <c r="AY397" s="39"/>
      <c r="CR397" s="25"/>
    </row>
    <row r="398" spans="1:96" s="711" customFormat="1" ht="13.2">
      <c r="D398" s="58" t="s">
        <v>1870</v>
      </c>
      <c r="T398" s="1956"/>
      <c r="U398" s="1956"/>
      <c r="V398" s="1956"/>
      <c r="W398" s="1956"/>
      <c r="X398" s="1956"/>
      <c r="Y398" s="1956"/>
      <c r="Z398" s="1956"/>
      <c r="AA398" s="1956"/>
      <c r="AB398" s="1956"/>
      <c r="AC398" s="1956"/>
      <c r="AD398" s="1956"/>
      <c r="AE398" s="1956"/>
      <c r="AF398" s="1956"/>
      <c r="AG398" s="1956"/>
      <c r="AH398" s="1956"/>
      <c r="AI398" s="1956"/>
      <c r="AJ398" s="1956"/>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1863</v>
      </c>
      <c r="E400" s="711"/>
      <c r="F400" s="711"/>
      <c r="G400" s="711"/>
      <c r="H400" s="711"/>
      <c r="I400" s="711"/>
      <c r="J400" s="711"/>
      <c r="K400" s="711"/>
      <c r="L400" s="711"/>
      <c r="M400" s="711"/>
      <c r="N400" s="711"/>
      <c r="O400" s="711"/>
      <c r="P400" s="711"/>
      <c r="Q400" s="711"/>
      <c r="R400" s="711"/>
      <c r="S400" s="1956" t="s">
        <v>568</v>
      </c>
      <c r="T400" s="1956"/>
      <c r="U400" s="1956"/>
      <c r="V400" s="474" t="s">
        <v>1864</v>
      </c>
      <c r="W400" s="711"/>
      <c r="X400" s="711"/>
      <c r="Y400" s="711"/>
      <c r="Z400" s="711"/>
      <c r="AA400" s="711"/>
      <c r="AB400" s="39"/>
      <c r="AC400" s="39"/>
      <c r="AD400" s="39"/>
      <c r="AE400" s="39"/>
      <c r="AF400" s="39"/>
      <c r="AG400" s="2054">
        <v>75</v>
      </c>
      <c r="AH400" s="2054"/>
      <c r="AI400" s="2054"/>
      <c r="AJ400" s="2054"/>
      <c r="AK400" s="39"/>
      <c r="AL400" s="711"/>
    </row>
    <row r="401" spans="1:96" s="711" customFormat="1" ht="13.2">
      <c r="D401" s="58" t="s">
        <v>1861</v>
      </c>
      <c r="S401" s="1956" t="s">
        <v>568</v>
      </c>
      <c r="T401" s="1956"/>
      <c r="U401" s="1956"/>
      <c r="V401" s="474" t="s">
        <v>1866</v>
      </c>
      <c r="AB401" s="39"/>
      <c r="AC401" s="39"/>
      <c r="AD401" s="39"/>
      <c r="AE401" s="2055">
        <v>15000</v>
      </c>
      <c r="AF401" s="2055"/>
      <c r="AG401" s="2055"/>
      <c r="AH401" s="2055"/>
      <c r="AI401" s="2055"/>
      <c r="AJ401" s="2055"/>
      <c r="AK401" s="39"/>
      <c r="AM401" s="39"/>
      <c r="AN401" s="39"/>
      <c r="AO401" s="39"/>
      <c r="AP401" s="39"/>
      <c r="AQ401" s="39"/>
      <c r="AR401" s="39"/>
      <c r="AS401" s="39"/>
      <c r="AT401" s="39"/>
      <c r="AU401" s="39"/>
      <c r="AV401" s="39"/>
      <c r="AW401" s="39"/>
      <c r="AX401" s="39"/>
      <c r="AY401" s="39"/>
      <c r="CR401" s="25"/>
    </row>
    <row r="402" spans="1:96" s="711" customFormat="1" ht="13.2">
      <c r="D402" s="58" t="s">
        <v>1862</v>
      </c>
      <c r="K402" s="1863" t="s">
        <v>615</v>
      </c>
      <c r="L402" s="1863"/>
      <c r="M402" s="1863"/>
      <c r="N402" s="1863"/>
      <c r="O402" s="1863"/>
      <c r="P402" s="1863"/>
      <c r="Q402" s="1863"/>
      <c r="R402" s="1863"/>
      <c r="S402" s="1863"/>
      <c r="T402" s="1863"/>
      <c r="U402" s="1863"/>
      <c r="V402" s="1863"/>
      <c r="W402" s="1863"/>
      <c r="X402" s="1863"/>
      <c r="Y402" s="1863"/>
      <c r="Z402" s="1863"/>
      <c r="AA402" s="1863"/>
      <c r="AB402" s="1863"/>
      <c r="AC402" s="1863"/>
      <c r="AD402" s="1863"/>
      <c r="AE402" s="1863"/>
      <c r="AF402" s="1863"/>
      <c r="AG402" s="1863"/>
      <c r="AH402" s="1863"/>
      <c r="AI402" s="1863"/>
      <c r="AJ402" s="1863"/>
      <c r="AK402" s="39"/>
      <c r="AM402" s="39"/>
      <c r="AN402" s="39"/>
      <c r="AO402" s="39"/>
      <c r="AP402" s="39"/>
      <c r="AQ402" s="39"/>
      <c r="AR402" s="39"/>
      <c r="AS402" s="39"/>
      <c r="AT402" s="39"/>
      <c r="AU402" s="39"/>
      <c r="AV402" s="39"/>
      <c r="AW402" s="39"/>
      <c r="AX402" s="39"/>
      <c r="AY402" s="39"/>
      <c r="CR402" s="25"/>
    </row>
    <row r="403" spans="1:96" s="711" customFormat="1" ht="13.2">
      <c r="D403" s="58" t="s">
        <v>1865</v>
      </c>
      <c r="K403" s="2056" t="s">
        <v>2597</v>
      </c>
      <c r="L403" s="1863"/>
      <c r="M403" s="1863"/>
      <c r="N403" s="1863"/>
      <c r="O403" s="1863"/>
      <c r="P403" s="1863"/>
      <c r="Q403" s="1863"/>
      <c r="R403" s="1863"/>
      <c r="S403" s="1863"/>
      <c r="T403" s="1863"/>
      <c r="U403" s="1863"/>
      <c r="V403" s="1863"/>
      <c r="W403" s="1863"/>
      <c r="X403" s="1863"/>
      <c r="Y403" s="1863"/>
      <c r="Z403" s="1863"/>
      <c r="AA403" s="1863"/>
      <c r="AB403" s="1863"/>
      <c r="AC403" s="1863"/>
      <c r="AD403" s="1863"/>
      <c r="AE403" s="1863"/>
      <c r="AF403" s="1863"/>
      <c r="AG403" s="1863"/>
      <c r="AH403" s="1863"/>
      <c r="AI403" s="1863"/>
      <c r="AJ403" s="1863"/>
      <c r="AK403" s="39"/>
      <c r="AM403" s="39"/>
      <c r="AN403" s="39"/>
      <c r="AO403" s="39"/>
      <c r="AP403" s="39"/>
      <c r="AQ403" s="39"/>
      <c r="AR403" s="39"/>
      <c r="AS403" s="39"/>
      <c r="AT403" s="39"/>
      <c r="AU403" s="39"/>
      <c r="AV403" s="39"/>
      <c r="AW403" s="39"/>
      <c r="AX403" s="39"/>
      <c r="AY403" s="39"/>
      <c r="CR403" s="25"/>
    </row>
    <row r="404" spans="1:96" s="711" customFormat="1" ht="12.75" customHeight="1">
      <c r="D404" s="181" t="s">
        <v>1868</v>
      </c>
      <c r="E404" s="942"/>
      <c r="F404" s="942"/>
      <c r="G404" s="942"/>
      <c r="H404" s="942"/>
      <c r="I404" s="942"/>
      <c r="J404" s="942"/>
      <c r="K404" s="942"/>
      <c r="L404" s="942"/>
      <c r="M404" s="942"/>
      <c r="N404" s="942"/>
      <c r="O404" s="942"/>
      <c r="P404" s="942"/>
      <c r="Q404" s="942"/>
      <c r="R404" s="942"/>
      <c r="S404" s="1964" t="s">
        <v>2549</v>
      </c>
      <c r="T404" s="1964"/>
      <c r="U404" s="1964"/>
      <c r="V404" s="1964"/>
      <c r="W404" s="1964"/>
      <c r="X404" s="1964"/>
      <c r="Y404" s="1964"/>
      <c r="Z404" s="1964"/>
      <c r="AA404" s="1964"/>
      <c r="AB404" s="1964"/>
      <c r="AC404" s="1964"/>
      <c r="AD404" s="1964"/>
      <c r="AE404" s="1964"/>
      <c r="AF404" s="1964"/>
      <c r="AG404" s="1964"/>
      <c r="AH404" s="1964"/>
      <c r="AI404" s="1964"/>
      <c r="AJ404" s="1964"/>
      <c r="AK404" s="39"/>
      <c r="AL404" s="39"/>
      <c r="AM404" s="39"/>
      <c r="AN404" s="39"/>
      <c r="AO404" s="39"/>
      <c r="AP404" s="39"/>
      <c r="AQ404" s="39"/>
      <c r="AR404" s="39"/>
      <c r="AS404" s="39"/>
      <c r="AT404" s="39"/>
      <c r="AU404" s="39"/>
      <c r="AV404" s="39"/>
      <c r="AW404" s="39"/>
      <c r="AX404" s="39"/>
      <c r="AY404" s="39"/>
      <c r="CR404" s="25"/>
    </row>
    <row r="405" spans="1:96" s="711" customFormat="1" ht="13.2">
      <c r="D405" s="2057" t="s">
        <v>1867</v>
      </c>
      <c r="E405" s="2057"/>
      <c r="F405" s="2057"/>
      <c r="G405" s="2057"/>
      <c r="H405" s="2057"/>
      <c r="I405" s="2057"/>
      <c r="J405" s="2057"/>
      <c r="K405" s="2057"/>
      <c r="L405" s="2057"/>
      <c r="M405" s="2057"/>
      <c r="N405" s="2057"/>
      <c r="O405" s="2057"/>
      <c r="P405" s="2057"/>
      <c r="Q405" s="2057"/>
      <c r="R405" s="2057"/>
      <c r="S405" s="2057"/>
      <c r="T405" s="2057"/>
      <c r="U405" s="2057"/>
      <c r="V405" s="2057"/>
      <c r="W405" s="2057"/>
      <c r="X405" s="2057"/>
      <c r="Y405" s="2057"/>
      <c r="Z405" s="2057"/>
      <c r="AA405" s="2057"/>
      <c r="AB405" s="2057"/>
      <c r="AC405" s="2057"/>
      <c r="AD405" s="2057"/>
      <c r="AE405" s="2057"/>
      <c r="AF405" s="2057"/>
      <c r="AG405" s="2057"/>
      <c r="AH405" s="2057"/>
      <c r="AI405" s="2057"/>
      <c r="AJ405" s="2057"/>
      <c r="AK405" s="39"/>
      <c r="AL405" s="39"/>
      <c r="AM405" s="39"/>
      <c r="AN405" s="39"/>
      <c r="AO405" s="39"/>
      <c r="AP405" s="39"/>
      <c r="AQ405" s="39"/>
      <c r="AR405" s="39"/>
      <c r="AS405" s="39"/>
      <c r="AT405" s="39"/>
      <c r="AU405" s="39"/>
      <c r="AV405" s="39"/>
      <c r="AW405" s="39"/>
      <c r="AX405" s="39"/>
      <c r="AY405" s="39"/>
      <c r="CR405" s="25"/>
    </row>
    <row r="406" spans="1:96" s="711" customFormat="1" ht="13.2">
      <c r="D406" s="2057"/>
      <c r="E406" s="2057"/>
      <c r="F406" s="2057"/>
      <c r="G406" s="2057"/>
      <c r="H406" s="2057"/>
      <c r="I406" s="2057"/>
      <c r="J406" s="2057"/>
      <c r="K406" s="2057"/>
      <c r="L406" s="2057"/>
      <c r="M406" s="2057"/>
      <c r="N406" s="2057"/>
      <c r="O406" s="2057"/>
      <c r="P406" s="2057"/>
      <c r="Q406" s="2057"/>
      <c r="R406" s="2057"/>
      <c r="S406" s="2057"/>
      <c r="T406" s="2057"/>
      <c r="U406" s="2057"/>
      <c r="V406" s="2057"/>
      <c r="W406" s="2057"/>
      <c r="X406" s="2057"/>
      <c r="Y406" s="2057"/>
      <c r="Z406" s="2057"/>
      <c r="AA406" s="2057"/>
      <c r="AB406" s="2057"/>
      <c r="AC406" s="2057"/>
      <c r="AD406" s="2057"/>
      <c r="AE406" s="2057"/>
      <c r="AF406" s="2057"/>
      <c r="AG406" s="2057"/>
      <c r="AH406" s="2057"/>
      <c r="AI406" s="2057"/>
      <c r="AJ406" s="2057"/>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1364</v>
      </c>
      <c r="I409" s="2024" t="s">
        <v>2525</v>
      </c>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row>
    <row r="410" spans="1:96" ht="12.75" customHeight="1">
      <c r="C410" s="25"/>
      <c r="D410" s="25"/>
      <c r="E410" s="12" t="s">
        <v>111</v>
      </c>
      <c r="F410" s="25"/>
      <c r="G410" s="25"/>
      <c r="H410" s="25"/>
      <c r="I410" s="25"/>
      <c r="J410" s="25"/>
      <c r="K410" s="25"/>
      <c r="L410" s="25"/>
      <c r="M410" s="25"/>
      <c r="N410" s="25"/>
      <c r="O410" s="25"/>
      <c r="P410" s="711"/>
      <c r="Q410" s="711"/>
      <c r="R410" s="1893" t="s">
        <v>568</v>
      </c>
      <c r="S410" s="1893"/>
      <c r="T410" s="12" t="s">
        <v>593</v>
      </c>
      <c r="U410" s="711"/>
      <c r="V410" s="711"/>
      <c r="W410" s="711"/>
      <c r="X410" s="711"/>
      <c r="Y410" s="711"/>
      <c r="Z410" s="711"/>
      <c r="AA410" s="711"/>
      <c r="AB410" s="711"/>
      <c r="AC410" s="711"/>
      <c r="AD410" s="1918">
        <v>5</v>
      </c>
      <c r="AE410" s="1918"/>
      <c r="AF410" s="711"/>
    </row>
    <row r="411" spans="1:96" ht="13.2">
      <c r="C411" s="25"/>
      <c r="E411" s="12" t="s">
        <v>112</v>
      </c>
      <c r="F411" s="711"/>
      <c r="G411" s="711"/>
      <c r="H411" s="711"/>
      <c r="I411" s="711"/>
      <c r="J411" s="711"/>
      <c r="K411" s="711"/>
      <c r="L411" s="711"/>
      <c r="M411" s="711"/>
      <c r="N411" s="25"/>
      <c r="O411" s="25"/>
      <c r="P411" s="711"/>
      <c r="Q411" s="711"/>
      <c r="R411" s="1893" t="s">
        <v>615</v>
      </c>
      <c r="S411" s="1893"/>
      <c r="T411" s="12" t="s">
        <v>593</v>
      </c>
      <c r="U411" s="711"/>
      <c r="V411" s="711"/>
      <c r="W411" s="711"/>
      <c r="X411" s="711"/>
      <c r="Y411" s="711"/>
      <c r="Z411" s="711"/>
      <c r="AA411" s="711"/>
      <c r="AB411" s="711"/>
      <c r="AC411" s="711"/>
      <c r="AD411" s="1918">
        <v>0</v>
      </c>
      <c r="AE411" s="1918"/>
      <c r="AF411" s="711"/>
    </row>
    <row r="412" spans="1:96" ht="12.75" customHeight="1">
      <c r="C412" s="25"/>
      <c r="E412" s="12" t="s">
        <v>113</v>
      </c>
      <c r="F412" s="711"/>
      <c r="G412" s="711"/>
      <c r="H412" s="711"/>
      <c r="I412" s="711"/>
      <c r="J412" s="711"/>
      <c r="K412" s="711"/>
      <c r="L412" s="711"/>
      <c r="M412" s="711"/>
      <c r="N412" s="25"/>
      <c r="O412" s="25"/>
      <c r="P412" s="711"/>
      <c r="Q412" s="711"/>
      <c r="R412" s="711"/>
      <c r="S412" s="1893" t="s">
        <v>615</v>
      </c>
      <c r="T412" s="1893"/>
      <c r="U412" s="711"/>
      <c r="V412" s="711"/>
      <c r="W412" s="711"/>
      <c r="X412" s="711"/>
      <c r="Y412" s="711"/>
      <c r="Z412" s="711"/>
      <c r="AA412" s="711"/>
      <c r="AB412" s="711"/>
      <c r="AC412" s="711"/>
      <c r="AD412" s="711"/>
      <c r="AE412" s="711"/>
      <c r="AF412" s="711"/>
    </row>
    <row r="413" spans="1:96" ht="12.75" customHeight="1">
      <c r="E413" s="12" t="s">
        <v>174</v>
      </c>
      <c r="F413" s="711"/>
      <c r="G413" s="711"/>
      <c r="H413" s="2036" t="s">
        <v>2598</v>
      </c>
      <c r="I413" s="2036"/>
      <c r="J413" s="2036"/>
      <c r="K413" s="2036"/>
      <c r="L413" s="2036"/>
      <c r="M413" s="2036"/>
      <c r="N413" s="2036"/>
      <c r="O413" s="2036"/>
      <c r="P413" s="2036"/>
      <c r="Q413" s="2036"/>
      <c r="R413" s="2036"/>
      <c r="S413" s="2036"/>
      <c r="T413" s="2036"/>
      <c r="U413" s="2036"/>
      <c r="V413" s="2036"/>
      <c r="W413" s="2036"/>
      <c r="X413" s="2036"/>
      <c r="Y413" s="2036"/>
      <c r="Z413" s="2036"/>
      <c r="AA413" s="2036"/>
      <c r="AB413" s="2036"/>
      <c r="AC413" s="2036"/>
      <c r="AD413" s="2036"/>
      <c r="AE413" s="2036"/>
      <c r="AF413" s="711"/>
    </row>
    <row r="414" spans="1:96" ht="12.75" customHeight="1">
      <c r="E414" s="25"/>
      <c r="F414" s="711"/>
      <c r="G414" s="711"/>
      <c r="H414" s="2037"/>
      <c r="I414" s="2037"/>
      <c r="J414" s="2037"/>
      <c r="K414" s="2037"/>
      <c r="L414" s="2037"/>
      <c r="M414" s="2037"/>
      <c r="N414" s="2037"/>
      <c r="O414" s="2037"/>
      <c r="P414" s="2037"/>
      <c r="Q414" s="2037"/>
      <c r="R414" s="2037"/>
      <c r="S414" s="2037"/>
      <c r="T414" s="2037"/>
      <c r="U414" s="2037"/>
      <c r="V414" s="2037"/>
      <c r="W414" s="2037"/>
      <c r="X414" s="2037"/>
      <c r="Y414" s="2037"/>
      <c r="Z414" s="2037"/>
      <c r="AA414" s="2037"/>
      <c r="AB414" s="2037"/>
      <c r="AC414" s="2037"/>
      <c r="AD414" s="2037"/>
      <c r="AE414" s="2037"/>
      <c r="AF414" s="711"/>
    </row>
    <row r="415" spans="1:96" ht="12.75" customHeight="1"/>
    <row r="416" spans="1:96" ht="12.75" customHeight="1">
      <c r="A416" s="50" t="s">
        <v>614</v>
      </c>
      <c r="B416" s="50"/>
      <c r="C416" s="50"/>
      <c r="D416" s="50" t="s">
        <v>119</v>
      </c>
      <c r="AF416" s="50" t="s">
        <v>1012</v>
      </c>
    </row>
    <row r="417" spans="1:96" ht="12.75" customHeight="1">
      <c r="E417" s="1941"/>
      <c r="F417" s="1941"/>
      <c r="G417" s="1941"/>
      <c r="H417" s="23" t="s">
        <v>120</v>
      </c>
      <c r="I417" s="1941"/>
      <c r="J417" s="1941"/>
      <c r="K417" s="1941"/>
      <c r="L417" s="12" t="s">
        <v>121</v>
      </c>
      <c r="N417" s="141" t="s">
        <v>599</v>
      </c>
      <c r="P417" s="2104">
        <v>0.66</v>
      </c>
      <c r="Q417" s="2104"/>
      <c r="R417" s="2104"/>
      <c r="S417" s="12" t="s">
        <v>122</v>
      </c>
      <c r="W417" s="1930">
        <f>IF(E417&gt;0,(E417*I417),(P417*43560))</f>
        <v>28749.600000000002</v>
      </c>
      <c r="X417" s="1930"/>
      <c r="Y417" s="1930"/>
      <c r="Z417" s="12" t="s">
        <v>123</v>
      </c>
      <c r="AF417" s="2052">
        <f>IF(P417&gt;0,(AG436/P417),(AG436/(W417/43560)))</f>
        <v>110.60606060606059</v>
      </c>
      <c r="AG417" s="2052"/>
      <c r="AH417" s="2052"/>
      <c r="AM417" s="239"/>
    </row>
    <row r="418" spans="1:96" ht="13.2">
      <c r="E418" s="12" t="s">
        <v>54</v>
      </c>
    </row>
    <row r="419" spans="1:96" ht="12.75" customHeight="1">
      <c r="E419" s="2045"/>
      <c r="F419" s="2045"/>
      <c r="G419" s="2045"/>
      <c r="H419" s="2045"/>
      <c r="I419" s="2045"/>
      <c r="J419" s="2045"/>
      <c r="K419" s="2045"/>
      <c r="L419" s="2045"/>
      <c r="M419" s="2045"/>
      <c r="N419" s="2045"/>
      <c r="O419" s="2045"/>
      <c r="P419" s="2045"/>
      <c r="Q419" s="2045"/>
      <c r="R419" s="2045"/>
      <c r="S419" s="2045"/>
      <c r="T419" s="2045"/>
      <c r="U419" s="2045"/>
      <c r="V419" s="2045"/>
      <c r="W419" s="2045"/>
      <c r="X419" s="2045"/>
      <c r="Y419" s="2045"/>
      <c r="Z419" s="2045"/>
      <c r="AA419" s="2045"/>
      <c r="AB419" s="2045"/>
      <c r="AC419" s="2045"/>
      <c r="AD419" s="2045"/>
      <c r="AE419" s="2045"/>
      <c r="AF419" s="2045"/>
      <c r="AG419" s="2045"/>
      <c r="AH419" s="2045"/>
      <c r="AI419" s="2045"/>
      <c r="AJ419" s="2045"/>
    </row>
    <row r="420" spans="1:96" s="39" customFormat="1" ht="12.75" customHeight="1">
      <c r="E420" s="254" t="s">
        <v>2045</v>
      </c>
      <c r="F420" s="1096"/>
      <c r="G420" s="1096"/>
      <c r="H420" s="1096"/>
      <c r="I420" s="2244">
        <v>0.66</v>
      </c>
      <c r="J420" s="2244"/>
      <c r="K420" s="2244"/>
      <c r="L420" s="1096"/>
      <c r="M420" s="254"/>
      <c r="N420" s="1096"/>
      <c r="O420" s="1096"/>
      <c r="P420" s="2272">
        <f>(CS637+CS645+CS661)/I420</f>
        <v>222.72727272727272</v>
      </c>
      <c r="Q420" s="2272"/>
      <c r="R420" s="2272"/>
      <c r="S420" s="254" t="s">
        <v>2046</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616</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1893">
        <v>1</v>
      </c>
      <c r="Q423" s="1893"/>
      <c r="S423" s="12" t="s">
        <v>194</v>
      </c>
      <c r="AE423" s="1893">
        <v>1</v>
      </c>
      <c r="AF423" s="1893"/>
    </row>
    <row r="424" spans="1:96" ht="13.2">
      <c r="E424" s="12" t="s">
        <v>195</v>
      </c>
      <c r="P424" s="1893">
        <v>0</v>
      </c>
      <c r="Q424" s="1893"/>
      <c r="S424" s="12" t="s">
        <v>136</v>
      </c>
      <c r="AE424" s="1893" t="s">
        <v>615</v>
      </c>
      <c r="AF424" s="1893"/>
    </row>
    <row r="425" spans="1:96" ht="13.2">
      <c r="F425" s="67" t="s">
        <v>137</v>
      </c>
    </row>
    <row r="426" spans="1:96" ht="13.2">
      <c r="F426" s="1942" t="s">
        <v>615</v>
      </c>
      <c r="G426" s="1942"/>
      <c r="H426" s="1942"/>
      <c r="I426" s="1942"/>
      <c r="J426" s="1942"/>
      <c r="K426" s="1942"/>
      <c r="L426" s="1942"/>
      <c r="M426" s="1942"/>
      <c r="N426" s="1942"/>
      <c r="O426" s="1942"/>
      <c r="P426" s="1942"/>
      <c r="Q426" s="1942"/>
      <c r="R426" s="1942"/>
      <c r="S426" s="1942"/>
      <c r="T426" s="1942"/>
      <c r="U426" s="1942"/>
      <c r="V426" s="1942"/>
      <c r="W426" s="1942"/>
      <c r="X426" s="1942"/>
      <c r="Y426" s="1942"/>
      <c r="Z426" s="1942"/>
      <c r="AA426" s="1942"/>
      <c r="AB426" s="1942"/>
      <c r="AC426" s="1942"/>
      <c r="AD426" s="1942"/>
      <c r="AE426" s="1942"/>
      <c r="AF426" s="1942"/>
      <c r="AG426" s="1942"/>
      <c r="AH426" s="1942"/>
    </row>
    <row r="427" spans="1:96" ht="12.75" customHeight="1">
      <c r="F427" s="1943"/>
      <c r="G427" s="1943"/>
      <c r="H427" s="1943"/>
      <c r="I427" s="1943"/>
      <c r="J427" s="1943"/>
      <c r="K427" s="1943"/>
      <c r="L427" s="1943"/>
      <c r="M427" s="1943"/>
      <c r="N427" s="1943"/>
      <c r="O427" s="1943"/>
      <c r="P427" s="1943"/>
      <c r="Q427" s="1943"/>
      <c r="R427" s="1943"/>
      <c r="S427" s="1943"/>
      <c r="T427" s="1943"/>
      <c r="U427" s="1943"/>
      <c r="V427" s="1943"/>
      <c r="W427" s="1943"/>
      <c r="X427" s="1943"/>
      <c r="Y427" s="1943"/>
      <c r="Z427" s="1943"/>
      <c r="AA427" s="1943"/>
      <c r="AB427" s="1943"/>
      <c r="AC427" s="1943"/>
      <c r="AD427" s="1943"/>
      <c r="AE427" s="1943"/>
      <c r="AF427" s="1943"/>
      <c r="AG427" s="1943"/>
      <c r="AH427" s="1943"/>
    </row>
    <row r="428" spans="1:96" ht="12.75" customHeight="1">
      <c r="E428" s="12" t="s">
        <v>632</v>
      </c>
      <c r="N428" s="39"/>
      <c r="O428" s="39"/>
      <c r="P428" s="235"/>
      <c r="Q428" s="1893" t="s">
        <v>568</v>
      </c>
      <c r="R428" s="1893"/>
      <c r="S428" s="39"/>
      <c r="T428" s="39"/>
      <c r="U428" s="39"/>
      <c r="V428" s="39"/>
      <c r="W428" s="39"/>
      <c r="X428" s="39"/>
      <c r="Y428" s="39"/>
      <c r="Z428" s="39"/>
      <c r="AA428" s="39"/>
      <c r="AB428" s="39"/>
      <c r="AC428" s="39"/>
      <c r="AD428" s="39"/>
      <c r="AG428" s="25"/>
    </row>
    <row r="429" spans="1:96" ht="12.75" customHeight="1">
      <c r="F429" s="12" t="s">
        <v>633</v>
      </c>
      <c r="N429" s="39"/>
      <c r="O429" s="39"/>
      <c r="P429" s="235"/>
      <c r="Q429" s="235"/>
      <c r="R429" s="39"/>
      <c r="S429" s="39"/>
      <c r="T429" s="39"/>
      <c r="U429" s="39"/>
      <c r="V429" s="39"/>
      <c r="W429" s="39"/>
      <c r="X429" s="39"/>
      <c r="Y429" s="39"/>
      <c r="Z429" s="39"/>
      <c r="AA429" s="39"/>
      <c r="AB429" s="39"/>
      <c r="AC429" s="39"/>
      <c r="AD429" s="39"/>
      <c r="AF429" s="1893" t="s">
        <v>615</v>
      </c>
      <c r="AG429" s="1958"/>
    </row>
    <row r="430" spans="1:96" ht="12.75" customHeight="1">
      <c r="S430" s="25"/>
      <c r="T430" s="25"/>
    </row>
    <row r="431" spans="1:96" ht="12.75" customHeight="1">
      <c r="A431" s="50"/>
      <c r="B431" s="50"/>
      <c r="C431" s="50"/>
      <c r="E431" s="7" t="s">
        <v>313</v>
      </c>
      <c r="Z431" s="1893" t="s">
        <v>693</v>
      </c>
      <c r="AA431" s="18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1893" t="s">
        <v>615</v>
      </c>
      <c r="AA433" s="1893"/>
    </row>
    <row r="434" spans="1:110" ht="12.75" customHeight="1"/>
    <row r="435" spans="1:110" ht="12.75" customHeight="1">
      <c r="A435" s="50" t="s">
        <v>490</v>
      </c>
      <c r="B435" s="50"/>
      <c r="C435" s="50"/>
      <c r="D435" s="50" t="s">
        <v>804</v>
      </c>
      <c r="AF435" s="80"/>
    </row>
    <row r="436" spans="1:110" ht="12.75" customHeight="1">
      <c r="D436" s="1927" t="s">
        <v>46</v>
      </c>
      <c r="E436" s="1925"/>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1926"/>
      <c r="AG436" s="1911">
        <v>73</v>
      </c>
      <c r="AH436" s="1911"/>
      <c r="AI436" s="1911"/>
      <c r="AJ436" s="1911"/>
    </row>
    <row r="437" spans="1:110" ht="12.75" customHeight="1">
      <c r="D437" s="1876" t="s">
        <v>1387</v>
      </c>
      <c r="E437" s="1877"/>
      <c r="F437" s="1877"/>
      <c r="G437" s="1877"/>
      <c r="H437" s="1877"/>
      <c r="I437" s="1877"/>
      <c r="J437" s="1877"/>
      <c r="K437" s="1877"/>
      <c r="L437" s="1877"/>
      <c r="M437" s="1877"/>
      <c r="N437" s="1877"/>
      <c r="O437" s="1877"/>
      <c r="P437" s="1877"/>
      <c r="Q437" s="1877"/>
      <c r="R437" s="1877"/>
      <c r="S437" s="1877"/>
      <c r="T437" s="1877"/>
      <c r="U437" s="1877"/>
      <c r="V437" s="1877"/>
      <c r="W437" s="1877"/>
      <c r="X437" s="1877"/>
      <c r="Y437" s="1877"/>
      <c r="Z437" s="1877"/>
      <c r="AA437" s="1877"/>
      <c r="AB437" s="1877"/>
      <c r="AC437" s="1877"/>
      <c r="AD437" s="1877"/>
      <c r="AE437" s="1877"/>
      <c r="AF437" s="1878"/>
      <c r="AG437" s="1937">
        <v>0</v>
      </c>
      <c r="AH437" s="1938"/>
      <c r="AI437" s="1938"/>
      <c r="AJ437" s="1938"/>
    </row>
    <row r="438" spans="1:110" ht="12.75" customHeight="1">
      <c r="D438" s="1876" t="s">
        <v>1109</v>
      </c>
      <c r="E438" s="1877"/>
      <c r="F438" s="1877"/>
      <c r="G438" s="1877"/>
      <c r="H438" s="1877"/>
      <c r="I438" s="1877"/>
      <c r="J438" s="1877"/>
      <c r="K438" s="1877"/>
      <c r="L438" s="1877"/>
      <c r="M438" s="1877"/>
      <c r="N438" s="1877"/>
      <c r="O438" s="1877"/>
      <c r="P438" s="1877"/>
      <c r="Q438" s="1877"/>
      <c r="R438" s="1877"/>
      <c r="S438" s="1877"/>
      <c r="T438" s="1877"/>
      <c r="U438" s="1877"/>
      <c r="V438" s="1877"/>
      <c r="W438" s="1877"/>
      <c r="X438" s="1877"/>
      <c r="Y438" s="1877"/>
      <c r="Z438" s="1877"/>
      <c r="AA438" s="1877"/>
      <c r="AB438" s="1877"/>
      <c r="AC438" s="1877"/>
      <c r="AD438" s="1877"/>
      <c r="AE438" s="1877"/>
      <c r="AF438" s="1878"/>
      <c r="AG438" s="1911">
        <v>72</v>
      </c>
      <c r="AH438" s="1911"/>
      <c r="AI438" s="1911"/>
      <c r="AJ438" s="1911"/>
    </row>
    <row r="439" spans="1:110" ht="12.75" customHeight="1">
      <c r="D439" s="1876" t="s">
        <v>1110</v>
      </c>
      <c r="E439" s="1877"/>
      <c r="F439" s="1877"/>
      <c r="G439" s="1877"/>
      <c r="H439" s="1877"/>
      <c r="I439" s="1877"/>
      <c r="J439" s="1877"/>
      <c r="K439" s="1877"/>
      <c r="L439" s="1877"/>
      <c r="M439" s="1877"/>
      <c r="N439" s="1877"/>
      <c r="O439" s="1877"/>
      <c r="P439" s="1877"/>
      <c r="Q439" s="1877"/>
      <c r="R439" s="1877"/>
      <c r="S439" s="1877"/>
      <c r="T439" s="1877"/>
      <c r="U439" s="1877"/>
      <c r="V439" s="1877"/>
      <c r="W439" s="1877"/>
      <c r="X439" s="1877"/>
      <c r="Y439" s="1877"/>
      <c r="Z439" s="1877"/>
      <c r="AA439" s="1877"/>
      <c r="AB439" s="1877"/>
      <c r="AC439" s="1877"/>
      <c r="AD439" s="1877"/>
      <c r="AE439" s="1877"/>
      <c r="AF439" s="1878"/>
      <c r="AG439" s="1911">
        <v>72</v>
      </c>
      <c r="AH439" s="1911"/>
      <c r="AI439" s="1911"/>
      <c r="AJ439" s="1911"/>
    </row>
    <row r="440" spans="1:110" ht="12.75" customHeight="1">
      <c r="D440" s="1876" t="s">
        <v>1112</v>
      </c>
      <c r="E440" s="1877"/>
      <c r="F440" s="1877"/>
      <c r="G440" s="1877"/>
      <c r="H440" s="1877"/>
      <c r="I440" s="1877"/>
      <c r="J440" s="1877"/>
      <c r="K440" s="1877"/>
      <c r="L440" s="1877"/>
      <c r="M440" s="1877"/>
      <c r="N440" s="1877"/>
      <c r="O440" s="1877"/>
      <c r="P440" s="1877"/>
      <c r="Q440" s="1877"/>
      <c r="R440" s="1877"/>
      <c r="S440" s="1877"/>
      <c r="T440" s="1877"/>
      <c r="U440" s="1877"/>
      <c r="V440" s="1877"/>
      <c r="W440" s="1877"/>
      <c r="X440" s="1877"/>
      <c r="Y440" s="1877"/>
      <c r="Z440" s="1877"/>
      <c r="AA440" s="1877"/>
      <c r="AB440" s="1877"/>
      <c r="AC440" s="1877"/>
      <c r="AD440" s="1877"/>
      <c r="AE440" s="1877"/>
      <c r="AF440" s="1878"/>
      <c r="AG440" s="1929">
        <f>IF(ISERROR(AG439/AG438),"",AG439/AG438)</f>
        <v>1</v>
      </c>
      <c r="AH440" s="1929"/>
      <c r="AI440" s="1929"/>
      <c r="AJ440" s="1929"/>
    </row>
    <row r="441" spans="1:110" ht="12.75" customHeight="1">
      <c r="D441" s="1876" t="s">
        <v>1111</v>
      </c>
      <c r="E441" s="1877"/>
      <c r="F441" s="1877"/>
      <c r="G441" s="1877"/>
      <c r="H441" s="1877"/>
      <c r="I441" s="1877"/>
      <c r="J441" s="1877"/>
      <c r="K441" s="1877"/>
      <c r="L441" s="1877"/>
      <c r="M441" s="1877"/>
      <c r="N441" s="1877"/>
      <c r="O441" s="1877"/>
      <c r="P441" s="1877"/>
      <c r="Q441" s="1877"/>
      <c r="R441" s="1877"/>
      <c r="S441" s="1877"/>
      <c r="T441" s="1877"/>
      <c r="U441" s="1877"/>
      <c r="V441" s="1877"/>
      <c r="W441" s="1877"/>
      <c r="X441" s="1877"/>
      <c r="Y441" s="1877"/>
      <c r="Z441" s="1877"/>
      <c r="AA441" s="1877"/>
      <c r="AB441" s="1877"/>
      <c r="AC441" s="1877"/>
      <c r="AD441" s="1877"/>
      <c r="AE441" s="1877"/>
      <c r="AF441" s="1878"/>
      <c r="AG441" s="1928">
        <f>58373-780</f>
        <v>57593</v>
      </c>
      <c r="AH441" s="1928"/>
      <c r="AI441" s="1928"/>
      <c r="AJ441" s="1928"/>
    </row>
    <row r="442" spans="1:110" ht="12.75" customHeight="1">
      <c r="D442" s="1876" t="s">
        <v>1113</v>
      </c>
      <c r="E442" s="1877"/>
      <c r="F442" s="1877"/>
      <c r="G442" s="1877"/>
      <c r="H442" s="1877"/>
      <c r="I442" s="1877"/>
      <c r="J442" s="1877"/>
      <c r="K442" s="1877"/>
      <c r="L442" s="1877"/>
      <c r="M442" s="1877"/>
      <c r="N442" s="1877"/>
      <c r="O442" s="1877"/>
      <c r="P442" s="1877"/>
      <c r="Q442" s="1877"/>
      <c r="R442" s="1877"/>
      <c r="S442" s="1877"/>
      <c r="T442" s="1877"/>
      <c r="U442" s="1877"/>
      <c r="V442" s="1877"/>
      <c r="W442" s="1877"/>
      <c r="X442" s="1877"/>
      <c r="Y442" s="1877"/>
      <c r="Z442" s="1877"/>
      <c r="AA442" s="1877"/>
      <c r="AB442" s="1877"/>
      <c r="AC442" s="1877"/>
      <c r="AD442" s="1877"/>
      <c r="AE442" s="1877"/>
      <c r="AF442" s="1878"/>
      <c r="AG442" s="1928">
        <f>AG441</f>
        <v>57593</v>
      </c>
      <c r="AH442" s="1928"/>
      <c r="AI442" s="1928"/>
      <c r="AJ442" s="1928"/>
    </row>
    <row r="443" spans="1:110" ht="12.75" customHeight="1">
      <c r="D443" s="1876" t="s">
        <v>1114</v>
      </c>
      <c r="E443" s="1877"/>
      <c r="F443" s="1877"/>
      <c r="G443" s="1877"/>
      <c r="H443" s="1877"/>
      <c r="I443" s="1877"/>
      <c r="J443" s="1877"/>
      <c r="K443" s="1877"/>
      <c r="L443" s="1877"/>
      <c r="M443" s="1877"/>
      <c r="N443" s="1877"/>
      <c r="O443" s="1877"/>
      <c r="P443" s="1877"/>
      <c r="Q443" s="1877"/>
      <c r="R443" s="1877"/>
      <c r="S443" s="1877"/>
      <c r="T443" s="1877"/>
      <c r="U443" s="1877"/>
      <c r="V443" s="1877"/>
      <c r="W443" s="1877"/>
      <c r="X443" s="1877"/>
      <c r="Y443" s="1877"/>
      <c r="Z443" s="1877"/>
      <c r="AA443" s="1877"/>
      <c r="AB443" s="1877"/>
      <c r="AC443" s="1877"/>
      <c r="AD443" s="1877"/>
      <c r="AE443" s="1877"/>
      <c r="AF443" s="1878"/>
      <c r="AG443" s="1929">
        <f>IF(ISERROR(AG442/AG441),"",AG442/AG441)</f>
        <v>1</v>
      </c>
      <c r="AH443" s="1929"/>
      <c r="AI443" s="1929"/>
      <c r="AJ443" s="1929"/>
    </row>
    <row r="444" spans="1:110" ht="12.75" customHeight="1">
      <c r="D444" s="1876" t="s">
        <v>1115</v>
      </c>
      <c r="E444" s="1877"/>
      <c r="F444" s="1877"/>
      <c r="G444" s="1877"/>
      <c r="H444" s="1877"/>
      <c r="I444" s="1877"/>
      <c r="J444" s="1877"/>
      <c r="K444" s="1877"/>
      <c r="L444" s="1877"/>
      <c r="M444" s="1877"/>
      <c r="N444" s="1877"/>
      <c r="O444" s="1877"/>
      <c r="P444" s="1877"/>
      <c r="Q444" s="1877"/>
      <c r="R444" s="1877"/>
      <c r="S444" s="1877"/>
      <c r="T444" s="1877"/>
      <c r="U444" s="1877"/>
      <c r="V444" s="1877"/>
      <c r="W444" s="1877"/>
      <c r="X444" s="1877"/>
      <c r="Y444" s="1877"/>
      <c r="Z444" s="1877"/>
      <c r="AA444" s="1877"/>
      <c r="AB444" s="1877"/>
      <c r="AC444" s="1877"/>
      <c r="AD444" s="1877"/>
      <c r="AE444" s="1877"/>
      <c r="AF444" s="1878"/>
      <c r="AG444" s="1929">
        <f>MIN(IF(AG440&gt;AG443,AG443,AG440),1)</f>
        <v>1</v>
      </c>
      <c r="AH444" s="1929"/>
      <c r="AI444" s="1929"/>
      <c r="AJ444" s="1929"/>
    </row>
    <row r="445" spans="1:110" ht="12.75" customHeight="1">
      <c r="D445" s="1876" t="s">
        <v>2696</v>
      </c>
      <c r="E445" s="1925"/>
      <c r="F445" s="1925"/>
      <c r="G445" s="1925"/>
      <c r="H445" s="1925"/>
      <c r="I445" s="1925"/>
      <c r="J445" s="1925"/>
      <c r="K445" s="1925"/>
      <c r="L445" s="1925"/>
      <c r="M445" s="1925"/>
      <c r="N445" s="1925"/>
      <c r="O445" s="1925"/>
      <c r="P445" s="1925"/>
      <c r="Q445" s="1925"/>
      <c r="R445" s="1925"/>
      <c r="S445" s="1925"/>
      <c r="T445" s="1925"/>
      <c r="U445" s="1925"/>
      <c r="V445" s="1925"/>
      <c r="W445" s="1925"/>
      <c r="X445" s="1925"/>
      <c r="Y445" s="1925"/>
      <c r="Z445" s="1925"/>
      <c r="AA445" s="1925"/>
      <c r="AB445" s="1925"/>
      <c r="AC445" s="1925"/>
      <c r="AD445" s="1925"/>
      <c r="AE445" s="1925"/>
      <c r="AF445" s="1926"/>
      <c r="AG445" s="1928">
        <f>754+1100</f>
        <v>1854</v>
      </c>
      <c r="AH445" s="1928"/>
      <c r="AI445" s="1928"/>
      <c r="AJ445" s="1928"/>
    </row>
    <row r="446" spans="1:110" ht="12.75" customHeight="1">
      <c r="D446" s="1927" t="s">
        <v>592</v>
      </c>
      <c r="E446" s="1925"/>
      <c r="F446" s="1925"/>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1926"/>
      <c r="AG446" s="1928">
        <v>0</v>
      </c>
      <c r="AH446" s="1928"/>
      <c r="AI446" s="1928"/>
      <c r="AJ446" s="19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5" customHeight="1">
      <c r="D447" s="1876" t="s">
        <v>1365</v>
      </c>
      <c r="E447" s="19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1926"/>
      <c r="AG447" s="1928">
        <f>92650-75390</f>
        <v>17260</v>
      </c>
      <c r="AH447" s="1928"/>
      <c r="AI447" s="1928"/>
      <c r="AJ447" s="19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1876" t="s">
        <v>1116</v>
      </c>
      <c r="E448" s="19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1926"/>
      <c r="AG448" s="1928">
        <v>15943</v>
      </c>
      <c r="AH448" s="1928"/>
      <c r="AI448" s="1928"/>
      <c r="AJ448" s="19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040" t="s">
        <v>1117</v>
      </c>
      <c r="E449" s="2041"/>
      <c r="F449" s="2041"/>
      <c r="G449" s="2041"/>
      <c r="H449" s="2041"/>
      <c r="I449" s="2041"/>
      <c r="J449" s="2041"/>
      <c r="K449" s="2041"/>
      <c r="L449" s="2041"/>
      <c r="M449" s="2041"/>
      <c r="N449" s="2041"/>
      <c r="O449" s="2041"/>
      <c r="P449" s="2041"/>
      <c r="Q449" s="2041"/>
      <c r="R449" s="2041"/>
      <c r="S449" s="2041"/>
      <c r="T449" s="2041"/>
      <c r="U449" s="2041"/>
      <c r="V449" s="2041"/>
      <c r="W449" s="2041"/>
      <c r="X449" s="2041"/>
      <c r="Y449" s="2041"/>
      <c r="Z449" s="2041"/>
      <c r="AA449" s="2041"/>
      <c r="AB449" s="2041"/>
      <c r="AC449" s="2041"/>
      <c r="AD449" s="2041"/>
      <c r="AE449" s="2041"/>
      <c r="AF449" s="2042"/>
      <c r="AG449" s="1954">
        <f>AG441+AG445+AG447+AG448</f>
        <v>92650</v>
      </c>
      <c r="AH449" s="1954"/>
      <c r="AI449" s="1954"/>
      <c r="AJ449" s="19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043" t="s">
        <v>1366</v>
      </c>
      <c r="E450" s="2043"/>
      <c r="F450" s="2043"/>
      <c r="G450" s="2043"/>
      <c r="H450" s="2043"/>
      <c r="I450" s="2043"/>
      <c r="J450" s="2043"/>
      <c r="K450" s="2043"/>
      <c r="L450" s="2043"/>
      <c r="M450" s="2043"/>
      <c r="N450" s="2043"/>
      <c r="O450" s="2043"/>
      <c r="P450" s="2043"/>
      <c r="Q450" s="2043"/>
      <c r="R450" s="2043"/>
      <c r="S450" s="2043"/>
      <c r="T450" s="2043"/>
      <c r="U450" s="2043"/>
      <c r="V450" s="2043"/>
      <c r="W450" s="2043"/>
      <c r="X450" s="2043"/>
      <c r="Y450" s="2043"/>
      <c r="Z450" s="2043"/>
      <c r="AA450" s="2043"/>
      <c r="AB450" s="2043"/>
      <c r="AC450" s="2043"/>
      <c r="AD450" s="2043"/>
      <c r="AE450" s="2043"/>
      <c r="AF450" s="2043"/>
      <c r="AG450" s="2043"/>
      <c r="AH450" s="2043"/>
      <c r="AI450" s="2043"/>
      <c r="AJ450" s="20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044"/>
      <c r="E451" s="2044"/>
      <c r="F451" s="2044"/>
      <c r="G451" s="2044"/>
      <c r="H451" s="2044"/>
      <c r="I451" s="2044"/>
      <c r="J451" s="2044"/>
      <c r="K451" s="2044"/>
      <c r="L451" s="2044"/>
      <c r="M451" s="2044"/>
      <c r="N451" s="2044"/>
      <c r="O451" s="2044"/>
      <c r="P451" s="2044"/>
      <c r="Q451" s="2044"/>
      <c r="R451" s="2044"/>
      <c r="S451" s="2044"/>
      <c r="T451" s="2044"/>
      <c r="U451" s="2044"/>
      <c r="V451" s="2044"/>
      <c r="W451" s="2044"/>
      <c r="X451" s="2044"/>
      <c r="Y451" s="2044"/>
      <c r="Z451" s="2044"/>
      <c r="AA451" s="2044"/>
      <c r="AB451" s="2044"/>
      <c r="AC451" s="2044"/>
      <c r="AD451" s="2044"/>
      <c r="AE451" s="2044"/>
      <c r="AF451" s="2044"/>
      <c r="AG451" s="2044"/>
      <c r="AH451" s="2044"/>
      <c r="AI451" s="2044"/>
      <c r="AJ451" s="20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856</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1955">
        <f>'Sources and Uses Budget'!B105/Application!AG436</f>
        <v>943614.96713586908</v>
      </c>
      <c r="AD453" s="1955"/>
      <c r="AE453" s="1955"/>
      <c r="AF453" s="195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857</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1955">
        <f>'Sources and Uses Budget'!C105/Application!AG436</f>
        <v>943614.96713586908</v>
      </c>
      <c r="AD454" s="1955"/>
      <c r="AE454" s="1955"/>
      <c r="AF454" s="195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907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1955">
        <f>('Sources and Uses Budget'!$S$107+'Sources and Uses Budget'!$T$107)/Application!AG436</f>
        <v>899547.60178708867</v>
      </c>
      <c r="AD455" s="1955"/>
      <c r="AE455" s="1955"/>
      <c r="AF455" s="195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637</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1953" t="s">
        <v>718</v>
      </c>
      <c r="E464" s="1951"/>
      <c r="F464" s="1951"/>
      <c r="G464" s="1951"/>
      <c r="H464" s="1951"/>
      <c r="I464" s="1951"/>
      <c r="J464" s="1951"/>
      <c r="K464" s="1951"/>
      <c r="L464" s="1951"/>
      <c r="M464" s="1951"/>
      <c r="N464" s="1951"/>
      <c r="O464" s="1951"/>
      <c r="P464" s="1951"/>
      <c r="Q464" s="1951"/>
      <c r="R464" s="1951"/>
      <c r="S464" s="1951"/>
      <c r="T464" s="1951"/>
      <c r="U464" s="1951"/>
      <c r="V464" s="1952"/>
      <c r="W464" s="1896">
        <v>0</v>
      </c>
      <c r="X464" s="1897"/>
      <c r="Y464" s="18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1953" t="s">
        <v>719</v>
      </c>
      <c r="E465" s="1951"/>
      <c r="F465" s="1951"/>
      <c r="G465" s="1951"/>
      <c r="H465" s="1951"/>
      <c r="I465" s="1951"/>
      <c r="J465" s="1951"/>
      <c r="K465" s="1951"/>
      <c r="L465" s="1951"/>
      <c r="M465" s="1951"/>
      <c r="N465" s="1951"/>
      <c r="O465" s="1951"/>
      <c r="P465" s="1951"/>
      <c r="Q465" s="1951"/>
      <c r="R465" s="1951"/>
      <c r="S465" s="1951"/>
      <c r="T465" s="1951"/>
      <c r="U465" s="1951"/>
      <c r="V465" s="1952"/>
      <c r="W465" s="1896">
        <v>0</v>
      </c>
      <c r="X465" s="1897"/>
      <c r="Y465" s="18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1953" t="s">
        <v>720</v>
      </c>
      <c r="E466" s="1951"/>
      <c r="F466" s="1951"/>
      <c r="G466" s="1951"/>
      <c r="H466" s="1951"/>
      <c r="I466" s="1951"/>
      <c r="J466" s="1951"/>
      <c r="K466" s="1951"/>
      <c r="L466" s="1951"/>
      <c r="M466" s="1951"/>
      <c r="N466" s="1951"/>
      <c r="O466" s="1951"/>
      <c r="P466" s="1951"/>
      <c r="Q466" s="1951"/>
      <c r="R466" s="1951"/>
      <c r="S466" s="1951"/>
      <c r="T466" s="1951"/>
      <c r="U466" s="1951"/>
      <c r="V466" s="1952"/>
      <c r="W466" s="1896">
        <v>0</v>
      </c>
      <c r="X466" s="1897"/>
      <c r="Y466" s="18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1953" t="s">
        <v>721</v>
      </c>
      <c r="E467" s="1951"/>
      <c r="F467" s="1951"/>
      <c r="G467" s="1951"/>
      <c r="H467" s="1951"/>
      <c r="I467" s="1951"/>
      <c r="J467" s="1951"/>
      <c r="K467" s="1951"/>
      <c r="L467" s="1951"/>
      <c r="M467" s="1951"/>
      <c r="N467" s="1951"/>
      <c r="O467" s="1951"/>
      <c r="P467" s="1951"/>
      <c r="Q467" s="1951"/>
      <c r="R467" s="1951"/>
      <c r="S467" s="1951"/>
      <c r="T467" s="1951"/>
      <c r="U467" s="1951"/>
      <c r="V467" s="1952"/>
      <c r="W467" s="1896">
        <v>0</v>
      </c>
      <c r="X467" s="1897"/>
      <c r="Y467" s="18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1953" t="s">
        <v>926</v>
      </c>
      <c r="E468" s="1951"/>
      <c r="F468" s="1951"/>
      <c r="G468" s="1951"/>
      <c r="H468" s="1951"/>
      <c r="I468" s="1951"/>
      <c r="J468" s="1951"/>
      <c r="K468" s="1951"/>
      <c r="L468" s="1951"/>
      <c r="M468" s="1951"/>
      <c r="N468" s="1951"/>
      <c r="O468" s="1951"/>
      <c r="P468" s="1951"/>
      <c r="Q468" s="1951"/>
      <c r="R468" s="1951"/>
      <c r="S468" s="1951"/>
      <c r="T468" s="1951"/>
      <c r="U468" s="1951"/>
      <c r="V468" s="1952"/>
      <c r="W468" s="1896">
        <v>0</v>
      </c>
      <c r="X468" s="1897"/>
      <c r="Y468" s="18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1953" t="s">
        <v>722</v>
      </c>
      <c r="E469" s="1951"/>
      <c r="F469" s="1951"/>
      <c r="G469" s="1951"/>
      <c r="H469" s="1951"/>
      <c r="I469" s="1951"/>
      <c r="J469" s="1951"/>
      <c r="K469" s="1951"/>
      <c r="L469" s="1951"/>
      <c r="M469" s="1951"/>
      <c r="N469" s="1951"/>
      <c r="O469" s="1951"/>
      <c r="P469" s="1951"/>
      <c r="Q469" s="1951"/>
      <c r="R469" s="1951"/>
      <c r="S469" s="1951"/>
      <c r="T469" s="1951"/>
      <c r="U469" s="1951"/>
      <c r="V469" s="1952"/>
      <c r="W469" s="1896">
        <v>0</v>
      </c>
      <c r="X469" s="1897"/>
      <c r="Y469" s="18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1953" t="s">
        <v>1085</v>
      </c>
      <c r="E470" s="1951"/>
      <c r="F470" s="1951"/>
      <c r="G470" s="1951"/>
      <c r="H470" s="1951"/>
      <c r="I470" s="1951"/>
      <c r="J470" s="1951"/>
      <c r="K470" s="1951"/>
      <c r="L470" s="1951"/>
      <c r="M470" s="1951"/>
      <c r="N470" s="1951"/>
      <c r="O470" s="1951"/>
      <c r="P470" s="1951"/>
      <c r="Q470" s="1951"/>
      <c r="R470" s="1951"/>
      <c r="S470" s="1951"/>
      <c r="T470" s="1951"/>
      <c r="U470" s="1951"/>
      <c r="V470" s="1952"/>
      <c r="W470" s="1896">
        <v>0</v>
      </c>
      <c r="X470" s="1897"/>
      <c r="Y470" s="18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1950" t="s">
        <v>1856</v>
      </c>
      <c r="E471" s="1951"/>
      <c r="F471" s="1951"/>
      <c r="G471" s="1951"/>
      <c r="H471" s="1951"/>
      <c r="I471" s="1951"/>
      <c r="J471" s="1951"/>
      <c r="K471" s="1951"/>
      <c r="L471" s="1951"/>
      <c r="M471" s="1951"/>
      <c r="N471" s="1951"/>
      <c r="O471" s="1951"/>
      <c r="P471" s="1951"/>
      <c r="Q471" s="1951"/>
      <c r="R471" s="1951"/>
      <c r="S471" s="1951"/>
      <c r="T471" s="1951"/>
      <c r="U471" s="1951"/>
      <c r="V471" s="1952"/>
      <c r="W471" s="1896">
        <v>0</v>
      </c>
      <c r="X471" s="1897"/>
      <c r="Y471" s="18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174</v>
      </c>
      <c r="E472" s="390"/>
      <c r="F472" s="391"/>
      <c r="G472" s="1947"/>
      <c r="H472" s="1948"/>
      <c r="I472" s="1948"/>
      <c r="J472" s="1948"/>
      <c r="K472" s="1948"/>
      <c r="L472" s="1948"/>
      <c r="M472" s="1948"/>
      <c r="N472" s="1948"/>
      <c r="O472" s="1948"/>
      <c r="P472" s="1948"/>
      <c r="Q472" s="1948"/>
      <c r="R472" s="1948"/>
      <c r="S472" s="1948"/>
      <c r="T472" s="1948"/>
      <c r="U472" s="1948"/>
      <c r="V472" s="1949"/>
      <c r="W472" s="1896">
        <v>0</v>
      </c>
      <c r="X472" s="1897"/>
      <c r="Y472" s="18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927</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1939" t="s">
        <v>850</v>
      </c>
      <c r="B478" s="1939"/>
      <c r="C478" s="1939"/>
      <c r="D478" s="1939"/>
      <c r="E478" s="1939"/>
      <c r="F478" s="1939"/>
      <c r="G478" s="1939"/>
      <c r="H478" s="1939"/>
      <c r="I478" s="1939"/>
      <c r="J478" s="1939"/>
      <c r="K478" s="1939"/>
      <c r="L478" s="1939"/>
      <c r="M478" s="1939"/>
      <c r="N478" s="1939"/>
      <c r="O478" s="1939"/>
      <c r="P478" s="1939"/>
      <c r="Q478" s="1939"/>
      <c r="R478" s="1939"/>
      <c r="S478" s="1939"/>
      <c r="T478" s="1939"/>
      <c r="U478" s="1939"/>
      <c r="V478" s="1939"/>
      <c r="W478" s="1939"/>
      <c r="X478" s="1939"/>
      <c r="Y478" s="1939"/>
      <c r="Z478" s="1939"/>
      <c r="AA478" s="1939"/>
      <c r="AB478" s="1939"/>
      <c r="AC478" s="1939"/>
      <c r="AD478" s="1939"/>
      <c r="AE478" s="1939"/>
      <c r="AF478" s="1939"/>
      <c r="AG478" s="1939"/>
      <c r="AH478" s="1939"/>
      <c r="AI478" s="1939"/>
      <c r="AJ478" s="1939"/>
      <c r="AK478" s="1939"/>
      <c r="AL478" s="193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1940"/>
      <c r="B479" s="1940"/>
      <c r="C479" s="1940"/>
      <c r="D479" s="1940"/>
      <c r="E479" s="1940"/>
      <c r="F479" s="1940"/>
      <c r="G479" s="1940"/>
      <c r="H479" s="1940"/>
      <c r="I479" s="1940"/>
      <c r="J479" s="1940"/>
      <c r="K479" s="1940"/>
      <c r="L479" s="1940"/>
      <c r="M479" s="1940"/>
      <c r="N479" s="1940"/>
      <c r="O479" s="1940"/>
      <c r="P479" s="1940"/>
      <c r="Q479" s="1940"/>
      <c r="R479" s="1940"/>
      <c r="S479" s="1940"/>
      <c r="T479" s="1940"/>
      <c r="U479" s="1940"/>
      <c r="V479" s="1940"/>
      <c r="W479" s="1940"/>
      <c r="X479" s="1940"/>
      <c r="Y479" s="1940"/>
      <c r="Z479" s="1940"/>
      <c r="AA479" s="1940"/>
      <c r="AB479" s="1940"/>
      <c r="AC479" s="1940"/>
      <c r="AD479" s="1940"/>
      <c r="AE479" s="1940"/>
      <c r="AF479" s="1940"/>
      <c r="AG479" s="1940"/>
      <c r="AH479" s="1940"/>
      <c r="AI479" s="1940"/>
      <c r="AJ479" s="1940"/>
      <c r="AK479" s="1940"/>
      <c r="AL479" s="194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324</v>
      </c>
      <c r="C481" s="50" t="s">
        <v>848</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1959" t="s">
        <v>851</v>
      </c>
      <c r="U483" s="1960"/>
      <c r="V483" s="1960"/>
      <c r="W483" s="1960"/>
      <c r="X483" s="1960"/>
      <c r="Y483" s="1960"/>
      <c r="Z483" s="1960"/>
      <c r="AA483" s="1960"/>
      <c r="AB483" s="1960"/>
      <c r="AC483" s="1960"/>
      <c r="AD483" s="1960"/>
      <c r="AE483" s="1960"/>
      <c r="AF483" s="1960"/>
      <c r="AG483" s="1960"/>
      <c r="AH483" s="196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1976" t="s">
        <v>36</v>
      </c>
      <c r="U484" s="1976"/>
      <c r="V484" s="1976"/>
      <c r="W484" s="1976"/>
      <c r="X484" s="1976"/>
      <c r="Y484" s="1976" t="s">
        <v>37</v>
      </c>
      <c r="Z484" s="1976"/>
      <c r="AA484" s="1976"/>
      <c r="AB484" s="1976"/>
      <c r="AC484" s="1976"/>
      <c r="AD484" s="1976" t="s">
        <v>343</v>
      </c>
      <c r="AE484" s="1976"/>
      <c r="AF484" s="1976"/>
      <c r="AG484" s="1976"/>
      <c r="AH484" s="19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1976"/>
      <c r="U485" s="1976"/>
      <c r="V485" s="1976"/>
      <c r="W485" s="1976"/>
      <c r="X485" s="1976"/>
      <c r="Y485" s="1976"/>
      <c r="Z485" s="1976"/>
      <c r="AA485" s="1976"/>
      <c r="AB485" s="1976"/>
      <c r="AC485" s="1976"/>
      <c r="AD485" s="1976"/>
      <c r="AE485" s="1976"/>
      <c r="AF485" s="1976"/>
      <c r="AG485" s="1976"/>
      <c r="AH485" s="19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377</v>
      </c>
      <c r="F486" s="77"/>
      <c r="G486" s="77"/>
      <c r="H486" s="77"/>
      <c r="I486" s="77"/>
      <c r="J486" s="77"/>
      <c r="K486" s="77"/>
      <c r="L486" s="77"/>
      <c r="M486" s="77"/>
      <c r="N486" s="77"/>
      <c r="O486" s="77"/>
      <c r="P486" s="77"/>
      <c r="Q486" s="77"/>
      <c r="R486" s="77"/>
      <c r="S486" s="78"/>
      <c r="T486" s="1886" t="s">
        <v>615</v>
      </c>
      <c r="U486" s="1886"/>
      <c r="V486" s="1886"/>
      <c r="W486" s="1886"/>
      <c r="X486" s="1886"/>
      <c r="Y486" s="1886" t="s">
        <v>615</v>
      </c>
      <c r="Z486" s="1886"/>
      <c r="AA486" s="1886"/>
      <c r="AB486" s="1886"/>
      <c r="AC486" s="1886"/>
      <c r="AD486" s="1886">
        <v>36564</v>
      </c>
      <c r="AE486" s="1886"/>
      <c r="AF486" s="1886"/>
      <c r="AG486" s="1886"/>
      <c r="AH486" s="18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378</v>
      </c>
      <c r="F487" s="77"/>
      <c r="G487" s="77"/>
      <c r="H487" s="77"/>
      <c r="I487" s="77"/>
      <c r="J487" s="77"/>
      <c r="K487" s="77"/>
      <c r="L487" s="77"/>
      <c r="M487" s="77"/>
      <c r="N487" s="77"/>
      <c r="O487" s="77"/>
      <c r="P487" s="77"/>
      <c r="Q487" s="77"/>
      <c r="R487" s="77"/>
      <c r="S487" s="77"/>
      <c r="T487" s="1886" t="s">
        <v>615</v>
      </c>
      <c r="U487" s="1886"/>
      <c r="V487" s="1886"/>
      <c r="W487" s="1886"/>
      <c r="X487" s="1886"/>
      <c r="Y487" s="1886" t="s">
        <v>615</v>
      </c>
      <c r="Z487" s="1886"/>
      <c r="AA487" s="1886"/>
      <c r="AB487" s="1886"/>
      <c r="AC487" s="1886"/>
      <c r="AD487" s="1886" t="s">
        <v>615</v>
      </c>
      <c r="AE487" s="1886"/>
      <c r="AF487" s="1886"/>
      <c r="AG487" s="1886"/>
      <c r="AH487" s="18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379</v>
      </c>
      <c r="F488" s="77"/>
      <c r="G488" s="77"/>
      <c r="H488" s="77"/>
      <c r="I488" s="77"/>
      <c r="J488" s="77"/>
      <c r="K488" s="77"/>
      <c r="L488" s="77"/>
      <c r="M488" s="77"/>
      <c r="N488" s="77"/>
      <c r="O488" s="77"/>
      <c r="P488" s="77"/>
      <c r="Q488" s="77"/>
      <c r="R488" s="77"/>
      <c r="S488" s="77"/>
      <c r="T488" s="1886" t="s">
        <v>615</v>
      </c>
      <c r="U488" s="1886"/>
      <c r="V488" s="1886"/>
      <c r="W488" s="1886"/>
      <c r="X488" s="1886"/>
      <c r="Y488" s="1886" t="s">
        <v>615</v>
      </c>
      <c r="Z488" s="1886"/>
      <c r="AA488" s="1886"/>
      <c r="AB488" s="1886"/>
      <c r="AC488" s="1886"/>
      <c r="AD488" s="1886" t="s">
        <v>615</v>
      </c>
      <c r="AE488" s="1886"/>
      <c r="AF488" s="1886"/>
      <c r="AG488" s="1886"/>
      <c r="AH488" s="18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380</v>
      </c>
      <c r="F489" s="77"/>
      <c r="G489" s="77"/>
      <c r="H489" s="77"/>
      <c r="I489" s="77"/>
      <c r="J489" s="77"/>
      <c r="K489" s="77"/>
      <c r="L489" s="77"/>
      <c r="M489" s="77"/>
      <c r="N489" s="77"/>
      <c r="O489" s="77"/>
      <c r="P489" s="77"/>
      <c r="Q489" s="77"/>
      <c r="R489" s="77"/>
      <c r="S489" s="77"/>
      <c r="T489" s="1886">
        <v>44491</v>
      </c>
      <c r="U489" s="1886"/>
      <c r="V489" s="1886"/>
      <c r="W489" s="1886"/>
      <c r="X489" s="1886"/>
      <c r="Y489" s="1886" t="s">
        <v>615</v>
      </c>
      <c r="Z489" s="1886"/>
      <c r="AA489" s="1886"/>
      <c r="AB489" s="1886"/>
      <c r="AC489" s="1886"/>
      <c r="AD489" s="1886">
        <v>44545</v>
      </c>
      <c r="AE489" s="1886"/>
      <c r="AF489" s="1886"/>
      <c r="AG489" s="1886"/>
      <c r="AH489" s="18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381</v>
      </c>
      <c r="F490" s="77"/>
      <c r="G490" s="77"/>
      <c r="H490" s="77"/>
      <c r="I490" s="77"/>
      <c r="J490" s="77"/>
      <c r="K490" s="77"/>
      <c r="L490" s="77"/>
      <c r="M490" s="77"/>
      <c r="N490" s="77"/>
      <c r="O490" s="77"/>
      <c r="P490" s="77"/>
      <c r="Q490" s="77"/>
      <c r="R490" s="77"/>
      <c r="S490" s="77"/>
      <c r="T490" s="1886" t="s">
        <v>615</v>
      </c>
      <c r="U490" s="1886"/>
      <c r="V490" s="1886"/>
      <c r="W490" s="1886"/>
      <c r="X490" s="1886"/>
      <c r="Y490" s="1886" t="s">
        <v>615</v>
      </c>
      <c r="Z490" s="1886"/>
      <c r="AA490" s="1886"/>
      <c r="AB490" s="1886"/>
      <c r="AC490" s="1886"/>
      <c r="AD490" s="1886" t="s">
        <v>615</v>
      </c>
      <c r="AE490" s="1886"/>
      <c r="AF490" s="1886"/>
      <c r="AG490" s="1886"/>
      <c r="AH490" s="18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382</v>
      </c>
      <c r="F491" s="77"/>
      <c r="G491" s="77"/>
      <c r="H491" s="77"/>
      <c r="I491" s="77"/>
      <c r="J491" s="77"/>
      <c r="K491" s="77"/>
      <c r="L491" s="77"/>
      <c r="M491" s="77"/>
      <c r="N491" s="77"/>
      <c r="O491" s="77"/>
      <c r="P491" s="77"/>
      <c r="Q491" s="77"/>
      <c r="R491" s="77"/>
      <c r="S491" s="77"/>
      <c r="T491" s="1886" t="s">
        <v>615</v>
      </c>
      <c r="U491" s="1886"/>
      <c r="V491" s="1886"/>
      <c r="W491" s="1886"/>
      <c r="X491" s="1886"/>
      <c r="Y491" s="1886" t="s">
        <v>615</v>
      </c>
      <c r="Z491" s="1886"/>
      <c r="AA491" s="1886"/>
      <c r="AB491" s="1886"/>
      <c r="AC491" s="1886"/>
      <c r="AD491" s="1886" t="s">
        <v>615</v>
      </c>
      <c r="AE491" s="1886"/>
      <c r="AF491" s="1886"/>
      <c r="AG491" s="1886"/>
      <c r="AH491" s="18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383</v>
      </c>
      <c r="F492" s="77"/>
      <c r="G492" s="77"/>
      <c r="H492" s="77"/>
      <c r="I492" s="77"/>
      <c r="J492" s="77"/>
      <c r="K492" s="77"/>
      <c r="L492" s="77"/>
      <c r="M492" s="77"/>
      <c r="N492" s="77"/>
      <c r="O492" s="77"/>
      <c r="P492" s="77"/>
      <c r="Q492" s="77"/>
      <c r="R492" s="77"/>
      <c r="S492" s="77"/>
      <c r="T492" s="1886">
        <v>0</v>
      </c>
      <c r="U492" s="1886"/>
      <c r="V492" s="1886"/>
      <c r="W492" s="1886"/>
      <c r="X492" s="1886"/>
      <c r="Y492" s="1886" t="s">
        <v>615</v>
      </c>
      <c r="Z492" s="1886"/>
      <c r="AA492" s="1886"/>
      <c r="AB492" s="1886"/>
      <c r="AC492" s="1886"/>
      <c r="AD492" s="1886">
        <v>44306</v>
      </c>
      <c r="AE492" s="1886"/>
      <c r="AF492" s="1886"/>
      <c r="AG492" s="1886"/>
      <c r="AH492" s="188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406</v>
      </c>
      <c r="F493" s="77"/>
      <c r="G493" s="77"/>
      <c r="H493" s="77"/>
      <c r="I493" s="77"/>
      <c r="J493" s="77"/>
      <c r="K493" s="77"/>
      <c r="L493" s="77"/>
      <c r="M493" s="77"/>
      <c r="N493" s="77"/>
      <c r="O493" s="77"/>
      <c r="P493" s="77"/>
      <c r="Q493" s="77"/>
      <c r="R493" s="77"/>
      <c r="S493" s="77"/>
      <c r="T493" s="1886" t="s">
        <v>615</v>
      </c>
      <c r="U493" s="1886"/>
      <c r="V493" s="1886"/>
      <c r="W493" s="1886"/>
      <c r="X493" s="1886"/>
      <c r="Y493" s="1886" t="s">
        <v>615</v>
      </c>
      <c r="Z493" s="1886"/>
      <c r="AA493" s="1886"/>
      <c r="AB493" s="1886"/>
      <c r="AC493" s="1886"/>
      <c r="AD493" s="1886" t="s">
        <v>615</v>
      </c>
      <c r="AE493" s="1886"/>
      <c r="AF493" s="1886"/>
      <c r="AG493" s="1886"/>
      <c r="AH493" s="18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407</v>
      </c>
      <c r="F494" s="77"/>
      <c r="G494" s="77"/>
      <c r="H494" s="77"/>
      <c r="I494" s="77"/>
      <c r="J494" s="77"/>
      <c r="K494" s="77"/>
      <c r="L494" s="77"/>
      <c r="M494" s="77"/>
      <c r="N494" s="77"/>
      <c r="O494" s="77"/>
      <c r="P494" s="77"/>
      <c r="Q494" s="77"/>
      <c r="R494" s="77"/>
      <c r="S494" s="77"/>
      <c r="T494" s="1886" t="s">
        <v>615</v>
      </c>
      <c r="U494" s="1886"/>
      <c r="V494" s="1886"/>
      <c r="W494" s="1886"/>
      <c r="X494" s="1886"/>
      <c r="Y494" s="1886" t="s">
        <v>615</v>
      </c>
      <c r="Z494" s="1886"/>
      <c r="AA494" s="1886"/>
      <c r="AB494" s="1886"/>
      <c r="AC494" s="1886"/>
      <c r="AD494" s="1886" t="s">
        <v>615</v>
      </c>
      <c r="AE494" s="1886"/>
      <c r="AF494" s="1886"/>
      <c r="AG494" s="1886"/>
      <c r="AH494" s="18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1061</v>
      </c>
      <c r="F495" s="80"/>
      <c r="G495" s="80"/>
      <c r="H495" s="80"/>
      <c r="I495" s="80"/>
      <c r="J495" s="80"/>
      <c r="K495" s="80"/>
      <c r="L495" s="80"/>
      <c r="M495" s="80"/>
      <c r="N495" s="80"/>
      <c r="O495" s="80"/>
      <c r="P495" s="80"/>
      <c r="Q495" s="80"/>
      <c r="R495" s="80"/>
      <c r="S495" s="80"/>
      <c r="T495" s="1886">
        <v>0</v>
      </c>
      <c r="U495" s="1886"/>
      <c r="V495" s="1886"/>
      <c r="W495" s="1886"/>
      <c r="X495" s="1886"/>
      <c r="Y495" s="1886" t="s">
        <v>615</v>
      </c>
      <c r="Z495" s="1886"/>
      <c r="AA495" s="1886"/>
      <c r="AB495" s="1886"/>
      <c r="AC495" s="1886"/>
      <c r="AD495" s="1886">
        <v>44306</v>
      </c>
      <c r="AE495" s="1886"/>
      <c r="AF495" s="1886"/>
      <c r="AG495" s="1886"/>
      <c r="AH495" s="18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1978" t="s">
        <v>408</v>
      </c>
      <c r="R497" s="1979"/>
      <c r="S497" s="1979"/>
      <c r="T497" s="1979"/>
      <c r="U497" s="1979"/>
      <c r="V497" s="1979"/>
      <c r="W497" s="1979"/>
      <c r="X497" s="1979"/>
      <c r="Y497" s="1979"/>
      <c r="Z497" s="1979"/>
      <c r="AA497" s="1979"/>
      <c r="AB497" s="1979"/>
      <c r="AC497" s="1979"/>
      <c r="AD497" s="1979"/>
      <c r="AE497" s="1979"/>
      <c r="AF497" s="1979"/>
      <c r="AG497" s="1979"/>
      <c r="AH497" s="1979"/>
      <c r="AI497" s="1979"/>
      <c r="AJ497" s="1979"/>
      <c r="AK497" s="198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409</v>
      </c>
      <c r="C498" s="77"/>
      <c r="D498" s="77"/>
      <c r="E498" s="77"/>
      <c r="F498" s="77"/>
      <c r="G498" s="77"/>
      <c r="H498" s="77"/>
      <c r="I498" s="77"/>
      <c r="J498" s="77"/>
      <c r="K498" s="77"/>
      <c r="L498" s="77"/>
      <c r="M498" s="77"/>
      <c r="N498" s="77"/>
      <c r="O498" s="77"/>
      <c r="P498" s="77"/>
      <c r="Q498" s="1962" t="s">
        <v>2550</v>
      </c>
      <c r="R498" s="1944"/>
      <c r="S498" s="1944"/>
      <c r="T498" s="1944"/>
      <c r="U498" s="1944"/>
      <c r="V498" s="1944"/>
      <c r="W498" s="1944"/>
      <c r="X498" s="1944"/>
      <c r="Y498" s="1944"/>
      <c r="Z498" s="1944"/>
      <c r="AA498" s="1944"/>
      <c r="AB498" s="1944"/>
      <c r="AC498" s="1944"/>
      <c r="AD498" s="1944"/>
      <c r="AE498" s="1944"/>
      <c r="AF498" s="1944"/>
      <c r="AG498" s="1944"/>
      <c r="AH498" s="1944"/>
      <c r="AI498" s="1944"/>
      <c r="AJ498" s="1944"/>
      <c r="AK498" s="196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410</v>
      </c>
      <c r="C499" s="77"/>
      <c r="D499" s="77"/>
      <c r="E499" s="77"/>
      <c r="F499" s="77"/>
      <c r="G499" s="77"/>
      <c r="H499" s="77"/>
      <c r="I499" s="77"/>
      <c r="J499" s="77"/>
      <c r="K499" s="77"/>
      <c r="L499" s="77"/>
      <c r="M499" s="77"/>
      <c r="N499" s="77"/>
      <c r="O499" s="77"/>
      <c r="P499" s="77"/>
      <c r="Q499" s="1962" t="s">
        <v>2551</v>
      </c>
      <c r="R499" s="1944"/>
      <c r="S499" s="1944"/>
      <c r="T499" s="1944"/>
      <c r="U499" s="1944"/>
      <c r="V499" s="1944"/>
      <c r="W499" s="1944"/>
      <c r="X499" s="1944"/>
      <c r="Y499" s="1944"/>
      <c r="Z499" s="1944"/>
      <c r="AA499" s="1944"/>
      <c r="AB499" s="1944"/>
      <c r="AC499" s="1944"/>
      <c r="AD499" s="1944"/>
      <c r="AE499" s="1944"/>
      <c r="AF499" s="1944"/>
      <c r="AG499" s="1944"/>
      <c r="AH499" s="1944"/>
      <c r="AI499" s="1944"/>
      <c r="AJ499" s="1944"/>
      <c r="AK499" s="196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411</v>
      </c>
      <c r="C500" s="77"/>
      <c r="D500" s="77"/>
      <c r="E500" s="77"/>
      <c r="F500" s="77"/>
      <c r="G500" s="77"/>
      <c r="H500" s="77"/>
      <c r="I500" s="77"/>
      <c r="J500" s="77"/>
      <c r="K500" s="77"/>
      <c r="L500" s="77"/>
      <c r="M500" s="77"/>
      <c r="N500" s="77"/>
      <c r="O500" s="77"/>
      <c r="P500" s="77"/>
      <c r="Q500" s="1962">
        <v>0</v>
      </c>
      <c r="R500" s="1944"/>
      <c r="S500" s="1944"/>
      <c r="T500" s="1944"/>
      <c r="U500" s="1944"/>
      <c r="V500" s="1944"/>
      <c r="W500" s="1944"/>
      <c r="X500" s="1944"/>
      <c r="Y500" s="1944"/>
      <c r="Z500" s="1944"/>
      <c r="AA500" s="1944"/>
      <c r="AB500" s="1944"/>
      <c r="AC500" s="1944"/>
      <c r="AD500" s="1944"/>
      <c r="AE500" s="1944"/>
      <c r="AF500" s="1944"/>
      <c r="AG500" s="1944"/>
      <c r="AH500" s="1944"/>
      <c r="AI500" s="1944"/>
      <c r="AJ500" s="1944"/>
      <c r="AK500" s="196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025" t="s">
        <v>412</v>
      </c>
      <c r="C501" s="2026"/>
      <c r="D501" s="2026"/>
      <c r="E501" s="2026"/>
      <c r="F501" s="2026"/>
      <c r="G501" s="2026"/>
      <c r="H501" s="2026"/>
      <c r="I501" s="2026"/>
      <c r="J501" s="2026"/>
      <c r="K501" s="2026"/>
      <c r="L501" s="2026"/>
      <c r="M501" s="2026"/>
      <c r="N501" s="2026"/>
      <c r="O501" s="2026"/>
      <c r="P501" s="2027"/>
      <c r="Q501" s="2031" t="s">
        <v>568</v>
      </c>
      <c r="R501" s="2032"/>
      <c r="S501" s="2256" t="s">
        <v>2599</v>
      </c>
      <c r="T501" s="2257"/>
      <c r="U501" s="2257"/>
      <c r="V501" s="2257"/>
      <c r="W501" s="2257"/>
      <c r="X501" s="2257"/>
      <c r="Y501" s="2257"/>
      <c r="Z501" s="2257"/>
      <c r="AA501" s="2257"/>
      <c r="AB501" s="2257"/>
      <c r="AC501" s="2257"/>
      <c r="AD501" s="2257"/>
      <c r="AE501" s="2257"/>
      <c r="AF501" s="2257"/>
      <c r="AG501" s="2257"/>
      <c r="AH501" s="2257"/>
      <c r="AI501" s="2257"/>
      <c r="AJ501" s="2257"/>
      <c r="AK501" s="22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028"/>
      <c r="C502" s="2029"/>
      <c r="D502" s="2029"/>
      <c r="E502" s="2029"/>
      <c r="F502" s="2029"/>
      <c r="G502" s="2029"/>
      <c r="H502" s="2029"/>
      <c r="I502" s="2029"/>
      <c r="J502" s="2029"/>
      <c r="K502" s="2029"/>
      <c r="L502" s="2029"/>
      <c r="M502" s="2029"/>
      <c r="N502" s="2029"/>
      <c r="O502" s="2029"/>
      <c r="P502" s="2030"/>
      <c r="Q502" s="2033"/>
      <c r="R502" s="2034"/>
      <c r="S502" s="2259"/>
      <c r="T502" s="2260"/>
      <c r="U502" s="2260"/>
      <c r="V502" s="2260"/>
      <c r="W502" s="2260"/>
      <c r="X502" s="2260"/>
      <c r="Y502" s="2260"/>
      <c r="Z502" s="2260"/>
      <c r="AA502" s="2260"/>
      <c r="AB502" s="2260"/>
      <c r="AC502" s="2260"/>
      <c r="AD502" s="2260"/>
      <c r="AE502" s="2260"/>
      <c r="AF502" s="2260"/>
      <c r="AG502" s="2260"/>
      <c r="AH502" s="2260"/>
      <c r="AI502" s="2260"/>
      <c r="AJ502" s="2260"/>
      <c r="AK502" s="226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946" t="s">
        <v>1875</v>
      </c>
      <c r="C503" s="928"/>
      <c r="D503" s="928"/>
      <c r="E503" s="928"/>
      <c r="F503" s="928"/>
      <c r="G503" s="928"/>
      <c r="H503" s="928"/>
      <c r="I503" s="928"/>
      <c r="J503" s="928"/>
      <c r="K503" s="928"/>
      <c r="L503" s="928"/>
      <c r="M503" s="928"/>
      <c r="N503" s="928"/>
      <c r="O503" s="928"/>
      <c r="P503" s="928"/>
      <c r="Q503" s="1934" t="s">
        <v>693</v>
      </c>
      <c r="R503" s="1935"/>
      <c r="S503" s="1935"/>
      <c r="T503" s="1935"/>
      <c r="U503" s="1935"/>
      <c r="V503" s="1935"/>
      <c r="W503" s="1935"/>
      <c r="X503" s="1935"/>
      <c r="Y503" s="1935"/>
      <c r="Z503" s="1935"/>
      <c r="AA503" s="1935"/>
      <c r="AB503" s="1935"/>
      <c r="AC503" s="1935"/>
      <c r="AD503" s="1935"/>
      <c r="AE503" s="1935"/>
      <c r="AF503" s="1935"/>
      <c r="AG503" s="1935"/>
      <c r="AH503" s="1935"/>
      <c r="AI503" s="1935"/>
      <c r="AJ503" s="1935"/>
      <c r="AK503" s="193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413</v>
      </c>
      <c r="C504" s="77"/>
      <c r="D504" s="77"/>
      <c r="E504" s="77"/>
      <c r="F504" s="77"/>
      <c r="G504" s="77"/>
      <c r="H504" s="77"/>
      <c r="I504" s="77"/>
      <c r="J504" s="77"/>
      <c r="K504" s="77"/>
      <c r="L504" s="77"/>
      <c r="M504" s="77"/>
      <c r="N504" s="77"/>
      <c r="O504" s="77"/>
      <c r="P504" s="77"/>
      <c r="Q504" s="1962" t="s">
        <v>2558</v>
      </c>
      <c r="R504" s="1944"/>
      <c r="S504" s="1944"/>
      <c r="T504" s="1944"/>
      <c r="U504" s="1944"/>
      <c r="V504" s="1944"/>
      <c r="W504" s="1944"/>
      <c r="X504" s="1944"/>
      <c r="Y504" s="1944"/>
      <c r="Z504" s="1944"/>
      <c r="AA504" s="1944"/>
      <c r="AB504" s="1944"/>
      <c r="AC504" s="1944"/>
      <c r="AD504" s="1944"/>
      <c r="AE504" s="1944"/>
      <c r="AF504" s="1944"/>
      <c r="AG504" s="1944"/>
      <c r="AH504" s="1944"/>
      <c r="AI504" s="1944"/>
      <c r="AJ504" s="1944"/>
      <c r="AK504" s="196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414</v>
      </c>
      <c r="C505" s="77"/>
      <c r="D505" s="77"/>
      <c r="E505" s="77"/>
      <c r="F505" s="77"/>
      <c r="G505" s="77"/>
      <c r="H505" s="77"/>
      <c r="I505" s="77"/>
      <c r="J505" s="77"/>
      <c r="K505" s="77"/>
      <c r="L505" s="77"/>
      <c r="M505" s="77"/>
      <c r="N505" s="77"/>
      <c r="O505" s="77"/>
      <c r="P505" s="77"/>
      <c r="Q505" s="1962" t="s">
        <v>2559</v>
      </c>
      <c r="R505" s="1944"/>
      <c r="S505" s="1944"/>
      <c r="T505" s="1944"/>
      <c r="U505" s="1944"/>
      <c r="V505" s="1944"/>
      <c r="W505" s="1944"/>
      <c r="X505" s="1944"/>
      <c r="Y505" s="1944"/>
      <c r="Z505" s="1944"/>
      <c r="AA505" s="1944"/>
      <c r="AB505" s="1944"/>
      <c r="AC505" s="1944"/>
      <c r="AD505" s="1944"/>
      <c r="AE505" s="1944"/>
      <c r="AF505" s="1944"/>
      <c r="AG505" s="1944"/>
      <c r="AH505" s="1944"/>
      <c r="AI505" s="1944"/>
      <c r="AJ505" s="1944"/>
      <c r="AK505" s="196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1872</v>
      </c>
      <c r="C506" s="77"/>
      <c r="D506" s="77"/>
      <c r="E506" s="77"/>
      <c r="F506" s="77"/>
      <c r="G506" s="77"/>
      <c r="H506" s="77"/>
      <c r="I506" s="77"/>
      <c r="J506" s="77"/>
      <c r="K506" s="77"/>
      <c r="L506" s="77"/>
      <c r="M506" s="77"/>
      <c r="N506" s="77"/>
      <c r="O506" s="77"/>
      <c r="P506" s="77"/>
      <c r="Q506" s="1962" t="s">
        <v>2562</v>
      </c>
      <c r="R506" s="1944"/>
      <c r="S506" s="1944"/>
      <c r="T506" s="1944"/>
      <c r="U506" s="1944"/>
      <c r="V506" s="1944"/>
      <c r="W506" s="1944"/>
      <c r="X506" s="1944"/>
      <c r="Y506" s="1944"/>
      <c r="Z506" s="1944"/>
      <c r="AA506" s="1944"/>
      <c r="AB506" s="1944"/>
      <c r="AC506" s="1944"/>
      <c r="AD506" s="1944"/>
      <c r="AE506" s="1944"/>
      <c r="AF506" s="1944"/>
      <c r="AG506" s="1944"/>
      <c r="AH506" s="1944"/>
      <c r="AI506" s="1944"/>
      <c r="AJ506" s="1944"/>
      <c r="AK506" s="196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1873</v>
      </c>
      <c r="C507" s="77"/>
      <c r="D507" s="77"/>
      <c r="E507" s="77"/>
      <c r="F507" s="77"/>
      <c r="G507" s="77"/>
      <c r="H507" s="77"/>
      <c r="I507" s="77"/>
      <c r="J507" s="77"/>
      <c r="K507" s="77"/>
      <c r="L507" s="77"/>
      <c r="M507" s="2006">
        <v>46</v>
      </c>
      <c r="N507" s="2007"/>
      <c r="O507" s="2007"/>
      <c r="P507" s="2008"/>
      <c r="Q507" s="944" t="s">
        <v>1874</v>
      </c>
      <c r="R507" s="945"/>
      <c r="S507" s="945"/>
      <c r="T507" s="945"/>
      <c r="U507" s="945"/>
      <c r="V507" s="945"/>
      <c r="W507" s="945"/>
      <c r="X507" s="945"/>
      <c r="Y507" s="945"/>
      <c r="Z507" s="945"/>
      <c r="AA507" s="945"/>
      <c r="AB507" s="945"/>
      <c r="AC507" s="945"/>
      <c r="AD507" s="945"/>
      <c r="AE507" s="945"/>
      <c r="AF507" s="945"/>
      <c r="AG507" s="945"/>
      <c r="AH507" s="2006">
        <v>0</v>
      </c>
      <c r="AI507" s="2007"/>
      <c r="AJ507" s="2007"/>
      <c r="AK507" s="200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600</v>
      </c>
      <c r="C509" s="50" t="s">
        <v>415</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1978" t="s">
        <v>416</v>
      </c>
      <c r="AD511" s="1979"/>
      <c r="AE511" s="1979"/>
      <c r="AF511" s="1979"/>
      <c r="AG511" s="1979"/>
      <c r="AH511" s="1979"/>
      <c r="AI511" s="1979"/>
      <c r="AJ511" s="1979"/>
      <c r="AK511" s="198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1959" t="s">
        <v>417</v>
      </c>
      <c r="AD512" s="1960"/>
      <c r="AE512" s="1960"/>
      <c r="AF512" s="1960"/>
      <c r="AG512" s="82" t="s">
        <v>418</v>
      </c>
      <c r="AH512" s="1960" t="s">
        <v>419</v>
      </c>
      <c r="AI512" s="1960"/>
      <c r="AJ512" s="1960"/>
      <c r="AK512" s="196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879" t="s">
        <v>420</v>
      </c>
      <c r="C513" s="1880"/>
      <c r="D513" s="1880"/>
      <c r="E513" s="1880"/>
      <c r="F513" s="1880"/>
      <c r="G513" s="1880"/>
      <c r="H513" s="1881"/>
      <c r="I513" s="72" t="s">
        <v>421</v>
      </c>
      <c r="J513" s="72"/>
      <c r="K513" s="72"/>
      <c r="L513" s="72"/>
      <c r="M513" s="72"/>
      <c r="N513" s="72"/>
      <c r="O513" s="72"/>
      <c r="P513" s="72"/>
      <c r="Q513" s="72"/>
      <c r="R513" s="72"/>
      <c r="S513" s="72"/>
      <c r="T513" s="72"/>
      <c r="U513" s="72"/>
      <c r="V513" s="72"/>
      <c r="W513" s="72"/>
      <c r="X513" s="25"/>
      <c r="Y513" s="25"/>
      <c r="AC513" s="1972">
        <v>2</v>
      </c>
      <c r="AD513" s="1918"/>
      <c r="AE513" s="1918"/>
      <c r="AF513" s="1918"/>
      <c r="AG513" s="75" t="s">
        <v>418</v>
      </c>
      <c r="AH513" s="1915">
        <v>2000</v>
      </c>
      <c r="AI513" s="1915"/>
      <c r="AJ513" s="1915"/>
      <c r="AK513" s="197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882"/>
      <c r="C514" s="1883"/>
      <c r="D514" s="1883"/>
      <c r="E514" s="1883"/>
      <c r="F514" s="1883"/>
      <c r="G514" s="1883"/>
      <c r="H514" s="1884"/>
      <c r="I514" s="80" t="s">
        <v>422</v>
      </c>
      <c r="J514" s="80"/>
      <c r="K514" s="80"/>
      <c r="L514" s="80"/>
      <c r="M514" s="80"/>
      <c r="N514" s="80"/>
      <c r="O514" s="80"/>
      <c r="P514" s="80"/>
      <c r="Q514" s="80"/>
      <c r="R514" s="80"/>
      <c r="S514" s="80"/>
      <c r="T514" s="80"/>
      <c r="U514" s="80"/>
      <c r="V514" s="80"/>
      <c r="W514" s="80"/>
      <c r="X514" s="80"/>
      <c r="Y514" s="80"/>
      <c r="Z514" s="80"/>
      <c r="AA514" s="80"/>
      <c r="AB514" s="80"/>
      <c r="AC514" s="1972">
        <v>5</v>
      </c>
      <c r="AD514" s="1918"/>
      <c r="AE514" s="1918"/>
      <c r="AF514" s="1918"/>
      <c r="AG514" s="65" t="s">
        <v>418</v>
      </c>
      <c r="AH514" s="1915">
        <v>2023</v>
      </c>
      <c r="AI514" s="1915"/>
      <c r="AJ514" s="1915"/>
      <c r="AK514" s="197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879" t="s">
        <v>423</v>
      </c>
      <c r="C515" s="1880"/>
      <c r="D515" s="1880"/>
      <c r="E515" s="1880"/>
      <c r="F515" s="1880"/>
      <c r="G515" s="1880"/>
      <c r="H515" s="1881"/>
      <c r="I515" s="72" t="s">
        <v>424</v>
      </c>
      <c r="J515" s="72"/>
      <c r="K515" s="72"/>
      <c r="L515" s="72"/>
      <c r="M515" s="72"/>
      <c r="N515" s="72"/>
      <c r="O515" s="72"/>
      <c r="P515" s="72"/>
      <c r="Q515" s="72"/>
      <c r="R515" s="72"/>
      <c r="S515" s="72"/>
      <c r="T515" s="72"/>
      <c r="U515" s="72"/>
      <c r="V515" s="72"/>
      <c r="W515" s="72"/>
      <c r="X515" s="25"/>
      <c r="Y515" s="25"/>
      <c r="AC515" s="1972" t="s">
        <v>615</v>
      </c>
      <c r="AD515" s="1918"/>
      <c r="AE515" s="1918"/>
      <c r="AF515" s="1918"/>
      <c r="AG515" s="75" t="s">
        <v>418</v>
      </c>
      <c r="AH515" s="1915"/>
      <c r="AI515" s="1915"/>
      <c r="AJ515" s="1915"/>
      <c r="AK515" s="197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882"/>
      <c r="C516" s="1883"/>
      <c r="D516" s="1883"/>
      <c r="E516" s="1883"/>
      <c r="F516" s="1883"/>
      <c r="G516" s="1883"/>
      <c r="H516" s="1884"/>
      <c r="I516" s="25" t="s">
        <v>425</v>
      </c>
      <c r="J516" s="25"/>
      <c r="K516" s="25"/>
      <c r="L516" s="25"/>
      <c r="M516" s="25"/>
      <c r="N516" s="25"/>
      <c r="O516" s="25"/>
      <c r="P516" s="25"/>
      <c r="Q516" s="25"/>
      <c r="R516" s="25"/>
      <c r="S516" s="25"/>
      <c r="T516" s="25"/>
      <c r="U516" s="25"/>
      <c r="V516" s="25"/>
      <c r="W516" s="25"/>
      <c r="X516" s="25"/>
      <c r="Y516" s="25"/>
      <c r="AC516" s="1972" t="s">
        <v>615</v>
      </c>
      <c r="AD516" s="1918"/>
      <c r="AE516" s="1918"/>
      <c r="AF516" s="1918"/>
      <c r="AG516" s="75" t="s">
        <v>418</v>
      </c>
      <c r="AH516" s="1915"/>
      <c r="AI516" s="1915"/>
      <c r="AJ516" s="1915"/>
      <c r="AK516" s="197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882"/>
      <c r="C517" s="1883"/>
      <c r="D517" s="1883"/>
      <c r="E517" s="1883"/>
      <c r="F517" s="1883"/>
      <c r="G517" s="1883"/>
      <c r="H517" s="1884"/>
      <c r="I517" s="25" t="s">
        <v>426</v>
      </c>
      <c r="J517" s="25"/>
      <c r="K517" s="25"/>
      <c r="L517" s="25"/>
      <c r="M517" s="25"/>
      <c r="N517" s="25"/>
      <c r="O517" s="25"/>
      <c r="P517" s="25"/>
      <c r="Q517" s="25"/>
      <c r="R517" s="25"/>
      <c r="S517" s="25"/>
      <c r="T517" s="25"/>
      <c r="U517" s="25"/>
      <c r="V517" s="25"/>
      <c r="W517" s="25"/>
      <c r="X517" s="25"/>
      <c r="Y517" s="25"/>
      <c r="AC517" s="1972">
        <v>4</v>
      </c>
      <c r="AD517" s="1918"/>
      <c r="AE517" s="1918"/>
      <c r="AF517" s="1918"/>
      <c r="AG517" s="75" t="s">
        <v>418</v>
      </c>
      <c r="AH517" s="1915">
        <v>2021</v>
      </c>
      <c r="AI517" s="1915"/>
      <c r="AJ517" s="1915"/>
      <c r="AK517" s="197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1882"/>
      <c r="C518" s="1883"/>
      <c r="D518" s="1883"/>
      <c r="E518" s="1883"/>
      <c r="F518" s="1883"/>
      <c r="G518" s="1883"/>
      <c r="H518" s="1884"/>
      <c r="I518" s="25" t="s">
        <v>427</v>
      </c>
      <c r="J518" s="25"/>
      <c r="K518" s="25"/>
      <c r="L518" s="25"/>
      <c r="M518" s="25"/>
      <c r="N518" s="25"/>
      <c r="O518" s="25"/>
      <c r="P518" s="25"/>
      <c r="Q518" s="25"/>
      <c r="R518" s="25"/>
      <c r="S518" s="25"/>
      <c r="T518" s="25"/>
      <c r="U518" s="25"/>
      <c r="V518" s="25"/>
      <c r="W518" s="25"/>
      <c r="X518" s="25"/>
      <c r="Y518" s="25"/>
      <c r="AC518" s="1972" t="s">
        <v>615</v>
      </c>
      <c r="AD518" s="1918"/>
      <c r="AE518" s="1918"/>
      <c r="AF518" s="1918"/>
      <c r="AG518" s="75" t="s">
        <v>418</v>
      </c>
      <c r="AH518" s="1915"/>
      <c r="AI518" s="1915"/>
      <c r="AJ518" s="1915"/>
      <c r="AK518" s="197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882"/>
      <c r="C519" s="1883"/>
      <c r="D519" s="1883"/>
      <c r="E519" s="1883"/>
      <c r="F519" s="1883"/>
      <c r="G519" s="1883"/>
      <c r="H519" s="1884"/>
      <c r="I519" s="177" t="s">
        <v>428</v>
      </c>
      <c r="J519" s="25"/>
      <c r="K519" s="25"/>
      <c r="L519" s="25"/>
      <c r="M519" s="25"/>
      <c r="N519" s="25"/>
      <c r="O519" s="25"/>
      <c r="P519" s="25"/>
      <c r="Q519" s="25"/>
      <c r="R519" s="25"/>
      <c r="S519" s="25"/>
      <c r="T519" s="25"/>
      <c r="U519" s="25"/>
      <c r="V519" s="25"/>
      <c r="W519" s="25"/>
      <c r="X519" s="25"/>
      <c r="Y519" s="25"/>
      <c r="AC519" s="1902">
        <v>7</v>
      </c>
      <c r="AD519" s="1903"/>
      <c r="AE519" s="1903"/>
      <c r="AF519" s="1903"/>
      <c r="AG519" s="75" t="s">
        <v>418</v>
      </c>
      <c r="AH519" s="1915">
        <v>2022</v>
      </c>
      <c r="AI519" s="1915"/>
      <c r="AJ519" s="1915"/>
      <c r="AK519" s="197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882"/>
      <c r="C520" s="1883"/>
      <c r="D520" s="1883"/>
      <c r="E520" s="1883"/>
      <c r="F520" s="1883"/>
      <c r="G520" s="1883"/>
      <c r="H520" s="1884"/>
      <c r="I520" s="947" t="s">
        <v>174</v>
      </c>
      <c r="J520" s="80"/>
      <c r="K520" s="80"/>
      <c r="L520" s="2018" t="s">
        <v>2554</v>
      </c>
      <c r="M520" s="1956"/>
      <c r="N520" s="1956"/>
      <c r="O520" s="1956"/>
      <c r="P520" s="1956"/>
      <c r="Q520" s="1956"/>
      <c r="R520" s="1956"/>
      <c r="S520" s="1956"/>
      <c r="T520" s="1956"/>
      <c r="U520" s="1956"/>
      <c r="V520" s="1956"/>
      <c r="W520" s="1956"/>
      <c r="X520" s="1956"/>
      <c r="Y520" s="1956"/>
      <c r="Z520" s="1956"/>
      <c r="AA520" s="1956"/>
      <c r="AB520" s="2019"/>
      <c r="AC520" s="1972">
        <v>4</v>
      </c>
      <c r="AD520" s="1918"/>
      <c r="AE520" s="1918"/>
      <c r="AF520" s="1918"/>
      <c r="AG520" s="932" t="s">
        <v>418</v>
      </c>
      <c r="AH520" s="1915">
        <v>2021</v>
      </c>
      <c r="AI520" s="1915"/>
      <c r="AJ520" s="1915"/>
      <c r="AK520" s="197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1879</v>
      </c>
      <c r="J521" s="25"/>
      <c r="K521" s="25"/>
      <c r="L521" s="25"/>
      <c r="M521" s="25"/>
      <c r="N521" s="25"/>
      <c r="O521" s="25"/>
      <c r="P521" s="25"/>
      <c r="Q521" s="25"/>
      <c r="R521" s="25"/>
      <c r="S521" s="25"/>
      <c r="T521" s="25"/>
      <c r="U521" s="25"/>
      <c r="V521" s="25"/>
      <c r="W521" s="25"/>
      <c r="X521" s="25"/>
      <c r="Y521" s="25"/>
      <c r="AC521" s="1911" t="s">
        <v>568</v>
      </c>
      <c r="AD521" s="1911"/>
      <c r="AE521" s="1911"/>
      <c r="AF521" s="1911"/>
      <c r="AG521" s="1091"/>
      <c r="AH521" s="1900"/>
      <c r="AI521" s="1900"/>
      <c r="AJ521" s="1900"/>
      <c r="AK521" s="190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923"/>
      <c r="C522" s="924"/>
      <c r="D522" s="924"/>
      <c r="E522" s="924"/>
      <c r="F522" s="924"/>
      <c r="G522" s="924"/>
      <c r="H522" s="925"/>
      <c r="I522" s="679" t="s">
        <v>1876</v>
      </c>
      <c r="J522" s="25"/>
      <c r="K522" s="25"/>
      <c r="L522" s="25"/>
      <c r="M522" s="25"/>
      <c r="N522" s="25"/>
      <c r="O522" s="25"/>
      <c r="P522" s="25"/>
      <c r="Q522" s="25"/>
      <c r="R522" s="25"/>
      <c r="S522" s="25"/>
      <c r="T522" s="25"/>
      <c r="U522" s="25"/>
      <c r="V522" s="25"/>
      <c r="W522" s="25"/>
      <c r="X522" s="25"/>
      <c r="Y522" s="25"/>
      <c r="AC522" s="1902">
        <v>2</v>
      </c>
      <c r="AD522" s="1903"/>
      <c r="AE522" s="1903"/>
      <c r="AF522" s="1904"/>
      <c r="AG522" s="1091"/>
      <c r="AH522" s="1900"/>
      <c r="AI522" s="1900"/>
      <c r="AJ522" s="1900"/>
      <c r="AK522" s="190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923"/>
      <c r="C523" s="924"/>
      <c r="D523" s="924"/>
      <c r="E523" s="924"/>
      <c r="F523" s="924"/>
      <c r="G523" s="924"/>
      <c r="H523" s="925"/>
      <c r="I523" s="679" t="s">
        <v>1877</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923"/>
      <c r="C524" s="924"/>
      <c r="D524" s="924"/>
      <c r="E524" s="924"/>
      <c r="F524" s="924"/>
      <c r="G524" s="924"/>
      <c r="H524" s="925"/>
      <c r="I524" s="948" t="s">
        <v>1878</v>
      </c>
      <c r="J524" s="80"/>
      <c r="K524" s="80"/>
      <c r="L524" s="80"/>
      <c r="M524" s="80"/>
      <c r="N524" s="80"/>
      <c r="O524" s="80"/>
      <c r="P524" s="80"/>
      <c r="Q524" s="80"/>
      <c r="R524" s="80"/>
      <c r="S524" s="80"/>
      <c r="T524" s="80"/>
      <c r="U524" s="80"/>
      <c r="V524" s="80"/>
      <c r="W524" s="80"/>
      <c r="X524" s="80"/>
      <c r="Y524" s="80"/>
      <c r="Z524" s="80"/>
      <c r="AA524" s="80"/>
      <c r="AB524" s="80"/>
      <c r="AC524" s="1905">
        <v>0.5</v>
      </c>
      <c r="AD524" s="1906"/>
      <c r="AE524" s="1906"/>
      <c r="AF524" s="1907"/>
      <c r="AG524" s="1092"/>
      <c r="AH524" s="1908"/>
      <c r="AI524" s="1908"/>
      <c r="AJ524" s="1908"/>
      <c r="AK524" s="19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1981" t="s">
        <v>417</v>
      </c>
      <c r="AD525" s="1982"/>
      <c r="AE525" s="1982"/>
      <c r="AF525" s="1982"/>
      <c r="AG525" s="1092" t="s">
        <v>418</v>
      </c>
      <c r="AH525" s="1982" t="s">
        <v>419</v>
      </c>
      <c r="AI525" s="1982"/>
      <c r="AJ525" s="1982"/>
      <c r="AK525" s="198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879" t="s">
        <v>429</v>
      </c>
      <c r="C526" s="1880"/>
      <c r="D526" s="1880"/>
      <c r="E526" s="1880"/>
      <c r="F526" s="1880"/>
      <c r="G526" s="1880"/>
      <c r="H526" s="1881"/>
      <c r="I526" s="72" t="s">
        <v>430</v>
      </c>
      <c r="J526" s="72"/>
      <c r="K526" s="72"/>
      <c r="L526" s="72"/>
      <c r="M526" s="72"/>
      <c r="N526" s="72"/>
      <c r="O526" s="72"/>
      <c r="P526" s="72"/>
      <c r="Q526" s="72"/>
      <c r="R526" s="72"/>
      <c r="S526" s="72"/>
      <c r="T526" s="72"/>
      <c r="U526" s="72"/>
      <c r="V526" s="72"/>
      <c r="W526" s="72"/>
      <c r="X526" s="25"/>
      <c r="Y526" s="25"/>
      <c r="AC526" s="2039">
        <v>8</v>
      </c>
      <c r="AD526" s="1918"/>
      <c r="AE526" s="1918"/>
      <c r="AF526" s="1918"/>
      <c r="AG526" s="75" t="s">
        <v>418</v>
      </c>
      <c r="AH526" s="1915">
        <v>2022</v>
      </c>
      <c r="AI526" s="1915"/>
      <c r="AJ526" s="1915"/>
      <c r="AK526" s="197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882"/>
      <c r="C527" s="1883"/>
      <c r="D527" s="1883"/>
      <c r="E527" s="1883"/>
      <c r="F527" s="1883"/>
      <c r="G527" s="1883"/>
      <c r="H527" s="1884"/>
      <c r="I527" s="25" t="s">
        <v>431</v>
      </c>
      <c r="J527" s="25"/>
      <c r="K527" s="25"/>
      <c r="L527" s="25"/>
      <c r="M527" s="25"/>
      <c r="N527" s="25"/>
      <c r="O527" s="25"/>
      <c r="P527" s="25"/>
      <c r="Q527" s="25"/>
      <c r="R527" s="25"/>
      <c r="S527" s="25"/>
      <c r="T527" s="25"/>
      <c r="U527" s="25"/>
      <c r="V527" s="25"/>
      <c r="W527" s="25"/>
      <c r="X527" s="25"/>
      <c r="Y527" s="25"/>
      <c r="AC527" s="1972">
        <v>8</v>
      </c>
      <c r="AD527" s="1918"/>
      <c r="AE527" s="1918"/>
      <c r="AF527" s="1918"/>
      <c r="AG527" s="75" t="s">
        <v>418</v>
      </c>
      <c r="AH527" s="1915">
        <v>2022</v>
      </c>
      <c r="AI527" s="1915"/>
      <c r="AJ527" s="1915"/>
      <c r="AK527" s="197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882"/>
      <c r="C528" s="1883"/>
      <c r="D528" s="1883"/>
      <c r="E528" s="1883"/>
      <c r="F528" s="1883"/>
      <c r="G528" s="1883"/>
      <c r="H528" s="1884"/>
      <c r="I528" s="80" t="s">
        <v>432</v>
      </c>
      <c r="J528" s="80"/>
      <c r="K528" s="80"/>
      <c r="L528" s="80"/>
      <c r="M528" s="80"/>
      <c r="N528" s="80"/>
      <c r="O528" s="80"/>
      <c r="P528" s="80"/>
      <c r="Q528" s="80"/>
      <c r="R528" s="80"/>
      <c r="S528" s="80"/>
      <c r="T528" s="80"/>
      <c r="U528" s="80"/>
      <c r="V528" s="80"/>
      <c r="W528" s="80"/>
      <c r="X528" s="80"/>
      <c r="Y528" s="80"/>
      <c r="Z528" s="80"/>
      <c r="AA528" s="80"/>
      <c r="AB528" s="80"/>
      <c r="AC528" s="1972">
        <v>5</v>
      </c>
      <c r="AD528" s="1918"/>
      <c r="AE528" s="1918"/>
      <c r="AF528" s="1918"/>
      <c r="AG528" s="65" t="s">
        <v>418</v>
      </c>
      <c r="AH528" s="1915">
        <v>2023</v>
      </c>
      <c r="AI528" s="1915"/>
      <c r="AJ528" s="1915"/>
      <c r="AK528" s="197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879" t="s">
        <v>433</v>
      </c>
      <c r="C529" s="1880"/>
      <c r="D529" s="1880"/>
      <c r="E529" s="1880"/>
      <c r="F529" s="1880"/>
      <c r="G529" s="1880"/>
      <c r="H529" s="1881"/>
      <c r="I529" s="72" t="s">
        <v>430</v>
      </c>
      <c r="J529" s="72"/>
      <c r="K529" s="72"/>
      <c r="L529" s="72"/>
      <c r="M529" s="72"/>
      <c r="N529" s="72"/>
      <c r="O529" s="72"/>
      <c r="P529" s="72"/>
      <c r="Q529" s="72"/>
      <c r="R529" s="72"/>
      <c r="S529" s="72"/>
      <c r="T529" s="72"/>
      <c r="U529" s="72"/>
      <c r="V529" s="72"/>
      <c r="W529" s="72"/>
      <c r="X529" s="72"/>
      <c r="Y529" s="72"/>
      <c r="Z529" s="72"/>
      <c r="AA529" s="72"/>
      <c r="AB529" s="72"/>
      <c r="AC529" s="1902">
        <v>8</v>
      </c>
      <c r="AD529" s="1903"/>
      <c r="AE529" s="1903"/>
      <c r="AF529" s="1903"/>
      <c r="AG529" s="196" t="s">
        <v>418</v>
      </c>
      <c r="AH529" s="1915">
        <v>2022</v>
      </c>
      <c r="AI529" s="1915"/>
      <c r="AJ529" s="1915"/>
      <c r="AK529" s="197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882"/>
      <c r="C530" s="1883"/>
      <c r="D530" s="1883"/>
      <c r="E530" s="1883"/>
      <c r="F530" s="1883"/>
      <c r="G530" s="1883"/>
      <c r="H530" s="1884"/>
      <c r="I530" s="25" t="s">
        <v>431</v>
      </c>
      <c r="J530" s="25"/>
      <c r="K530" s="25"/>
      <c r="L530" s="25"/>
      <c r="M530" s="25"/>
      <c r="N530" s="25"/>
      <c r="O530" s="25"/>
      <c r="P530" s="25"/>
      <c r="Q530" s="25"/>
      <c r="R530" s="25"/>
      <c r="S530" s="25"/>
      <c r="T530" s="25"/>
      <c r="U530" s="25"/>
      <c r="V530" s="25"/>
      <c r="W530" s="25"/>
      <c r="X530" s="25"/>
      <c r="Y530" s="25"/>
      <c r="Z530" s="25"/>
      <c r="AA530" s="25"/>
      <c r="AB530" s="25"/>
      <c r="AC530" s="1972">
        <v>11</v>
      </c>
      <c r="AD530" s="1918"/>
      <c r="AE530" s="1918"/>
      <c r="AF530" s="1918"/>
      <c r="AG530" s="75" t="s">
        <v>418</v>
      </c>
      <c r="AH530" s="1915">
        <v>2022</v>
      </c>
      <c r="AI530" s="1915"/>
      <c r="AJ530" s="1915"/>
      <c r="AK530" s="197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015"/>
      <c r="C531" s="2016"/>
      <c r="D531" s="2016"/>
      <c r="E531" s="2016"/>
      <c r="F531" s="2016"/>
      <c r="G531" s="2016"/>
      <c r="H531" s="2017"/>
      <c r="I531" s="80" t="s">
        <v>432</v>
      </c>
      <c r="J531" s="80"/>
      <c r="K531" s="80"/>
      <c r="L531" s="80"/>
      <c r="M531" s="80"/>
      <c r="N531" s="80"/>
      <c r="O531" s="80"/>
      <c r="P531" s="80"/>
      <c r="Q531" s="80"/>
      <c r="R531" s="80"/>
      <c r="S531" s="80"/>
      <c r="T531" s="80"/>
      <c r="U531" s="80"/>
      <c r="V531" s="80"/>
      <c r="W531" s="80"/>
      <c r="X531" s="80"/>
      <c r="Y531" s="80"/>
      <c r="Z531" s="80"/>
      <c r="AA531" s="80"/>
      <c r="AB531" s="80"/>
      <c r="AC531" s="1972">
        <v>5</v>
      </c>
      <c r="AD531" s="1918"/>
      <c r="AE531" s="1918"/>
      <c r="AF531" s="1918"/>
      <c r="AG531" s="65" t="s">
        <v>418</v>
      </c>
      <c r="AH531" s="1915">
        <v>2023</v>
      </c>
      <c r="AI531" s="1915"/>
      <c r="AJ531" s="1915"/>
      <c r="AK531" s="197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879" t="s">
        <v>434</v>
      </c>
      <c r="C532" s="1880"/>
      <c r="D532" s="1880"/>
      <c r="E532" s="1880"/>
      <c r="F532" s="1880"/>
      <c r="G532" s="1880"/>
      <c r="H532" s="1881"/>
      <c r="I532" s="71" t="s">
        <v>435</v>
      </c>
      <c r="J532" s="72"/>
      <c r="K532" s="72"/>
      <c r="L532" s="72"/>
      <c r="M532" s="72"/>
      <c r="N532" s="72"/>
      <c r="O532" s="1944" t="s">
        <v>2527</v>
      </c>
      <c r="P532" s="1944"/>
      <c r="Q532" s="1944"/>
      <c r="R532" s="1944"/>
      <c r="S532" s="1944"/>
      <c r="T532" s="1944"/>
      <c r="U532" s="1944"/>
      <c r="V532" s="1944"/>
      <c r="W532" s="1944"/>
      <c r="X532" s="1944"/>
      <c r="Y532" s="1944"/>
      <c r="Z532" s="1944"/>
      <c r="AA532" s="1944"/>
      <c r="AB532" s="94"/>
      <c r="AC532" s="1902"/>
      <c r="AD532" s="1903"/>
      <c r="AE532" s="1903"/>
      <c r="AF532" s="1903"/>
      <c r="AG532" s="196" t="s">
        <v>418</v>
      </c>
      <c r="AH532" s="1915"/>
      <c r="AI532" s="1915"/>
      <c r="AJ532" s="1915"/>
      <c r="AK532" s="197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882"/>
      <c r="C533" s="1883"/>
      <c r="D533" s="1883"/>
      <c r="E533" s="1883"/>
      <c r="F533" s="1883"/>
      <c r="G533" s="1883"/>
      <c r="H533" s="1884"/>
      <c r="I533" s="171" t="s">
        <v>436</v>
      </c>
      <c r="J533" s="25"/>
      <c r="K533" s="25"/>
      <c r="L533" s="25"/>
      <c r="M533" s="25"/>
      <c r="N533" s="25"/>
      <c r="O533" s="25"/>
      <c r="P533" s="25"/>
      <c r="Q533" s="25"/>
      <c r="R533" s="25"/>
      <c r="S533" s="25"/>
      <c r="T533" s="25"/>
      <c r="U533" s="25"/>
      <c r="V533" s="25"/>
      <c r="W533" s="25"/>
      <c r="X533" s="25"/>
      <c r="Y533" s="25"/>
      <c r="Z533" s="25"/>
      <c r="AA533" s="25"/>
      <c r="AB533" s="101"/>
      <c r="AC533" s="1972">
        <v>5</v>
      </c>
      <c r="AD533" s="1918"/>
      <c r="AE533" s="1918"/>
      <c r="AF533" s="1918"/>
      <c r="AG533" s="75" t="s">
        <v>418</v>
      </c>
      <c r="AH533" s="1915">
        <v>2022</v>
      </c>
      <c r="AI533" s="1915"/>
      <c r="AJ533" s="1915"/>
      <c r="AK533" s="197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882"/>
      <c r="C534" s="1883"/>
      <c r="D534" s="1883"/>
      <c r="E534" s="1883"/>
      <c r="F534" s="1883"/>
      <c r="G534" s="1883"/>
      <c r="H534" s="1884"/>
      <c r="I534" s="79" t="s">
        <v>437</v>
      </c>
      <c r="J534" s="80"/>
      <c r="K534" s="80"/>
      <c r="L534" s="80"/>
      <c r="M534" s="80"/>
      <c r="N534" s="80"/>
      <c r="O534" s="80"/>
      <c r="P534" s="80"/>
      <c r="Q534" s="80"/>
      <c r="R534" s="80"/>
      <c r="S534" s="80"/>
      <c r="T534" s="80"/>
      <c r="U534" s="80"/>
      <c r="V534" s="80"/>
      <c r="W534" s="80"/>
      <c r="X534" s="80"/>
      <c r="Y534" s="80"/>
      <c r="Z534" s="80"/>
      <c r="AA534" s="80"/>
      <c r="AB534" s="81"/>
      <c r="AC534" s="1972">
        <v>5</v>
      </c>
      <c r="AD534" s="1918"/>
      <c r="AE534" s="1918"/>
      <c r="AF534" s="1918"/>
      <c r="AG534" s="65" t="s">
        <v>418</v>
      </c>
      <c r="AH534" s="1915">
        <v>2023</v>
      </c>
      <c r="AI534" s="1915"/>
      <c r="AJ534" s="1915"/>
      <c r="AK534" s="197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882"/>
      <c r="C535" s="1883"/>
      <c r="D535" s="1883"/>
      <c r="E535" s="1883"/>
      <c r="F535" s="1883"/>
      <c r="G535" s="1883"/>
      <c r="H535" s="1884"/>
      <c r="I535" s="72" t="s">
        <v>438</v>
      </c>
      <c r="J535" s="72"/>
      <c r="K535" s="72"/>
      <c r="L535" s="72"/>
      <c r="M535" s="72"/>
      <c r="N535" s="72"/>
      <c r="O535" s="1894" t="s">
        <v>2552</v>
      </c>
      <c r="P535" s="1894"/>
      <c r="Q535" s="1894"/>
      <c r="R535" s="1894"/>
      <c r="S535" s="1894"/>
      <c r="T535" s="1894"/>
      <c r="U535" s="1894"/>
      <c r="V535" s="1894"/>
      <c r="W535" s="1894"/>
      <c r="X535" s="1894"/>
      <c r="Y535" s="1894"/>
      <c r="Z535" s="1894"/>
      <c r="AA535" s="1894"/>
      <c r="AC535" s="1972"/>
      <c r="AD535" s="1918"/>
      <c r="AE535" s="1918"/>
      <c r="AF535" s="1918"/>
      <c r="AG535" s="75" t="s">
        <v>418</v>
      </c>
      <c r="AH535" s="1915"/>
      <c r="AI535" s="1915"/>
      <c r="AJ535" s="1915"/>
      <c r="AK535" s="197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882"/>
      <c r="C536" s="1883"/>
      <c r="D536" s="1883"/>
      <c r="E536" s="1883"/>
      <c r="F536" s="1883"/>
      <c r="G536" s="1883"/>
      <c r="H536" s="1884"/>
      <c r="I536" s="25" t="s">
        <v>436</v>
      </c>
      <c r="J536" s="25"/>
      <c r="K536" s="25"/>
      <c r="L536" s="25"/>
      <c r="M536" s="25"/>
      <c r="N536" s="25"/>
      <c r="O536" s="25"/>
      <c r="P536" s="25"/>
      <c r="Q536" s="25"/>
      <c r="R536" s="25"/>
      <c r="S536" s="25"/>
      <c r="T536" s="25"/>
      <c r="U536" s="25"/>
      <c r="V536" s="25"/>
      <c r="W536" s="25"/>
      <c r="X536" s="25"/>
      <c r="Y536" s="25"/>
      <c r="AC536" s="1972">
        <v>2</v>
      </c>
      <c r="AD536" s="1918"/>
      <c r="AE536" s="1918"/>
      <c r="AF536" s="1918"/>
      <c r="AG536" s="75" t="s">
        <v>418</v>
      </c>
      <c r="AH536" s="1915">
        <v>2024</v>
      </c>
      <c r="AI536" s="1915"/>
      <c r="AJ536" s="1915"/>
      <c r="AK536" s="197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882"/>
      <c r="C537" s="1883"/>
      <c r="D537" s="1883"/>
      <c r="E537" s="1883"/>
      <c r="F537" s="1883"/>
      <c r="G537" s="1883"/>
      <c r="H537" s="1884"/>
      <c r="I537" s="80" t="s">
        <v>437</v>
      </c>
      <c r="J537" s="80"/>
      <c r="K537" s="80"/>
      <c r="L537" s="80"/>
      <c r="M537" s="80"/>
      <c r="N537" s="80"/>
      <c r="O537" s="80"/>
      <c r="P537" s="80"/>
      <c r="Q537" s="80"/>
      <c r="R537" s="80"/>
      <c r="S537" s="80"/>
      <c r="T537" s="80"/>
      <c r="U537" s="80"/>
      <c r="V537" s="80"/>
      <c r="W537" s="80"/>
      <c r="X537" s="80"/>
      <c r="Y537" s="80"/>
      <c r="Z537" s="80"/>
      <c r="AA537" s="80"/>
      <c r="AB537" s="80"/>
      <c r="AC537" s="1972">
        <v>5</v>
      </c>
      <c r="AD537" s="1918"/>
      <c r="AE537" s="1918"/>
      <c r="AF537" s="1918"/>
      <c r="AG537" s="65" t="s">
        <v>418</v>
      </c>
      <c r="AH537" s="1915">
        <v>2024</v>
      </c>
      <c r="AI537" s="1915"/>
      <c r="AJ537" s="1915"/>
      <c r="AK537" s="197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882"/>
      <c r="C538" s="1883"/>
      <c r="D538" s="1883"/>
      <c r="E538" s="1883"/>
      <c r="F538" s="1883"/>
      <c r="G538" s="1883"/>
      <c r="H538" s="1884"/>
      <c r="I538" s="72" t="s">
        <v>438</v>
      </c>
      <c r="J538" s="72"/>
      <c r="K538" s="72"/>
      <c r="L538" s="72"/>
      <c r="M538" s="72"/>
      <c r="N538" s="72"/>
      <c r="O538" s="1894" t="s">
        <v>339</v>
      </c>
      <c r="P538" s="1894"/>
      <c r="Q538" s="1894"/>
      <c r="R538" s="1894"/>
      <c r="S538" s="1894"/>
      <c r="T538" s="1894"/>
      <c r="U538" s="1894"/>
      <c r="V538" s="1894"/>
      <c r="W538" s="1894"/>
      <c r="X538" s="1894"/>
      <c r="Y538" s="1894"/>
      <c r="Z538" s="1894"/>
      <c r="AA538" s="1894"/>
      <c r="AC538" s="1972"/>
      <c r="AD538" s="1918"/>
      <c r="AE538" s="1918"/>
      <c r="AF538" s="1918"/>
      <c r="AG538" s="75" t="s">
        <v>418</v>
      </c>
      <c r="AH538" s="1915"/>
      <c r="AI538" s="1915"/>
      <c r="AJ538" s="1915"/>
      <c r="AK538" s="197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882"/>
      <c r="C539" s="1883"/>
      <c r="D539" s="1883"/>
      <c r="E539" s="1883"/>
      <c r="F539" s="1883"/>
      <c r="G539" s="1883"/>
      <c r="H539" s="1884"/>
      <c r="I539" s="25" t="s">
        <v>436</v>
      </c>
      <c r="J539" s="25"/>
      <c r="K539" s="25"/>
      <c r="L539" s="25"/>
      <c r="M539" s="25"/>
      <c r="N539" s="25"/>
      <c r="O539" s="25"/>
      <c r="P539" s="25"/>
      <c r="Q539" s="25"/>
      <c r="R539" s="25"/>
      <c r="S539" s="25"/>
      <c r="T539" s="25"/>
      <c r="U539" s="25"/>
      <c r="V539" s="25"/>
      <c r="W539" s="25"/>
      <c r="X539" s="25"/>
      <c r="Y539" s="25"/>
      <c r="AC539" s="1972" t="s">
        <v>615</v>
      </c>
      <c r="AD539" s="1918"/>
      <c r="AE539" s="1918"/>
      <c r="AF539" s="1918"/>
      <c r="AG539" s="75" t="s">
        <v>418</v>
      </c>
      <c r="AH539" s="1915"/>
      <c r="AI539" s="1915"/>
      <c r="AJ539" s="1915"/>
      <c r="AK539" s="197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882"/>
      <c r="C540" s="1883"/>
      <c r="D540" s="1883"/>
      <c r="E540" s="1883"/>
      <c r="F540" s="1883"/>
      <c r="G540" s="1883"/>
      <c r="H540" s="1884"/>
      <c r="I540" s="80" t="s">
        <v>437</v>
      </c>
      <c r="J540" s="80"/>
      <c r="K540" s="80"/>
      <c r="L540" s="80"/>
      <c r="M540" s="80"/>
      <c r="N540" s="80"/>
      <c r="O540" s="80"/>
      <c r="P540" s="80"/>
      <c r="Q540" s="80"/>
      <c r="R540" s="80"/>
      <c r="S540" s="80"/>
      <c r="T540" s="80"/>
      <c r="U540" s="80"/>
      <c r="V540" s="80"/>
      <c r="W540" s="80"/>
      <c r="X540" s="80"/>
      <c r="Y540" s="80"/>
      <c r="Z540" s="80"/>
      <c r="AA540" s="80"/>
      <c r="AB540" s="80"/>
      <c r="AC540" s="1972" t="s">
        <v>615</v>
      </c>
      <c r="AD540" s="1918"/>
      <c r="AE540" s="1918"/>
      <c r="AF540" s="1918"/>
      <c r="AG540" s="65" t="s">
        <v>418</v>
      </c>
      <c r="AH540" s="1915"/>
      <c r="AI540" s="1915"/>
      <c r="AJ540" s="1915"/>
      <c r="AK540" s="197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882"/>
      <c r="C541" s="1883"/>
      <c r="D541" s="1883"/>
      <c r="E541" s="1883"/>
      <c r="F541" s="1883"/>
      <c r="G541" s="1883"/>
      <c r="H541" s="1884"/>
      <c r="I541" s="72" t="s">
        <v>438</v>
      </c>
      <c r="J541" s="72"/>
      <c r="K541" s="72"/>
      <c r="L541" s="72"/>
      <c r="M541" s="72"/>
      <c r="N541" s="72"/>
      <c r="O541" s="1894" t="s">
        <v>339</v>
      </c>
      <c r="P541" s="1894"/>
      <c r="Q541" s="1894"/>
      <c r="R541" s="1894"/>
      <c r="S541" s="1894"/>
      <c r="T541" s="1894"/>
      <c r="U541" s="1894"/>
      <c r="V541" s="1894"/>
      <c r="W541" s="1894"/>
      <c r="X541" s="1894"/>
      <c r="Y541" s="1894"/>
      <c r="Z541" s="1894"/>
      <c r="AA541" s="1894"/>
      <c r="AC541" s="1972"/>
      <c r="AD541" s="1918"/>
      <c r="AE541" s="1918"/>
      <c r="AF541" s="1918"/>
      <c r="AG541" s="75" t="s">
        <v>418</v>
      </c>
      <c r="AH541" s="1915"/>
      <c r="AI541" s="1915"/>
      <c r="AJ541" s="1915"/>
      <c r="AK541" s="197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882"/>
      <c r="C542" s="1883"/>
      <c r="D542" s="1883"/>
      <c r="E542" s="1883"/>
      <c r="F542" s="1883"/>
      <c r="G542" s="1883"/>
      <c r="H542" s="1884"/>
      <c r="I542" s="25" t="s">
        <v>436</v>
      </c>
      <c r="J542" s="25"/>
      <c r="K542" s="25"/>
      <c r="L542" s="25"/>
      <c r="M542" s="25"/>
      <c r="N542" s="25"/>
      <c r="O542" s="25"/>
      <c r="P542" s="25"/>
      <c r="Q542" s="25"/>
      <c r="R542" s="25"/>
      <c r="S542" s="25"/>
      <c r="T542" s="25"/>
      <c r="U542" s="25"/>
      <c r="V542" s="25"/>
      <c r="W542" s="25"/>
      <c r="X542" s="25"/>
      <c r="Y542" s="25"/>
      <c r="AC542" s="1972" t="s">
        <v>615</v>
      </c>
      <c r="AD542" s="1918"/>
      <c r="AE542" s="1918"/>
      <c r="AF542" s="1918"/>
      <c r="AG542" s="75" t="s">
        <v>418</v>
      </c>
      <c r="AH542" s="1915"/>
      <c r="AI542" s="1915"/>
      <c r="AJ542" s="1915"/>
      <c r="AK542" s="197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882"/>
      <c r="C543" s="1883"/>
      <c r="D543" s="1883"/>
      <c r="E543" s="1883"/>
      <c r="F543" s="1883"/>
      <c r="G543" s="1883"/>
      <c r="H543" s="1884"/>
      <c r="I543" s="80" t="s">
        <v>437</v>
      </c>
      <c r="J543" s="80"/>
      <c r="K543" s="80"/>
      <c r="L543" s="80"/>
      <c r="M543" s="80"/>
      <c r="N543" s="80"/>
      <c r="O543" s="80"/>
      <c r="P543" s="80"/>
      <c r="Q543" s="80"/>
      <c r="R543" s="80"/>
      <c r="S543" s="80"/>
      <c r="T543" s="80"/>
      <c r="U543" s="80"/>
      <c r="V543" s="80"/>
      <c r="W543" s="80"/>
      <c r="X543" s="80"/>
      <c r="Y543" s="80"/>
      <c r="Z543" s="80"/>
      <c r="AA543" s="80"/>
      <c r="AB543" s="80"/>
      <c r="AC543" s="1972" t="s">
        <v>615</v>
      </c>
      <c r="AD543" s="1918"/>
      <c r="AE543" s="1918"/>
      <c r="AF543" s="1918"/>
      <c r="AG543" s="65" t="s">
        <v>418</v>
      </c>
      <c r="AH543" s="1915"/>
      <c r="AI543" s="1915"/>
      <c r="AJ543" s="1915"/>
      <c r="AK543" s="197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882"/>
      <c r="C544" s="1883"/>
      <c r="D544" s="1883"/>
      <c r="E544" s="1883"/>
      <c r="F544" s="1883"/>
      <c r="G544" s="1883"/>
      <c r="H544" s="1884"/>
      <c r="I544" s="72" t="s">
        <v>438</v>
      </c>
      <c r="J544" s="72"/>
      <c r="K544" s="72"/>
      <c r="L544" s="72"/>
      <c r="M544" s="72"/>
      <c r="N544" s="72"/>
      <c r="O544" s="1894" t="s">
        <v>339</v>
      </c>
      <c r="P544" s="1894"/>
      <c r="Q544" s="1894"/>
      <c r="R544" s="1894"/>
      <c r="S544" s="1894"/>
      <c r="T544" s="1894"/>
      <c r="U544" s="1894"/>
      <c r="V544" s="1894"/>
      <c r="W544" s="1894"/>
      <c r="X544" s="1894"/>
      <c r="Y544" s="1894"/>
      <c r="Z544" s="1894"/>
      <c r="AA544" s="1894"/>
      <c r="AC544" s="1972"/>
      <c r="AD544" s="1918"/>
      <c r="AE544" s="1918"/>
      <c r="AF544" s="1918"/>
      <c r="AG544" s="75" t="s">
        <v>418</v>
      </c>
      <c r="AH544" s="1915"/>
      <c r="AI544" s="1915"/>
      <c r="AJ544" s="1915"/>
      <c r="AK544" s="197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882"/>
      <c r="C545" s="1883"/>
      <c r="D545" s="1883"/>
      <c r="E545" s="1883"/>
      <c r="F545" s="1883"/>
      <c r="G545" s="1883"/>
      <c r="H545" s="1884"/>
      <c r="I545" s="25" t="s">
        <v>436</v>
      </c>
      <c r="J545" s="25"/>
      <c r="K545" s="25"/>
      <c r="L545" s="25"/>
      <c r="M545" s="25"/>
      <c r="N545" s="25"/>
      <c r="O545" s="25"/>
      <c r="P545" s="25"/>
      <c r="Q545" s="25"/>
      <c r="R545" s="25"/>
      <c r="S545" s="25"/>
      <c r="T545" s="25"/>
      <c r="U545" s="25"/>
      <c r="V545" s="25"/>
      <c r="W545" s="25"/>
      <c r="X545" s="25"/>
      <c r="Y545" s="25"/>
      <c r="AC545" s="1972" t="s">
        <v>615</v>
      </c>
      <c r="AD545" s="1918"/>
      <c r="AE545" s="1918"/>
      <c r="AF545" s="1918"/>
      <c r="AG545" s="65" t="s">
        <v>418</v>
      </c>
      <c r="AH545" s="1915"/>
      <c r="AI545" s="1915"/>
      <c r="AJ545" s="1915"/>
      <c r="AK545" s="197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882"/>
      <c r="C546" s="1883"/>
      <c r="D546" s="1883"/>
      <c r="E546" s="1883"/>
      <c r="F546" s="1883"/>
      <c r="G546" s="1883"/>
      <c r="H546" s="1884"/>
      <c r="I546" s="80" t="s">
        <v>437</v>
      </c>
      <c r="J546" s="80"/>
      <c r="K546" s="80"/>
      <c r="L546" s="80"/>
      <c r="M546" s="80"/>
      <c r="N546" s="80"/>
      <c r="O546" s="80"/>
      <c r="P546" s="80"/>
      <c r="Q546" s="80"/>
      <c r="R546" s="80"/>
      <c r="S546" s="80"/>
      <c r="T546" s="80"/>
      <c r="U546" s="80"/>
      <c r="V546" s="80"/>
      <c r="W546" s="80"/>
      <c r="X546" s="80"/>
      <c r="Y546" s="80"/>
      <c r="Z546" s="80"/>
      <c r="AA546" s="80"/>
      <c r="AB546" s="80"/>
      <c r="AC546" s="1972" t="s">
        <v>615</v>
      </c>
      <c r="AD546" s="1918"/>
      <c r="AE546" s="1918"/>
      <c r="AF546" s="1918"/>
      <c r="AG546" s="75" t="s">
        <v>418</v>
      </c>
      <c r="AH546" s="1915"/>
      <c r="AI546" s="1915"/>
      <c r="AJ546" s="1915"/>
      <c r="AK546" s="197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882"/>
      <c r="C547" s="1883"/>
      <c r="D547" s="1883"/>
      <c r="E547" s="1883"/>
      <c r="F547" s="1883"/>
      <c r="G547" s="1883"/>
      <c r="H547" s="1884"/>
      <c r="I547" s="72" t="s">
        <v>438</v>
      </c>
      <c r="J547" s="72"/>
      <c r="K547" s="72"/>
      <c r="L547" s="72"/>
      <c r="M547" s="72"/>
      <c r="N547" s="72"/>
      <c r="O547" s="1894" t="s">
        <v>339</v>
      </c>
      <c r="P547" s="1894"/>
      <c r="Q547" s="1894"/>
      <c r="R547" s="1894"/>
      <c r="S547" s="1894"/>
      <c r="T547" s="1894"/>
      <c r="U547" s="1894"/>
      <c r="V547" s="1894"/>
      <c r="W547" s="1894"/>
      <c r="X547" s="1894"/>
      <c r="Y547" s="1894"/>
      <c r="Z547" s="1894"/>
      <c r="AA547" s="1894"/>
      <c r="AC547" s="1972"/>
      <c r="AD547" s="1918"/>
      <c r="AE547" s="1918"/>
      <c r="AF547" s="1918"/>
      <c r="AG547" s="65" t="s">
        <v>418</v>
      </c>
      <c r="AH547" s="1915"/>
      <c r="AI547" s="1915"/>
      <c r="AJ547" s="1915"/>
      <c r="AK547" s="197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882"/>
      <c r="C548" s="1883"/>
      <c r="D548" s="1883"/>
      <c r="E548" s="1883"/>
      <c r="F548" s="1883"/>
      <c r="G548" s="1883"/>
      <c r="H548" s="1884"/>
      <c r="I548" s="25" t="s">
        <v>436</v>
      </c>
      <c r="J548" s="25"/>
      <c r="K548" s="25"/>
      <c r="L548" s="25"/>
      <c r="M548" s="25"/>
      <c r="N548" s="25"/>
      <c r="O548" s="25"/>
      <c r="P548" s="25"/>
      <c r="Q548" s="25"/>
      <c r="R548" s="25"/>
      <c r="S548" s="25"/>
      <c r="T548" s="25"/>
      <c r="U548" s="25"/>
      <c r="V548" s="25"/>
      <c r="W548" s="25"/>
      <c r="X548" s="25"/>
      <c r="Y548" s="25"/>
      <c r="AC548" s="1972" t="s">
        <v>615</v>
      </c>
      <c r="AD548" s="1918"/>
      <c r="AE548" s="1918"/>
      <c r="AF548" s="1918"/>
      <c r="AG548" s="75" t="s">
        <v>418</v>
      </c>
      <c r="AH548" s="1915"/>
      <c r="AI548" s="1915"/>
      <c r="AJ548" s="1915"/>
      <c r="AK548" s="197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882"/>
      <c r="C549" s="1883"/>
      <c r="D549" s="1883"/>
      <c r="E549" s="1883"/>
      <c r="F549" s="1883"/>
      <c r="G549" s="1883"/>
      <c r="H549" s="1884"/>
      <c r="I549" s="80" t="s">
        <v>437</v>
      </c>
      <c r="J549" s="80"/>
      <c r="K549" s="80"/>
      <c r="L549" s="80"/>
      <c r="M549" s="80"/>
      <c r="N549" s="80"/>
      <c r="O549" s="80"/>
      <c r="P549" s="80"/>
      <c r="Q549" s="80"/>
      <c r="R549" s="80"/>
      <c r="S549" s="80"/>
      <c r="T549" s="80"/>
      <c r="U549" s="80"/>
      <c r="V549" s="80"/>
      <c r="W549" s="80"/>
      <c r="X549" s="80"/>
      <c r="Y549" s="80"/>
      <c r="Z549" s="80"/>
      <c r="AA549" s="80"/>
      <c r="AB549" s="80"/>
      <c r="AC549" s="1972" t="s">
        <v>615</v>
      </c>
      <c r="AD549" s="1918"/>
      <c r="AE549" s="1918"/>
      <c r="AF549" s="1918"/>
      <c r="AG549" s="65" t="s">
        <v>418</v>
      </c>
      <c r="AH549" s="1915"/>
      <c r="AI549" s="1915"/>
      <c r="AJ549" s="1915"/>
      <c r="AK549" s="197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882"/>
      <c r="C550" s="1883"/>
      <c r="D550" s="1883"/>
      <c r="E550" s="1883"/>
      <c r="F550" s="1883"/>
      <c r="G550" s="1883"/>
      <c r="H550" s="1884"/>
      <c r="I550" s="72" t="s">
        <v>585</v>
      </c>
      <c r="J550" s="72"/>
      <c r="K550" s="72"/>
      <c r="L550" s="72"/>
      <c r="M550" s="72"/>
      <c r="N550" s="72"/>
      <c r="O550" s="72"/>
      <c r="P550" s="72"/>
      <c r="Q550" s="72"/>
      <c r="R550" s="72"/>
      <c r="S550" s="72"/>
      <c r="T550" s="72"/>
      <c r="U550" s="72"/>
      <c r="V550" s="72"/>
      <c r="W550" s="72"/>
      <c r="X550" s="25"/>
      <c r="Y550" s="25"/>
      <c r="AC550" s="1972" t="s">
        <v>615</v>
      </c>
      <c r="AD550" s="1918"/>
      <c r="AE550" s="1918"/>
      <c r="AF550" s="1918"/>
      <c r="AG550" s="65" t="s">
        <v>418</v>
      </c>
      <c r="AH550" s="1915"/>
      <c r="AI550" s="1915"/>
      <c r="AJ550" s="1915"/>
      <c r="AK550" s="197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882"/>
      <c r="C551" s="1883"/>
      <c r="D551" s="1883"/>
      <c r="E551" s="1883"/>
      <c r="F551" s="1883"/>
      <c r="G551" s="1883"/>
      <c r="H551" s="1884"/>
      <c r="I551" s="25" t="s">
        <v>586</v>
      </c>
      <c r="J551" s="25"/>
      <c r="K551" s="25"/>
      <c r="L551" s="25"/>
      <c r="M551" s="25"/>
      <c r="N551" s="25"/>
      <c r="O551" s="25"/>
      <c r="P551" s="25"/>
      <c r="Q551" s="25"/>
      <c r="R551" s="25"/>
      <c r="S551" s="25"/>
      <c r="T551" s="25"/>
      <c r="U551" s="25"/>
      <c r="V551" s="25"/>
      <c r="W551" s="25"/>
      <c r="X551" s="25"/>
      <c r="Y551" s="25"/>
      <c r="AC551" s="1972">
        <v>5</v>
      </c>
      <c r="AD551" s="1918"/>
      <c r="AE551" s="1918"/>
      <c r="AF551" s="1918"/>
      <c r="AG551" s="75" t="s">
        <v>418</v>
      </c>
      <c r="AH551" s="1915">
        <v>2023</v>
      </c>
      <c r="AI551" s="1915"/>
      <c r="AJ551" s="1915"/>
      <c r="AK551" s="197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882"/>
      <c r="C552" s="1883"/>
      <c r="D552" s="1883"/>
      <c r="E552" s="1883"/>
      <c r="F552" s="1883"/>
      <c r="G552" s="1883"/>
      <c r="H552" s="1884"/>
      <c r="I552" s="25" t="s">
        <v>587</v>
      </c>
      <c r="J552" s="25"/>
      <c r="K552" s="25"/>
      <c r="L552" s="25"/>
      <c r="M552" s="25"/>
      <c r="N552" s="25"/>
      <c r="O552" s="25"/>
      <c r="P552" s="25"/>
      <c r="Q552" s="25"/>
      <c r="R552" s="25"/>
      <c r="S552" s="25"/>
      <c r="T552" s="25"/>
      <c r="U552" s="25"/>
      <c r="V552" s="25"/>
      <c r="W552" s="25"/>
      <c r="X552" s="25"/>
      <c r="Y552" s="25"/>
      <c r="AC552" s="1972">
        <v>11</v>
      </c>
      <c r="AD552" s="1918"/>
      <c r="AE552" s="1918"/>
      <c r="AF552" s="1918"/>
      <c r="AG552" s="65" t="s">
        <v>418</v>
      </c>
      <c r="AH552" s="1915">
        <v>2024</v>
      </c>
      <c r="AI552" s="1915"/>
      <c r="AJ552" s="1915"/>
      <c r="AK552" s="197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882"/>
      <c r="C553" s="1883"/>
      <c r="D553" s="1883"/>
      <c r="E553" s="1883"/>
      <c r="F553" s="1883"/>
      <c r="G553" s="1883"/>
      <c r="H553" s="1884"/>
      <c r="I553" s="25" t="s">
        <v>588</v>
      </c>
      <c r="J553" s="25"/>
      <c r="K553" s="25"/>
      <c r="L553" s="25"/>
      <c r="M553" s="25"/>
      <c r="N553" s="25"/>
      <c r="O553" s="25"/>
      <c r="P553" s="25"/>
      <c r="Q553" s="25"/>
      <c r="R553" s="25"/>
      <c r="S553" s="25"/>
      <c r="T553" s="25"/>
      <c r="U553" s="25"/>
      <c r="V553" s="25"/>
      <c r="W553" s="25"/>
      <c r="X553" s="25"/>
      <c r="Y553" s="25"/>
      <c r="AC553" s="1972">
        <v>11</v>
      </c>
      <c r="AD553" s="1918"/>
      <c r="AE553" s="1918"/>
      <c r="AF553" s="1918"/>
      <c r="AG553" s="65" t="s">
        <v>418</v>
      </c>
      <c r="AH553" s="1915">
        <v>2024</v>
      </c>
      <c r="AI553" s="1915"/>
      <c r="AJ553" s="1915"/>
      <c r="AK553" s="197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015"/>
      <c r="C554" s="2016"/>
      <c r="D554" s="2016"/>
      <c r="E554" s="2016"/>
      <c r="F554" s="2016"/>
      <c r="G554" s="2016"/>
      <c r="H554" s="2017"/>
      <c r="I554" s="80" t="s">
        <v>473</v>
      </c>
      <c r="J554" s="80"/>
      <c r="K554" s="80"/>
      <c r="L554" s="80"/>
      <c r="M554" s="80"/>
      <c r="N554" s="80"/>
      <c r="O554" s="80"/>
      <c r="P554" s="80"/>
      <c r="Q554" s="80"/>
      <c r="R554" s="80"/>
      <c r="S554" s="80"/>
      <c r="T554" s="80"/>
      <c r="U554" s="80"/>
      <c r="V554" s="80"/>
      <c r="W554" s="80"/>
      <c r="X554" s="80"/>
      <c r="Y554" s="80"/>
      <c r="Z554" s="80"/>
      <c r="AA554" s="80"/>
      <c r="AB554" s="80"/>
      <c r="AC554" s="1972">
        <v>4</v>
      </c>
      <c r="AD554" s="1918"/>
      <c r="AE554" s="1918"/>
      <c r="AF554" s="1918"/>
      <c r="AG554" s="65" t="s">
        <v>418</v>
      </c>
      <c r="AH554" s="1915">
        <v>2025</v>
      </c>
      <c r="AI554" s="1915"/>
      <c r="AJ554" s="1915"/>
      <c r="AK554" s="197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23" t="s">
        <v>566</v>
      </c>
      <c r="B556" s="1723"/>
      <c r="C556" s="1723"/>
      <c r="D556" s="1723"/>
      <c r="E556" s="1723"/>
      <c r="F556" s="1723"/>
      <c r="G556" s="1723"/>
      <c r="H556" s="1723"/>
      <c r="I556" s="1723"/>
      <c r="J556" s="1723"/>
      <c r="K556" s="1723"/>
      <c r="L556" s="1723"/>
      <c r="M556" s="1723"/>
      <c r="N556" s="1723"/>
      <c r="O556" s="1723"/>
      <c r="P556" s="1723"/>
      <c r="Q556" s="1723"/>
      <c r="R556" s="1723"/>
      <c r="S556" s="1723"/>
      <c r="T556" s="1723"/>
      <c r="U556" s="1723"/>
      <c r="V556" s="1723"/>
      <c r="W556" s="1723"/>
      <c r="X556" s="1723"/>
      <c r="Y556" s="1723"/>
      <c r="Z556" s="1723"/>
      <c r="AA556" s="1723"/>
      <c r="AB556" s="1723"/>
      <c r="AC556" s="1723"/>
      <c r="AD556" s="1723"/>
      <c r="AE556" s="1723"/>
      <c r="AF556" s="1723"/>
      <c r="AG556" s="1723"/>
      <c r="AH556" s="1723"/>
      <c r="AI556" s="1723"/>
      <c r="AJ556" s="1723"/>
      <c r="AK556" s="1723"/>
      <c r="AL556" s="1723"/>
      <c r="AM556" s="1723"/>
      <c r="AN556" s="1723"/>
      <c r="AO556" s="1723"/>
      <c r="AP556" s="1723"/>
      <c r="AQ556" s="1723"/>
      <c r="AR556" s="1723"/>
      <c r="AS556" s="1723"/>
      <c r="AT556" s="950"/>
      <c r="AU556" s="950"/>
      <c r="AV556" s="950"/>
      <c r="AW556" s="950"/>
      <c r="AX556" s="950"/>
      <c r="AY556" s="950"/>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23"/>
      <c r="B557" s="1723"/>
      <c r="C557" s="1723"/>
      <c r="D557" s="1723"/>
      <c r="E557" s="1723"/>
      <c r="F557" s="1723"/>
      <c r="G557" s="1723"/>
      <c r="H557" s="1723"/>
      <c r="I557" s="1723"/>
      <c r="J557" s="1723"/>
      <c r="K557" s="1723"/>
      <c r="L557" s="1723"/>
      <c r="M557" s="1723"/>
      <c r="N557" s="1723"/>
      <c r="O557" s="1723"/>
      <c r="P557" s="1723"/>
      <c r="Q557" s="1723"/>
      <c r="R557" s="1723"/>
      <c r="S557" s="1723"/>
      <c r="T557" s="1723"/>
      <c r="U557" s="1723"/>
      <c r="V557" s="1723"/>
      <c r="W557" s="1723"/>
      <c r="X557" s="1723"/>
      <c r="Y557" s="1723"/>
      <c r="Z557" s="1723"/>
      <c r="AA557" s="1723"/>
      <c r="AB557" s="1723"/>
      <c r="AC557" s="1723"/>
      <c r="AD557" s="1723"/>
      <c r="AE557" s="1723"/>
      <c r="AF557" s="1723"/>
      <c r="AG557" s="1723"/>
      <c r="AH557" s="1723"/>
      <c r="AI557" s="1723"/>
      <c r="AJ557" s="1723"/>
      <c r="AK557" s="1723"/>
      <c r="AL557" s="1723"/>
      <c r="AM557" s="1723"/>
      <c r="AN557" s="1723"/>
      <c r="AO557" s="1723"/>
      <c r="AP557" s="1723"/>
      <c r="AQ557" s="1723"/>
      <c r="AR557" s="1723"/>
      <c r="AS557" s="1723"/>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324</v>
      </c>
      <c r="B559" s="50"/>
      <c r="C559" s="50" t="s">
        <v>474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1993" t="s">
        <v>475</v>
      </c>
      <c r="C563" s="2010"/>
      <c r="D563" s="2010"/>
      <c r="E563" s="2010"/>
      <c r="F563" s="2010"/>
      <c r="G563" s="2010"/>
      <c r="H563" s="2010"/>
      <c r="I563" s="2010"/>
      <c r="J563" s="2010"/>
      <c r="K563" s="2010"/>
      <c r="L563" s="2010"/>
      <c r="M563" s="2010"/>
      <c r="N563" s="2010"/>
      <c r="O563" s="2010"/>
      <c r="P563" s="2011"/>
      <c r="Q563" s="1993" t="s">
        <v>2164</v>
      </c>
      <c r="R563" s="1994"/>
      <c r="S563" s="2009"/>
      <c r="T563" s="1993" t="s">
        <v>2162</v>
      </c>
      <c r="U563" s="1994"/>
      <c r="V563" s="2009"/>
      <c r="W563" s="1993" t="s">
        <v>476</v>
      </c>
      <c r="X563" s="1994"/>
      <c r="Y563" s="2009"/>
      <c r="Z563" s="1993" t="s">
        <v>2163</v>
      </c>
      <c r="AA563" s="1994"/>
      <c r="AB563" s="1994"/>
      <c r="AC563" s="1994"/>
      <c r="AD563" s="1994"/>
      <c r="AE563" s="1993" t="s">
        <v>1981</v>
      </c>
      <c r="AF563" s="1994"/>
      <c r="AG563" s="1994"/>
      <c r="AH563" s="2009"/>
      <c r="AI563" s="1993" t="s">
        <v>1982</v>
      </c>
      <c r="AJ563" s="1994"/>
      <c r="AK563" s="1994"/>
      <c r="AL563" s="2009"/>
      <c r="AM563" s="1993" t="s">
        <v>477</v>
      </c>
      <c r="AN563" s="1994"/>
      <c r="AO563" s="1994"/>
      <c r="AP563" s="1994"/>
      <c r="AQ563" s="1994"/>
      <c r="AR563" s="1994"/>
      <c r="AS563" s="20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1973" t="s">
        <v>2573</v>
      </c>
      <c r="D564" s="1973"/>
      <c r="E564" s="1973"/>
      <c r="F564" s="1973"/>
      <c r="G564" s="1973"/>
      <c r="H564" s="1973"/>
      <c r="I564" s="1973"/>
      <c r="J564" s="1973"/>
      <c r="K564" s="1973"/>
      <c r="L564" s="1973"/>
      <c r="M564" s="1973"/>
      <c r="N564" s="1973"/>
      <c r="O564" s="1973"/>
      <c r="P564" s="1974"/>
      <c r="Q564" s="1969">
        <v>30</v>
      </c>
      <c r="R564" s="1969"/>
      <c r="S564" s="1970"/>
      <c r="T564" s="1968"/>
      <c r="U564" s="1969"/>
      <c r="V564" s="1970"/>
      <c r="W564" s="1965">
        <f>'[10]4%'!$F$24</f>
        <v>4.4999999999999998E-2</v>
      </c>
      <c r="X564" s="1966"/>
      <c r="Y564" s="1967"/>
      <c r="Z564" s="1910" t="s">
        <v>2574</v>
      </c>
      <c r="AA564" s="1910"/>
      <c r="AB564" s="1910"/>
      <c r="AC564" s="1910"/>
      <c r="AD564" s="1910"/>
      <c r="AE564" s="1890">
        <v>1</v>
      </c>
      <c r="AF564" s="1891"/>
      <c r="AG564" s="1891"/>
      <c r="AH564" s="1892"/>
      <c r="AI564" s="1912" t="s">
        <v>2576</v>
      </c>
      <c r="AJ564" s="1913"/>
      <c r="AK564" s="1913"/>
      <c r="AL564" s="1914"/>
      <c r="AM564" s="1887">
        <f>'[10]4%'!$E$24</f>
        <v>36361354.236821152</v>
      </c>
      <c r="AN564" s="1888"/>
      <c r="AO564" s="1888"/>
      <c r="AP564" s="1888"/>
      <c r="AQ564" s="1888"/>
      <c r="AR564" s="1888"/>
      <c r="AS564" s="1889"/>
      <c r="BB564" s="58"/>
      <c r="BC564" s="58"/>
      <c r="BD564" s="58"/>
      <c r="BE564" s="58"/>
      <c r="BF564" s="58"/>
      <c r="BG564" s="58"/>
      <c r="BH564" s="58" t="s">
        <v>605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73" t="s">
        <v>2526</v>
      </c>
      <c r="D565" s="1973"/>
      <c r="E565" s="1973"/>
      <c r="F565" s="1973"/>
      <c r="G565" s="1973"/>
      <c r="H565" s="1973"/>
      <c r="I565" s="1973"/>
      <c r="J565" s="1973"/>
      <c r="K565" s="1973"/>
      <c r="L565" s="1973"/>
      <c r="M565" s="1973"/>
      <c r="N565" s="1973"/>
      <c r="O565" s="1973"/>
      <c r="P565" s="1974"/>
      <c r="Q565" s="1968">
        <v>30</v>
      </c>
      <c r="R565" s="1969"/>
      <c r="S565" s="1970"/>
      <c r="T565" s="1968"/>
      <c r="U565" s="1969"/>
      <c r="V565" s="1970"/>
      <c r="W565" s="1965">
        <v>0.03</v>
      </c>
      <c r="X565" s="1966"/>
      <c r="Y565" s="1967"/>
      <c r="Z565" s="1910" t="s">
        <v>2575</v>
      </c>
      <c r="AA565" s="1910"/>
      <c r="AB565" s="1910"/>
      <c r="AC565" s="1910"/>
      <c r="AD565" s="1910"/>
      <c r="AE565" s="1890">
        <v>2</v>
      </c>
      <c r="AF565" s="1891"/>
      <c r="AG565" s="1891"/>
      <c r="AH565" s="1892"/>
      <c r="AI565" s="1912"/>
      <c r="AJ565" s="1913"/>
      <c r="AK565" s="1913"/>
      <c r="AL565" s="1914"/>
      <c r="AM565" s="1887">
        <f>'[10]4%'!$H$13</f>
        <v>26383849.041252356</v>
      </c>
      <c r="AN565" s="1888"/>
      <c r="AO565" s="1888"/>
      <c r="AP565" s="1888"/>
      <c r="AQ565" s="1888"/>
      <c r="AR565" s="1888"/>
      <c r="AS565" s="188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1973" t="s">
        <v>2577</v>
      </c>
      <c r="D566" s="1973"/>
      <c r="E566" s="1973"/>
      <c r="F566" s="1973"/>
      <c r="G566" s="1973"/>
      <c r="H566" s="1973"/>
      <c r="I566" s="1973"/>
      <c r="J566" s="1973"/>
      <c r="K566" s="1973"/>
      <c r="L566" s="1973"/>
      <c r="M566" s="1973"/>
      <c r="N566" s="1973"/>
      <c r="O566" s="1973"/>
      <c r="P566" s="1974"/>
      <c r="Q566" s="1968">
        <v>30</v>
      </c>
      <c r="R566" s="1969"/>
      <c r="S566" s="1970"/>
      <c r="T566" s="1968"/>
      <c r="U566" s="1969"/>
      <c r="V566" s="1970"/>
      <c r="W566" s="1965"/>
      <c r="X566" s="1966"/>
      <c r="Y566" s="1967"/>
      <c r="Z566" s="1910" t="s">
        <v>615</v>
      </c>
      <c r="AA566" s="1910"/>
      <c r="AB566" s="1910"/>
      <c r="AC566" s="1910"/>
      <c r="AD566" s="1910"/>
      <c r="AE566" s="1890"/>
      <c r="AF566" s="1891"/>
      <c r="AG566" s="1891"/>
      <c r="AH566" s="1892"/>
      <c r="AI566" s="1912"/>
      <c r="AJ566" s="1913"/>
      <c r="AK566" s="1913"/>
      <c r="AL566" s="1914"/>
      <c r="AM566" s="1887">
        <f>'[10]4%'!$E$15</f>
        <v>747762.25491082715</v>
      </c>
      <c r="AN566" s="1888"/>
      <c r="AO566" s="1888"/>
      <c r="AP566" s="1888"/>
      <c r="AQ566" s="1888"/>
      <c r="AR566" s="1888"/>
      <c r="AS566" s="188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605</v>
      </c>
      <c r="C567" s="1973" t="s">
        <v>2578</v>
      </c>
      <c r="D567" s="1973"/>
      <c r="E567" s="1973"/>
      <c r="F567" s="1973"/>
      <c r="G567" s="1973"/>
      <c r="H567" s="1973"/>
      <c r="I567" s="1973"/>
      <c r="J567" s="1973"/>
      <c r="K567" s="1973"/>
      <c r="L567" s="1973"/>
      <c r="M567" s="1973"/>
      <c r="N567" s="1973"/>
      <c r="O567" s="1973"/>
      <c r="P567" s="1974"/>
      <c r="Q567" s="1968">
        <v>30</v>
      </c>
      <c r="R567" s="1969"/>
      <c r="S567" s="1970"/>
      <c r="T567" s="1968"/>
      <c r="U567" s="1969"/>
      <c r="V567" s="1970"/>
      <c r="W567" s="1965"/>
      <c r="X567" s="1966"/>
      <c r="Y567" s="1967"/>
      <c r="Z567" s="1910" t="s">
        <v>615</v>
      </c>
      <c r="AA567" s="1910"/>
      <c r="AB567" s="1910"/>
      <c r="AC567" s="1910"/>
      <c r="AD567" s="1910"/>
      <c r="AE567" s="1890"/>
      <c r="AF567" s="1891"/>
      <c r="AG567" s="1891"/>
      <c r="AH567" s="1892"/>
      <c r="AI567" s="1912"/>
      <c r="AJ567" s="1913"/>
      <c r="AK567" s="1913"/>
      <c r="AL567" s="1914"/>
      <c r="AM567" s="1887">
        <f>('[10]4%'!$E$103-'[10]4%'!$I$103-'[10]4%'!$E$18)+'[10]4%'!$E$86+'[10]4%'!$E$73</f>
        <v>2396025.333333333</v>
      </c>
      <c r="AN567" s="1888"/>
      <c r="AO567" s="1888"/>
      <c r="AP567" s="1888"/>
      <c r="AQ567" s="1888"/>
      <c r="AR567" s="1888"/>
      <c r="AS567" s="188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803</v>
      </c>
      <c r="C568" s="1973" t="s">
        <v>2579</v>
      </c>
      <c r="D568" s="1973"/>
      <c r="E568" s="1973"/>
      <c r="F568" s="1973"/>
      <c r="G568" s="1973"/>
      <c r="H568" s="1973"/>
      <c r="I568" s="1973"/>
      <c r="J568" s="1973"/>
      <c r="K568" s="1973"/>
      <c r="L568" s="1973"/>
      <c r="M568" s="1973"/>
      <c r="N568" s="1973"/>
      <c r="O568" s="1973"/>
      <c r="P568" s="1974"/>
      <c r="Q568" s="1968">
        <v>30</v>
      </c>
      <c r="R568" s="1969"/>
      <c r="S568" s="1970"/>
      <c r="T568" s="1968"/>
      <c r="U568" s="1969"/>
      <c r="V568" s="1970"/>
      <c r="W568" s="1965"/>
      <c r="X568" s="1966"/>
      <c r="Y568" s="1967"/>
      <c r="Z568" s="1910" t="s">
        <v>615</v>
      </c>
      <c r="AA568" s="1910"/>
      <c r="AB568" s="1910"/>
      <c r="AC568" s="1910"/>
      <c r="AD568" s="1910"/>
      <c r="AE568" s="1890"/>
      <c r="AF568" s="1891"/>
      <c r="AG568" s="1891"/>
      <c r="AH568" s="1892"/>
      <c r="AI568" s="1912"/>
      <c r="AJ568" s="1913"/>
      <c r="AK568" s="1913"/>
      <c r="AL568" s="1914"/>
      <c r="AM568" s="1887">
        <v>100</v>
      </c>
      <c r="AN568" s="1888"/>
      <c r="AO568" s="1888"/>
      <c r="AP568" s="1888"/>
      <c r="AQ568" s="1888"/>
      <c r="AR568" s="1888"/>
      <c r="AS568" s="188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608</v>
      </c>
      <c r="C569" s="1973" t="s">
        <v>2580</v>
      </c>
      <c r="D569" s="1973"/>
      <c r="E569" s="1973"/>
      <c r="F569" s="1973"/>
      <c r="G569" s="1973"/>
      <c r="H569" s="1973"/>
      <c r="I569" s="1973"/>
      <c r="J569" s="1973"/>
      <c r="K569" s="1973"/>
      <c r="L569" s="1973"/>
      <c r="M569" s="1973"/>
      <c r="N569" s="1973"/>
      <c r="O569" s="1973"/>
      <c r="P569" s="1974"/>
      <c r="Q569" s="1968">
        <v>30</v>
      </c>
      <c r="R569" s="1969"/>
      <c r="S569" s="1970"/>
      <c r="T569" s="1968"/>
      <c r="U569" s="1969"/>
      <c r="V569" s="1970"/>
      <c r="W569" s="1965"/>
      <c r="X569" s="1966"/>
      <c r="Y569" s="1967"/>
      <c r="Z569" s="1910" t="s">
        <v>615</v>
      </c>
      <c r="AA569" s="1910"/>
      <c r="AB569" s="1910"/>
      <c r="AC569" s="1910"/>
      <c r="AD569" s="1910"/>
      <c r="AE569" s="1890"/>
      <c r="AF569" s="1891"/>
      <c r="AG569" s="1891"/>
      <c r="AH569" s="1892"/>
      <c r="AI569" s="1912"/>
      <c r="AJ569" s="1913"/>
      <c r="AK569" s="1913"/>
      <c r="AL569" s="1914"/>
      <c r="AM569" s="1887">
        <f>'[10]4%'!$H$20-'[10]4%'!$E$117</f>
        <v>2994801.7346007619</v>
      </c>
      <c r="AN569" s="1888"/>
      <c r="AO569" s="1888"/>
      <c r="AP569" s="1888"/>
      <c r="AQ569" s="1888"/>
      <c r="AR569" s="1888"/>
      <c r="AS569" s="188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478</v>
      </c>
      <c r="C570" s="1973"/>
      <c r="D570" s="1973"/>
      <c r="E570" s="1973"/>
      <c r="F570" s="1973"/>
      <c r="G570" s="1973"/>
      <c r="H570" s="1973"/>
      <c r="I570" s="1973"/>
      <c r="J570" s="1973"/>
      <c r="K570" s="1973"/>
      <c r="L570" s="1973"/>
      <c r="M570" s="1973"/>
      <c r="N570" s="1973"/>
      <c r="O570" s="1973"/>
      <c r="P570" s="1974"/>
      <c r="Q570" s="1968"/>
      <c r="R570" s="1969"/>
      <c r="S570" s="1970"/>
      <c r="T570" s="1968"/>
      <c r="U570" s="1969"/>
      <c r="V570" s="1970"/>
      <c r="W570" s="1965"/>
      <c r="X570" s="1966"/>
      <c r="Y570" s="1967"/>
      <c r="Z570" s="1910" t="s">
        <v>1344</v>
      </c>
      <c r="AA570" s="1910"/>
      <c r="AB570" s="1910"/>
      <c r="AC570" s="1910"/>
      <c r="AD570" s="1910"/>
      <c r="AE570" s="1890"/>
      <c r="AF570" s="1891"/>
      <c r="AG570" s="1891"/>
      <c r="AH570" s="1892"/>
      <c r="AI570" s="1912"/>
      <c r="AJ570" s="1913"/>
      <c r="AK570" s="1913"/>
      <c r="AL570" s="1914"/>
      <c r="AM570" s="1887"/>
      <c r="AN570" s="1888"/>
      <c r="AO570" s="1888"/>
      <c r="AP570" s="1888"/>
      <c r="AQ570" s="1888"/>
      <c r="AR570" s="1888"/>
      <c r="AS570" s="188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479</v>
      </c>
      <c r="C571" s="1973"/>
      <c r="D571" s="1973"/>
      <c r="E571" s="1973"/>
      <c r="F571" s="1973"/>
      <c r="G571" s="1973"/>
      <c r="H571" s="1973"/>
      <c r="I571" s="1973"/>
      <c r="J571" s="1973"/>
      <c r="K571" s="1973"/>
      <c r="L571" s="1973"/>
      <c r="M571" s="1973"/>
      <c r="N571" s="1973"/>
      <c r="O571" s="1973"/>
      <c r="P571" s="1974"/>
      <c r="Q571" s="1968"/>
      <c r="R571" s="1969"/>
      <c r="S571" s="1970"/>
      <c r="T571" s="1968"/>
      <c r="U571" s="1969"/>
      <c r="V571" s="1970"/>
      <c r="W571" s="1965"/>
      <c r="X571" s="1966"/>
      <c r="Y571" s="1967"/>
      <c r="Z571" s="1910" t="s">
        <v>1344</v>
      </c>
      <c r="AA571" s="1910"/>
      <c r="AB571" s="1910"/>
      <c r="AC571" s="1910"/>
      <c r="AD571" s="1910"/>
      <c r="AE571" s="1890"/>
      <c r="AF571" s="1891"/>
      <c r="AG571" s="1891"/>
      <c r="AH571" s="1892"/>
      <c r="AI571" s="1912"/>
      <c r="AJ571" s="1913"/>
      <c r="AK571" s="1913"/>
      <c r="AL571" s="1914"/>
      <c r="AM571" s="1887"/>
      <c r="AN571" s="1888"/>
      <c r="AO571" s="1888"/>
      <c r="AP571" s="1888"/>
      <c r="AQ571" s="1888"/>
      <c r="AR571" s="1888"/>
      <c r="AS571" s="1889"/>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484</v>
      </c>
      <c r="C572" s="1973"/>
      <c r="D572" s="1973"/>
      <c r="E572" s="1973"/>
      <c r="F572" s="1973"/>
      <c r="G572" s="1973"/>
      <c r="H572" s="1973"/>
      <c r="I572" s="1973"/>
      <c r="J572" s="1973"/>
      <c r="K572" s="1973"/>
      <c r="L572" s="1973"/>
      <c r="M572" s="1973"/>
      <c r="N572" s="1973"/>
      <c r="O572" s="1973"/>
      <c r="P572" s="1974"/>
      <c r="Q572" s="1968"/>
      <c r="R572" s="1969"/>
      <c r="S572" s="1970"/>
      <c r="T572" s="1968"/>
      <c r="U572" s="1969"/>
      <c r="V572" s="1970"/>
      <c r="W572" s="1965"/>
      <c r="X572" s="1966"/>
      <c r="Y572" s="1967"/>
      <c r="Z572" s="1910" t="s">
        <v>1344</v>
      </c>
      <c r="AA572" s="1910"/>
      <c r="AB572" s="1910"/>
      <c r="AC572" s="1910"/>
      <c r="AD572" s="1910"/>
      <c r="AE572" s="1890"/>
      <c r="AF572" s="1891"/>
      <c r="AG572" s="1891"/>
      <c r="AH572" s="1892"/>
      <c r="AI572" s="1912"/>
      <c r="AJ572" s="1913"/>
      <c r="AK572" s="1913"/>
      <c r="AL572" s="1914"/>
      <c r="AM572" s="1887"/>
      <c r="AN572" s="1888"/>
      <c r="AO572" s="1888"/>
      <c r="AP572" s="1888"/>
      <c r="AQ572" s="1888"/>
      <c r="AR572" s="1888"/>
      <c r="AS572" s="1889"/>
      <c r="BB572" s="58"/>
      <c r="BC572" s="58"/>
      <c r="BD572" s="58"/>
      <c r="BE572" s="58"/>
      <c r="BF572" s="58"/>
      <c r="BG572" s="58"/>
      <c r="BH572" s="58" t="s">
        <v>608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1973"/>
      <c r="D573" s="1973"/>
      <c r="E573" s="1973"/>
      <c r="F573" s="1973"/>
      <c r="G573" s="1973"/>
      <c r="H573" s="1973"/>
      <c r="I573" s="1973"/>
      <c r="J573" s="1973"/>
      <c r="K573" s="1973"/>
      <c r="L573" s="1973"/>
      <c r="M573" s="1973"/>
      <c r="N573" s="1973"/>
      <c r="O573" s="1973"/>
      <c r="P573" s="1974"/>
      <c r="Q573" s="1968"/>
      <c r="R573" s="1969"/>
      <c r="S573" s="1970"/>
      <c r="T573" s="1968"/>
      <c r="U573" s="1969"/>
      <c r="V573" s="1970"/>
      <c r="W573" s="1965"/>
      <c r="X573" s="1966"/>
      <c r="Y573" s="1967"/>
      <c r="Z573" s="1910" t="s">
        <v>1344</v>
      </c>
      <c r="AA573" s="1910"/>
      <c r="AB573" s="1910"/>
      <c r="AC573" s="1910"/>
      <c r="AD573" s="1910"/>
      <c r="AE573" s="1890"/>
      <c r="AF573" s="1891"/>
      <c r="AG573" s="1891"/>
      <c r="AH573" s="1892"/>
      <c r="AI573" s="1912"/>
      <c r="AJ573" s="1913"/>
      <c r="AK573" s="1913"/>
      <c r="AL573" s="1914"/>
      <c r="AM573" s="1887"/>
      <c r="AN573" s="1888"/>
      <c r="AO573" s="1888"/>
      <c r="AP573" s="1888"/>
      <c r="AQ573" s="1888"/>
      <c r="AR573" s="1888"/>
      <c r="AS573" s="188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367</v>
      </c>
      <c r="C574" s="1973"/>
      <c r="D574" s="1973"/>
      <c r="E574" s="1973"/>
      <c r="F574" s="1973"/>
      <c r="G574" s="1973"/>
      <c r="H574" s="1973"/>
      <c r="I574" s="1973"/>
      <c r="J574" s="1973"/>
      <c r="K574" s="1973"/>
      <c r="L574" s="1973"/>
      <c r="M574" s="1973"/>
      <c r="N574" s="1973"/>
      <c r="O574" s="1973"/>
      <c r="P574" s="1974"/>
      <c r="Q574" s="1968"/>
      <c r="R574" s="1969"/>
      <c r="S574" s="1970"/>
      <c r="T574" s="1968"/>
      <c r="U574" s="1969"/>
      <c r="V574" s="1970"/>
      <c r="W574" s="1965"/>
      <c r="X574" s="1966"/>
      <c r="Y574" s="1967"/>
      <c r="Z574" s="1910" t="s">
        <v>1344</v>
      </c>
      <c r="AA574" s="1910"/>
      <c r="AB574" s="1910"/>
      <c r="AC574" s="1910"/>
      <c r="AD574" s="1910"/>
      <c r="AE574" s="1890"/>
      <c r="AF574" s="1891"/>
      <c r="AG574" s="1891"/>
      <c r="AH574" s="1892"/>
      <c r="AI574" s="1912"/>
      <c r="AJ574" s="1913"/>
      <c r="AK574" s="1913"/>
      <c r="AL574" s="1914"/>
      <c r="AM574" s="1887"/>
      <c r="AN574" s="1888"/>
      <c r="AO574" s="1888"/>
      <c r="AP574" s="1888"/>
      <c r="AQ574" s="1888"/>
      <c r="AR574" s="1888"/>
      <c r="AS574" s="188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368</v>
      </c>
      <c r="C575" s="1973"/>
      <c r="D575" s="1973"/>
      <c r="E575" s="1973"/>
      <c r="F575" s="1973"/>
      <c r="G575" s="1973"/>
      <c r="H575" s="1973"/>
      <c r="I575" s="1973"/>
      <c r="J575" s="1973"/>
      <c r="K575" s="1973"/>
      <c r="L575" s="1973"/>
      <c r="M575" s="1973"/>
      <c r="N575" s="1973"/>
      <c r="O575" s="1973"/>
      <c r="P575" s="1974"/>
      <c r="Q575" s="1968"/>
      <c r="R575" s="1969"/>
      <c r="S575" s="1970"/>
      <c r="T575" s="1968"/>
      <c r="U575" s="1969"/>
      <c r="V575" s="1970"/>
      <c r="W575" s="1965"/>
      <c r="X575" s="1966"/>
      <c r="Y575" s="1967"/>
      <c r="Z575" s="1910" t="s">
        <v>1344</v>
      </c>
      <c r="AA575" s="1910"/>
      <c r="AB575" s="1910"/>
      <c r="AC575" s="1910"/>
      <c r="AD575" s="1910"/>
      <c r="AE575" s="1890"/>
      <c r="AF575" s="1891"/>
      <c r="AG575" s="1891"/>
      <c r="AH575" s="1892"/>
      <c r="AI575" s="1912"/>
      <c r="AJ575" s="1913"/>
      <c r="AK575" s="1913"/>
      <c r="AL575" s="1914"/>
      <c r="AM575" s="1887"/>
      <c r="AN575" s="1888"/>
      <c r="AO575" s="1888"/>
      <c r="AP575" s="1888"/>
      <c r="AQ575" s="1888"/>
      <c r="AR575" s="1888"/>
      <c r="AS575" s="188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000" t="s">
        <v>132</v>
      </c>
      <c r="C576" s="2001"/>
      <c r="D576" s="2001"/>
      <c r="E576" s="2001"/>
      <c r="F576" s="2001"/>
      <c r="G576" s="2001"/>
      <c r="H576" s="2001"/>
      <c r="I576" s="2001"/>
      <c r="J576" s="2001"/>
      <c r="K576" s="2001"/>
      <c r="L576" s="2001"/>
      <c r="M576" s="2001"/>
      <c r="N576" s="2001"/>
      <c r="O576" s="2001"/>
      <c r="P576" s="2001"/>
      <c r="Q576" s="2001"/>
      <c r="R576" s="2001"/>
      <c r="S576" s="2001"/>
      <c r="T576" s="2001"/>
      <c r="U576" s="2020"/>
      <c r="V576" s="2001"/>
      <c r="W576" s="2001"/>
      <c r="X576" s="2001"/>
      <c r="Y576" s="2001"/>
      <c r="Z576" s="2001"/>
      <c r="AA576" s="2001"/>
      <c r="AB576" s="2001"/>
      <c r="AC576" s="2001"/>
      <c r="AD576" s="2001"/>
      <c r="AE576" s="2001"/>
      <c r="AF576" s="2001"/>
      <c r="AG576" s="2001"/>
      <c r="AH576" s="2001"/>
      <c r="AI576" s="2001"/>
      <c r="AJ576" s="2001"/>
      <c r="AK576" s="2001"/>
      <c r="AL576" s="2002"/>
      <c r="AM576" s="2012">
        <f>SUM(AM564:AS575)</f>
        <v>68883892.600918427</v>
      </c>
      <c r="AN576" s="2013"/>
      <c r="AO576" s="2013"/>
      <c r="AP576" s="2013"/>
      <c r="AQ576" s="2013"/>
      <c r="AR576" s="2013"/>
      <c r="AS576" s="20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486</v>
      </c>
      <c r="G578" s="1895" t="str">
        <f>C564</f>
        <v>Tax Exempt Construction Bond/Chase</v>
      </c>
      <c r="H578" s="1895"/>
      <c r="I578" s="1895"/>
      <c r="J578" s="1895"/>
      <c r="K578" s="1895"/>
      <c r="L578" s="1895"/>
      <c r="M578" s="1895"/>
      <c r="N578" s="1895"/>
      <c r="O578" s="1895"/>
      <c r="P578" s="1895"/>
      <c r="Q578" s="1895"/>
      <c r="R578" s="1895"/>
      <c r="S578" s="14"/>
      <c r="T578" s="87" t="s">
        <v>118</v>
      </c>
      <c r="U578" s="12" t="s">
        <v>486</v>
      </c>
      <c r="Z578" s="1895" t="str">
        <f>C565</f>
        <v>SF OCII</v>
      </c>
      <c r="AA578" s="1895"/>
      <c r="AB578" s="1895"/>
      <c r="AC578" s="1895"/>
      <c r="AD578" s="1895"/>
      <c r="AE578" s="1895"/>
      <c r="AF578" s="1895"/>
      <c r="AG578" s="1895"/>
      <c r="AH578" s="1895"/>
      <c r="AI578" s="1895"/>
      <c r="AJ578" s="1895"/>
      <c r="AK578" s="189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894" t="s">
        <v>2563</v>
      </c>
      <c r="H579" s="1894"/>
      <c r="I579" s="1894"/>
      <c r="J579" s="1894"/>
      <c r="K579" s="1894"/>
      <c r="L579" s="1894"/>
      <c r="M579" s="1894"/>
      <c r="N579" s="1894"/>
      <c r="O579" s="1894"/>
      <c r="P579" s="1894"/>
      <c r="Q579" s="1894"/>
      <c r="R579" s="1894"/>
      <c r="S579" s="14"/>
      <c r="T579" s="35"/>
      <c r="U579" s="12" t="s">
        <v>90</v>
      </c>
      <c r="Z579" s="1206" t="s">
        <v>2568</v>
      </c>
      <c r="AA579" s="1206"/>
      <c r="AB579" s="1206"/>
      <c r="AC579" s="1206"/>
      <c r="AD579" s="1206"/>
      <c r="AE579" s="1206"/>
      <c r="AF579" s="1206"/>
      <c r="AG579" s="1206"/>
      <c r="AH579" s="1206"/>
      <c r="AI579" s="1206"/>
      <c r="AJ579" s="1206"/>
      <c r="AK579" s="1206"/>
      <c r="BB579" s="58"/>
      <c r="BC579" s="58"/>
      <c r="BD579" s="58"/>
      <c r="BE579" s="58"/>
      <c r="BF579" s="58"/>
      <c r="BG579" s="58"/>
      <c r="BH579" s="58" t="s">
        <v>478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604</v>
      </c>
      <c r="G580" s="1894" t="s">
        <v>2564</v>
      </c>
      <c r="H580" s="1894"/>
      <c r="I580" s="1894"/>
      <c r="J580" s="1894"/>
      <c r="K580" s="1894"/>
      <c r="L580" s="1894"/>
      <c r="M580" s="1894"/>
      <c r="N580" s="1894"/>
      <c r="O580" s="1894"/>
      <c r="P580" s="1894"/>
      <c r="Q580" s="1894"/>
      <c r="R580" s="1894"/>
      <c r="S580" s="88"/>
      <c r="T580" s="35"/>
      <c r="U580" s="12" t="s">
        <v>604</v>
      </c>
      <c r="Z580" s="1944" t="s">
        <v>2569</v>
      </c>
      <c r="AA580" s="1944"/>
      <c r="AB580" s="1944"/>
      <c r="AC580" s="1944"/>
      <c r="AD580" s="1944"/>
      <c r="AE580" s="1944"/>
      <c r="AF580" s="1944"/>
      <c r="AG580" s="1944"/>
      <c r="AH580" s="1944"/>
      <c r="AI580" s="1944"/>
      <c r="AJ580" s="1944"/>
      <c r="AK580" s="1944"/>
      <c r="BB580" s="58"/>
      <c r="BC580" s="58"/>
      <c r="BD580" s="58"/>
      <c r="BE580" s="58"/>
      <c r="BF580" s="58"/>
      <c r="BG580" s="58"/>
      <c r="BH580" s="58" t="s">
        <v>479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894" t="s">
        <v>2565</v>
      </c>
      <c r="H581" s="1894"/>
      <c r="I581" s="1894"/>
      <c r="J581" s="1894"/>
      <c r="K581" s="1894"/>
      <c r="L581" s="1894"/>
      <c r="M581" s="1894"/>
      <c r="N581" s="1894"/>
      <c r="O581" s="1894"/>
      <c r="P581" s="1894"/>
      <c r="Q581" s="1894"/>
      <c r="R581" s="1894"/>
      <c r="S581" s="14"/>
      <c r="T581" s="35"/>
      <c r="U581" s="12" t="s">
        <v>17</v>
      </c>
      <c r="Z581" s="1944" t="s">
        <v>2570</v>
      </c>
      <c r="AA581" s="1944"/>
      <c r="AB581" s="1944"/>
      <c r="AC581" s="1944"/>
      <c r="AD581" s="1944"/>
      <c r="AE581" s="1944"/>
      <c r="AF581" s="1944"/>
      <c r="AG581" s="1944"/>
      <c r="AH581" s="1944"/>
      <c r="AI581" s="1944"/>
      <c r="AJ581" s="1944"/>
      <c r="AK581" s="19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1975" t="s">
        <v>2566</v>
      </c>
      <c r="H582" s="1975"/>
      <c r="I582" s="1975"/>
      <c r="J582" s="1975"/>
      <c r="K582" s="1975"/>
      <c r="L582" s="1975"/>
      <c r="O582" s="137" t="s">
        <v>211</v>
      </c>
      <c r="P582" s="1885"/>
      <c r="Q582" s="1885"/>
      <c r="R582" s="1885"/>
      <c r="S582" s="16"/>
      <c r="T582" s="35"/>
      <c r="U582" s="12" t="s">
        <v>321</v>
      </c>
      <c r="Z582" s="1975" t="s">
        <v>2571</v>
      </c>
      <c r="AA582" s="1919"/>
      <c r="AB582" s="1919"/>
      <c r="AC582" s="1919"/>
      <c r="AD582" s="1919"/>
      <c r="AE582" s="1919"/>
      <c r="AH582" s="137" t="s">
        <v>211</v>
      </c>
      <c r="AI582" s="1885"/>
      <c r="AJ582" s="1885"/>
      <c r="AK582" s="188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4" t="s">
        <v>2567</v>
      </c>
      <c r="I583" s="1894"/>
      <c r="J583" s="1894"/>
      <c r="K583" s="1894"/>
      <c r="L583" s="1894"/>
      <c r="M583" s="1894"/>
      <c r="N583" s="1894"/>
      <c r="O583" s="1894"/>
      <c r="P583" s="1894"/>
      <c r="Q583" s="1894"/>
      <c r="R583" s="1894"/>
      <c r="S583" s="14"/>
      <c r="T583" s="35"/>
      <c r="U583" s="12" t="s">
        <v>18</v>
      </c>
      <c r="AA583" s="1206" t="s">
        <v>2572</v>
      </c>
      <c r="AB583" s="1206"/>
      <c r="AC583" s="1206"/>
      <c r="AD583" s="1206"/>
      <c r="AE583" s="1206"/>
      <c r="AF583" s="1206"/>
      <c r="AG583" s="1206"/>
      <c r="AH583" s="1206"/>
      <c r="AI583" s="1206"/>
      <c r="AJ583" s="1206"/>
      <c r="AK583" s="120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1345</v>
      </c>
      <c r="C584" s="711"/>
      <c r="D584" s="711"/>
      <c r="E584" s="711"/>
      <c r="F584" s="711"/>
      <c r="G584" s="711"/>
      <c r="H584" s="14"/>
      <c r="I584" s="14"/>
      <c r="J584" s="14"/>
      <c r="K584" s="14"/>
      <c r="L584" s="14"/>
      <c r="M584" s="1205"/>
      <c r="N584" s="1205"/>
      <c r="O584" s="1205"/>
      <c r="P584" s="1205"/>
      <c r="Q584" s="1205"/>
      <c r="R584" s="1205"/>
      <c r="S584" s="14"/>
      <c r="T584" s="35"/>
      <c r="U584" s="502" t="s">
        <v>1345</v>
      </c>
      <c r="V584" s="711"/>
      <c r="W584" s="711"/>
      <c r="X584" s="711"/>
      <c r="Y584" s="711"/>
      <c r="Z584" s="711"/>
      <c r="AA584" s="14"/>
      <c r="AB584" s="14"/>
      <c r="AC584" s="14"/>
      <c r="AD584" s="14"/>
      <c r="AE584" s="14"/>
      <c r="AF584" s="2197" t="s">
        <v>615</v>
      </c>
      <c r="AG584" s="2197"/>
      <c r="AH584" s="2197"/>
      <c r="AI584" s="2197"/>
      <c r="AJ584" s="2197"/>
      <c r="AK584" s="219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93" t="s">
        <v>568</v>
      </c>
      <c r="O585" s="1893"/>
      <c r="T585" s="35"/>
      <c r="U585" s="12" t="s">
        <v>20</v>
      </c>
      <c r="AG585" s="1893" t="s">
        <v>568</v>
      </c>
      <c r="AH585" s="18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486</v>
      </c>
      <c r="G587" s="1895" t="str">
        <f>C566</f>
        <v>Accrued Interest on Soft Loans</v>
      </c>
      <c r="H587" s="1895"/>
      <c r="I587" s="1895"/>
      <c r="J587" s="1895"/>
      <c r="K587" s="1895"/>
      <c r="L587" s="1895"/>
      <c r="M587" s="1895"/>
      <c r="N587" s="1895"/>
      <c r="O587" s="1895"/>
      <c r="P587" s="1895"/>
      <c r="Q587" s="1895"/>
      <c r="R587" s="1895"/>
      <c r="T587" s="87" t="s">
        <v>605</v>
      </c>
      <c r="U587" s="12" t="s">
        <v>486</v>
      </c>
      <c r="Z587" s="1895" t="str">
        <f>C567</f>
        <v>Costs Deferred Until Conversion</v>
      </c>
      <c r="AA587" s="1895"/>
      <c r="AB587" s="1895"/>
      <c r="AC587" s="1895"/>
      <c r="AD587" s="1895"/>
      <c r="AE587" s="1895"/>
      <c r="AF587" s="1895"/>
      <c r="AG587" s="1895"/>
      <c r="AH587" s="1895"/>
      <c r="AI587" s="1895"/>
      <c r="AJ587" s="1895"/>
      <c r="AK587" s="189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894" t="s">
        <v>2568</v>
      </c>
      <c r="H588" s="1894"/>
      <c r="I588" s="1894"/>
      <c r="J588" s="1894"/>
      <c r="K588" s="1894"/>
      <c r="L588" s="1894"/>
      <c r="M588" s="1894"/>
      <c r="N588" s="1894"/>
      <c r="O588" s="1894"/>
      <c r="P588" s="1894"/>
      <c r="Q588" s="1894"/>
      <c r="R588" s="1894"/>
      <c r="T588" s="35"/>
      <c r="U588" s="12" t="s">
        <v>90</v>
      </c>
      <c r="Z588" s="1894" t="s">
        <v>2582</v>
      </c>
      <c r="AA588" s="1894"/>
      <c r="AB588" s="1894"/>
      <c r="AC588" s="1894"/>
      <c r="AD588" s="1894"/>
      <c r="AE588" s="1894"/>
      <c r="AF588" s="1894"/>
      <c r="AG588" s="1894"/>
      <c r="AH588" s="1894"/>
      <c r="AI588" s="1894"/>
      <c r="AJ588" s="1894"/>
      <c r="AK588" s="189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604</v>
      </c>
      <c r="G589" s="1944" t="s">
        <v>2569</v>
      </c>
      <c r="H589" s="1944"/>
      <c r="I589" s="1944"/>
      <c r="J589" s="1944"/>
      <c r="K589" s="1944"/>
      <c r="L589" s="1944"/>
      <c r="M589" s="1944"/>
      <c r="N589" s="1944"/>
      <c r="O589" s="1944"/>
      <c r="P589" s="1944"/>
      <c r="Q589" s="1944"/>
      <c r="R589" s="1944"/>
      <c r="T589" s="35"/>
      <c r="U589" s="12" t="s">
        <v>604</v>
      </c>
      <c r="Z589" s="1944" t="s">
        <v>2583</v>
      </c>
      <c r="AA589" s="1944"/>
      <c r="AB589" s="1944"/>
      <c r="AC589" s="1944"/>
      <c r="AD589" s="1944"/>
      <c r="AE589" s="1944"/>
      <c r="AF589" s="1944"/>
      <c r="AG589" s="1944"/>
      <c r="AH589" s="1944"/>
      <c r="AI589" s="1944"/>
      <c r="AJ589" s="1944"/>
      <c r="AK589" s="19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44" t="s">
        <v>2570</v>
      </c>
      <c r="H590" s="1944"/>
      <c r="I590" s="1944"/>
      <c r="J590" s="1944"/>
      <c r="K590" s="1944"/>
      <c r="L590" s="1944"/>
      <c r="M590" s="1944"/>
      <c r="N590" s="1944"/>
      <c r="O590" s="1944"/>
      <c r="P590" s="1944"/>
      <c r="Q590" s="1944"/>
      <c r="R590" s="1944"/>
      <c r="T590" s="35"/>
      <c r="U590" s="12" t="s">
        <v>17</v>
      </c>
      <c r="Z590" s="1944" t="s">
        <v>2584</v>
      </c>
      <c r="AA590" s="1944"/>
      <c r="AB590" s="1944"/>
      <c r="AC590" s="1944"/>
      <c r="AD590" s="1944"/>
      <c r="AE590" s="1944"/>
      <c r="AF590" s="1944"/>
      <c r="AG590" s="1944"/>
      <c r="AH590" s="1944"/>
      <c r="AI590" s="1944"/>
      <c r="AJ590" s="1944"/>
      <c r="AK590" s="19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1975" t="s">
        <v>2571</v>
      </c>
      <c r="H591" s="1919"/>
      <c r="I591" s="1919"/>
      <c r="J591" s="1919"/>
      <c r="K591" s="1919"/>
      <c r="L591" s="1919"/>
      <c r="O591" s="137" t="s">
        <v>211</v>
      </c>
      <c r="P591" s="1885"/>
      <c r="Q591" s="1885"/>
      <c r="R591" s="1885"/>
      <c r="T591" s="35"/>
      <c r="U591" s="12" t="s">
        <v>321</v>
      </c>
      <c r="Z591" s="1207" t="s">
        <v>2585</v>
      </c>
      <c r="AA591" s="1204"/>
      <c r="AB591" s="1204"/>
      <c r="AC591" s="1204"/>
      <c r="AD591" s="1204"/>
      <c r="AE591" s="1204"/>
      <c r="AH591" s="137" t="s">
        <v>211</v>
      </c>
      <c r="AI591" s="1885"/>
      <c r="AJ591" s="1885"/>
      <c r="AK591" s="188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206" t="s">
        <v>2581</v>
      </c>
      <c r="I592" s="1206"/>
      <c r="J592" s="1206"/>
      <c r="K592" s="1206"/>
      <c r="L592" s="1206"/>
      <c r="M592" s="1206"/>
      <c r="N592" s="1206"/>
      <c r="O592" s="1206"/>
      <c r="P592" s="1206"/>
      <c r="Q592" s="1206"/>
      <c r="R592" s="1206"/>
      <c r="T592" s="35"/>
      <c r="U592" s="12" t="s">
        <v>18</v>
      </c>
      <c r="AA592" s="1894" t="s">
        <v>2586</v>
      </c>
      <c r="AB592" s="1894"/>
      <c r="AC592" s="1894"/>
      <c r="AD592" s="1894"/>
      <c r="AE592" s="1894"/>
      <c r="AF592" s="1894"/>
      <c r="AG592" s="1894"/>
      <c r="AH592" s="1894"/>
      <c r="AI592" s="1894"/>
      <c r="AJ592" s="1894"/>
      <c r="AK592" s="189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93" t="s">
        <v>568</v>
      </c>
      <c r="O593" s="1893"/>
      <c r="T593" s="35"/>
      <c r="U593" s="12" t="s">
        <v>20</v>
      </c>
      <c r="AG593" s="1893" t="s">
        <v>568</v>
      </c>
      <c r="AH593" s="18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486</v>
      </c>
      <c r="G595" s="1895" t="str">
        <f>C568</f>
        <v>GP Capital</v>
      </c>
      <c r="H595" s="1895"/>
      <c r="I595" s="1895"/>
      <c r="J595" s="1895"/>
      <c r="K595" s="1895"/>
      <c r="L595" s="1895"/>
      <c r="M595" s="1895"/>
      <c r="N595" s="1895"/>
      <c r="O595" s="1895"/>
      <c r="P595" s="1895"/>
      <c r="Q595" s="1895"/>
      <c r="R595" s="1895"/>
      <c r="T595" s="87" t="s">
        <v>608</v>
      </c>
      <c r="U595" s="12" t="s">
        <v>486</v>
      </c>
      <c r="Z595" s="1895" t="str">
        <f>C569</f>
        <v>Limited Partner Equity</v>
      </c>
      <c r="AA595" s="1895"/>
      <c r="AB595" s="1895"/>
      <c r="AC595" s="1895"/>
      <c r="AD595" s="1895"/>
      <c r="AE595" s="1895"/>
      <c r="AF595" s="1895"/>
      <c r="AG595" s="1895"/>
      <c r="AH595" s="1895"/>
      <c r="AI595" s="1895"/>
      <c r="AJ595" s="1895"/>
      <c r="AK595" s="189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894" t="s">
        <v>2582</v>
      </c>
      <c r="H596" s="1894"/>
      <c r="I596" s="1894"/>
      <c r="J596" s="1894"/>
      <c r="K596" s="1894"/>
      <c r="L596" s="1894"/>
      <c r="M596" s="1894"/>
      <c r="N596" s="1894"/>
      <c r="O596" s="1894"/>
      <c r="P596" s="1894"/>
      <c r="Q596" s="1894"/>
      <c r="R596" s="1894"/>
      <c r="T596" s="35"/>
      <c r="U596" s="12" t="s">
        <v>90</v>
      </c>
      <c r="Z596" s="1894"/>
      <c r="AA596" s="1894"/>
      <c r="AB596" s="1894"/>
      <c r="AC596" s="1894"/>
      <c r="AD596" s="1894"/>
      <c r="AE596" s="1894"/>
      <c r="AF596" s="1894"/>
      <c r="AG596" s="1894"/>
      <c r="AH596" s="1894"/>
      <c r="AI596" s="1894"/>
      <c r="AJ596" s="1894"/>
      <c r="AK596" s="189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604</v>
      </c>
      <c r="G597" s="1894" t="s">
        <v>2583</v>
      </c>
      <c r="H597" s="1894"/>
      <c r="I597" s="1894"/>
      <c r="J597" s="1894"/>
      <c r="K597" s="1894"/>
      <c r="L597" s="1894"/>
      <c r="M597" s="1894"/>
      <c r="N597" s="1894"/>
      <c r="O597" s="1894"/>
      <c r="P597" s="1894"/>
      <c r="Q597" s="1894"/>
      <c r="R597" s="1894"/>
      <c r="T597" s="35"/>
      <c r="U597" s="12" t="s">
        <v>604</v>
      </c>
      <c r="Z597" s="1944"/>
      <c r="AA597" s="1944"/>
      <c r="AB597" s="1944"/>
      <c r="AC597" s="1944"/>
      <c r="AD597" s="1944"/>
      <c r="AE597" s="1944"/>
      <c r="AF597" s="1944"/>
      <c r="AG597" s="1944"/>
      <c r="AH597" s="1944"/>
      <c r="AI597" s="1944"/>
      <c r="AJ597" s="1944"/>
      <c r="AK597" s="19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894" t="s">
        <v>2584</v>
      </c>
      <c r="H598" s="1894"/>
      <c r="I598" s="1894"/>
      <c r="J598" s="1894"/>
      <c r="K598" s="1894"/>
      <c r="L598" s="1894"/>
      <c r="M598" s="1894"/>
      <c r="N598" s="1894"/>
      <c r="O598" s="1894"/>
      <c r="P598" s="1894"/>
      <c r="Q598" s="1894"/>
      <c r="R598" s="1894"/>
      <c r="T598" s="35"/>
      <c r="U598" s="12" t="s">
        <v>17</v>
      </c>
      <c r="Z598" s="1944"/>
      <c r="AA598" s="1944"/>
      <c r="AB598" s="1944"/>
      <c r="AC598" s="1944"/>
      <c r="AD598" s="1944"/>
      <c r="AE598" s="1944"/>
      <c r="AF598" s="1944"/>
      <c r="AG598" s="1944"/>
      <c r="AH598" s="1944"/>
      <c r="AI598" s="1944"/>
      <c r="AJ598" s="1944"/>
      <c r="AK598" s="19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1975" t="s">
        <v>2585</v>
      </c>
      <c r="H599" s="1919"/>
      <c r="I599" s="1919"/>
      <c r="J599" s="1919"/>
      <c r="K599" s="1919"/>
      <c r="L599" s="1919"/>
      <c r="O599" s="137" t="s">
        <v>211</v>
      </c>
      <c r="P599" s="1885"/>
      <c r="Q599" s="1885"/>
      <c r="R599" s="1885"/>
      <c r="T599" s="35"/>
      <c r="U599" s="12" t="s">
        <v>321</v>
      </c>
      <c r="Z599" s="1919"/>
      <c r="AA599" s="1919"/>
      <c r="AB599" s="1919"/>
      <c r="AC599" s="1919"/>
      <c r="AD599" s="1919"/>
      <c r="AE599" s="1919"/>
      <c r="AH599" s="137" t="s">
        <v>211</v>
      </c>
      <c r="AI599" s="1885"/>
      <c r="AJ599" s="1885"/>
      <c r="AK599" s="188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894" t="s">
        <v>2587</v>
      </c>
      <c r="I600" s="1894"/>
      <c r="J600" s="1894"/>
      <c r="K600" s="1894"/>
      <c r="L600" s="1894"/>
      <c r="M600" s="1894"/>
      <c r="N600" s="1894"/>
      <c r="O600" s="1894"/>
      <c r="P600" s="1894"/>
      <c r="Q600" s="1894"/>
      <c r="R600" s="1894"/>
      <c r="T600" s="35"/>
      <c r="U600" s="12" t="s">
        <v>18</v>
      </c>
      <c r="AA600" s="1894" t="s">
        <v>2588</v>
      </c>
      <c r="AB600" s="1894"/>
      <c r="AC600" s="1894"/>
      <c r="AD600" s="1894"/>
      <c r="AE600" s="1894"/>
      <c r="AF600" s="1894"/>
      <c r="AG600" s="1894"/>
      <c r="AH600" s="1894"/>
      <c r="AI600" s="1894"/>
      <c r="AJ600" s="1894"/>
      <c r="AK600" s="189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893" t="s">
        <v>568</v>
      </c>
      <c r="O601" s="1893"/>
      <c r="T601" s="35"/>
      <c r="U601" s="12" t="s">
        <v>20</v>
      </c>
      <c r="AG601" s="1893" t="s">
        <v>693</v>
      </c>
      <c r="AH601" s="189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478</v>
      </c>
      <c r="B603" s="12" t="s">
        <v>486</v>
      </c>
      <c r="G603" s="1895">
        <f>C570</f>
        <v>0</v>
      </c>
      <c r="H603" s="1895"/>
      <c r="I603" s="1895"/>
      <c r="J603" s="1895"/>
      <c r="K603" s="1895"/>
      <c r="L603" s="1895"/>
      <c r="M603" s="1895"/>
      <c r="N603" s="1895"/>
      <c r="O603" s="1895"/>
      <c r="P603" s="1895"/>
      <c r="Q603" s="1895"/>
      <c r="R603" s="1895"/>
      <c r="T603" s="87" t="s">
        <v>479</v>
      </c>
      <c r="U603" s="12" t="s">
        <v>486</v>
      </c>
      <c r="Z603" s="1895">
        <f>C571</f>
        <v>0</v>
      </c>
      <c r="AA603" s="1895"/>
      <c r="AB603" s="1895"/>
      <c r="AC603" s="1895"/>
      <c r="AD603" s="1895"/>
      <c r="AE603" s="1895"/>
      <c r="AF603" s="1895"/>
      <c r="AG603" s="1895"/>
      <c r="AH603" s="1895"/>
      <c r="AI603" s="1895"/>
      <c r="AJ603" s="1895"/>
      <c r="AK603" s="189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894"/>
      <c r="H604" s="1894"/>
      <c r="I604" s="1894"/>
      <c r="J604" s="1894"/>
      <c r="K604" s="1894"/>
      <c r="L604" s="1894"/>
      <c r="M604" s="1894"/>
      <c r="N604" s="1894"/>
      <c r="O604" s="1894"/>
      <c r="P604" s="1894"/>
      <c r="Q604" s="1894"/>
      <c r="R604" s="1894"/>
      <c r="T604" s="35"/>
      <c r="U604" s="12" t="s">
        <v>90</v>
      </c>
      <c r="Z604" s="1894"/>
      <c r="AA604" s="1894"/>
      <c r="AB604" s="1894"/>
      <c r="AC604" s="1894"/>
      <c r="AD604" s="1894"/>
      <c r="AE604" s="1894"/>
      <c r="AF604" s="1894"/>
      <c r="AG604" s="1894"/>
      <c r="AH604" s="1894"/>
      <c r="AI604" s="1894"/>
      <c r="AJ604" s="1894"/>
      <c r="AK604" s="189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604</v>
      </c>
      <c r="G605" s="1894"/>
      <c r="H605" s="1894"/>
      <c r="I605" s="1894"/>
      <c r="J605" s="1894"/>
      <c r="K605" s="1894"/>
      <c r="L605" s="1894"/>
      <c r="M605" s="1894"/>
      <c r="N605" s="1894"/>
      <c r="O605" s="1894"/>
      <c r="P605" s="1894"/>
      <c r="Q605" s="1894"/>
      <c r="R605" s="1894"/>
      <c r="T605" s="35"/>
      <c r="U605" s="12" t="s">
        <v>604</v>
      </c>
      <c r="Z605" s="1944"/>
      <c r="AA605" s="1944"/>
      <c r="AB605" s="1944"/>
      <c r="AC605" s="1944"/>
      <c r="AD605" s="1944"/>
      <c r="AE605" s="1944"/>
      <c r="AF605" s="1944"/>
      <c r="AG605" s="1944"/>
      <c r="AH605" s="1944"/>
      <c r="AI605" s="1944"/>
      <c r="AJ605" s="1944"/>
      <c r="AK605" s="19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894"/>
      <c r="H606" s="1894"/>
      <c r="I606" s="1894"/>
      <c r="J606" s="1894"/>
      <c r="K606" s="1894"/>
      <c r="L606" s="1894"/>
      <c r="M606" s="1894"/>
      <c r="N606" s="1894"/>
      <c r="O606" s="1894"/>
      <c r="P606" s="1894"/>
      <c r="Q606" s="1894"/>
      <c r="R606" s="1894"/>
      <c r="T606" s="35"/>
      <c r="U606" s="12" t="s">
        <v>17</v>
      </c>
      <c r="Z606" s="1944"/>
      <c r="AA606" s="1944"/>
      <c r="AB606" s="1944"/>
      <c r="AC606" s="1944"/>
      <c r="AD606" s="1944"/>
      <c r="AE606" s="1944"/>
      <c r="AF606" s="1944"/>
      <c r="AG606" s="1944"/>
      <c r="AH606" s="1944"/>
      <c r="AI606" s="1944"/>
      <c r="AJ606" s="1944"/>
      <c r="AK606" s="19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1919"/>
      <c r="H607" s="1919"/>
      <c r="I607" s="1919"/>
      <c r="J607" s="1919"/>
      <c r="K607" s="1919"/>
      <c r="L607" s="1919"/>
      <c r="M607" s="12"/>
      <c r="N607" s="12"/>
      <c r="O607" s="137" t="s">
        <v>211</v>
      </c>
      <c r="P607" s="1885"/>
      <c r="Q607" s="1885"/>
      <c r="R607" s="1885"/>
      <c r="S607" s="12"/>
      <c r="T607" s="35"/>
      <c r="U607" s="12" t="s">
        <v>321</v>
      </c>
      <c r="V607" s="12"/>
      <c r="W607" s="12"/>
      <c r="X607" s="12"/>
      <c r="Y607" s="12"/>
      <c r="Z607" s="1919"/>
      <c r="AA607" s="1919"/>
      <c r="AB607" s="1919"/>
      <c r="AC607" s="1919"/>
      <c r="AD607" s="1919"/>
      <c r="AE607" s="1919"/>
      <c r="AF607" s="12"/>
      <c r="AG607" s="12"/>
      <c r="AH607" s="137" t="s">
        <v>211</v>
      </c>
      <c r="AI607" s="1885"/>
      <c r="AJ607" s="1885"/>
      <c r="AK607" s="188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894"/>
      <c r="I608" s="1894"/>
      <c r="J608" s="1894"/>
      <c r="K608" s="1894"/>
      <c r="L608" s="1894"/>
      <c r="M608" s="1894"/>
      <c r="N608" s="1894"/>
      <c r="O608" s="1894"/>
      <c r="P608" s="1894"/>
      <c r="Q608" s="1894"/>
      <c r="R608" s="1894"/>
      <c r="S608" s="12"/>
      <c r="T608" s="35"/>
      <c r="U608" s="12" t="s">
        <v>18</v>
      </c>
      <c r="V608" s="12"/>
      <c r="W608" s="12"/>
      <c r="X608" s="12"/>
      <c r="Y608" s="12"/>
      <c r="Z608" s="12"/>
      <c r="AA608" s="1894"/>
      <c r="AB608" s="1894"/>
      <c r="AC608" s="1894"/>
      <c r="AD608" s="1894"/>
      <c r="AE608" s="1894"/>
      <c r="AF608" s="1894"/>
      <c r="AG608" s="1894"/>
      <c r="AH608" s="1894"/>
      <c r="AI608" s="1894"/>
      <c r="AJ608" s="1894"/>
      <c r="AK608" s="189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365</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893" t="s">
        <v>693</v>
      </c>
      <c r="O609" s="1893"/>
      <c r="P609" s="12"/>
      <c r="Q609" s="12"/>
      <c r="R609" s="12"/>
      <c r="S609" s="12"/>
      <c r="T609" s="35"/>
      <c r="U609" s="12" t="s">
        <v>20</v>
      </c>
      <c r="V609" s="12"/>
      <c r="W609" s="12"/>
      <c r="X609" s="12"/>
      <c r="Y609" s="12"/>
      <c r="Z609" s="12"/>
      <c r="AA609" s="12"/>
      <c r="AB609" s="12"/>
      <c r="AC609" s="12"/>
      <c r="AD609" s="12"/>
      <c r="AE609" s="12"/>
      <c r="AF609" s="12"/>
      <c r="AG609" s="1893" t="s">
        <v>693</v>
      </c>
      <c r="AH609" s="1893"/>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497</v>
      </c>
      <c r="BF609" s="186"/>
      <c r="BG609" s="1871"/>
      <c r="BH609" s="1873"/>
      <c r="BI609" s="185" t="s">
        <v>498</v>
      </c>
      <c r="BJ609" s="186"/>
      <c r="BK609" s="1871"/>
      <c r="BL609" s="1873"/>
      <c r="BM609" s="58"/>
      <c r="BN609" s="2235" t="s">
        <v>657</v>
      </c>
      <c r="BO609" s="2236"/>
      <c r="BP609" s="2236"/>
      <c r="BQ609" s="2236"/>
      <c r="BR609" s="2237"/>
      <c r="BS609" s="2023" t="s">
        <v>330</v>
      </c>
      <c r="BT609" s="2023"/>
      <c r="BU609" s="2023"/>
      <c r="BV609" s="2023"/>
      <c r="BW609" s="2023"/>
      <c r="BX609" s="2023" t="s">
        <v>168</v>
      </c>
      <c r="BY609" s="2023"/>
      <c r="BZ609" s="2023"/>
      <c r="CA609" s="2023"/>
      <c r="CB609" s="2023"/>
      <c r="CC609" s="2023" t="s">
        <v>169</v>
      </c>
      <c r="CD609" s="2023"/>
      <c r="CE609" s="2023"/>
      <c r="CF609" s="2023"/>
      <c r="CG609" s="2023"/>
      <c r="CH609" s="2023" t="s">
        <v>483</v>
      </c>
      <c r="CI609" s="2023"/>
      <c r="CJ609" s="2023"/>
      <c r="CK609" s="2023"/>
      <c r="CL609" s="2023"/>
      <c r="CM609" s="2023" t="s">
        <v>31</v>
      </c>
      <c r="CN609" s="2023"/>
      <c r="CO609" s="2023"/>
      <c r="CP609" s="2023"/>
      <c r="CQ609" s="2023"/>
      <c r="CR609" s="1093"/>
      <c r="CS609" s="2023" t="s">
        <v>657</v>
      </c>
      <c r="CT609" s="2023"/>
      <c r="CU609" s="2023"/>
      <c r="CV609" s="2023"/>
      <c r="CW609" s="2023"/>
      <c r="CX609" s="2023" t="s">
        <v>330</v>
      </c>
      <c r="CY609" s="2023"/>
      <c r="CZ609" s="2023"/>
      <c r="DA609" s="2023"/>
      <c r="DB609" s="2023"/>
      <c r="DC609" s="2023" t="s">
        <v>168</v>
      </c>
      <c r="DD609" s="2023"/>
      <c r="DE609" s="2023"/>
      <c r="DF609" s="2023"/>
      <c r="DG609" s="2023"/>
      <c r="DH609" s="2023" t="s">
        <v>169</v>
      </c>
      <c r="DI609" s="2023"/>
      <c r="DJ609" s="2023"/>
      <c r="DK609" s="2023"/>
      <c r="DL609" s="2023"/>
      <c r="DM609" s="2023" t="s">
        <v>483</v>
      </c>
      <c r="DN609" s="2023"/>
      <c r="DO609" s="2023"/>
      <c r="DP609" s="2023"/>
      <c r="DQ609" s="2023"/>
      <c r="DR609" s="2023" t="s">
        <v>31</v>
      </c>
      <c r="DS609" s="2023"/>
      <c r="DT609" s="2023"/>
      <c r="DU609" s="2023"/>
      <c r="DV609" s="2023"/>
      <c r="DX609" s="2023" t="s">
        <v>657</v>
      </c>
      <c r="DY609" s="2023"/>
      <c r="DZ609" s="2023"/>
      <c r="EA609" s="2023"/>
      <c r="EB609" s="2023"/>
      <c r="EC609" s="2023" t="s">
        <v>330</v>
      </c>
      <c r="ED609" s="2023"/>
      <c r="EE609" s="2023"/>
      <c r="EF609" s="2023"/>
      <c r="EG609" s="2023"/>
      <c r="EH609" s="2023" t="s">
        <v>168</v>
      </c>
      <c r="EI609" s="2023"/>
      <c r="EJ609" s="2023"/>
      <c r="EK609" s="2023"/>
      <c r="EL609" s="2023"/>
      <c r="EM609" s="2023" t="s">
        <v>169</v>
      </c>
      <c r="EN609" s="2023"/>
      <c r="EO609" s="2023"/>
      <c r="EP609" s="2023"/>
      <c r="EQ609" s="2023"/>
      <c r="ER609" s="2023" t="s">
        <v>483</v>
      </c>
      <c r="ES609" s="2023"/>
      <c r="ET609" s="2023"/>
      <c r="EU609" s="2023"/>
      <c r="EV609" s="2023"/>
      <c r="EW609" s="2023" t="s">
        <v>31</v>
      </c>
      <c r="EX609" s="2023"/>
      <c r="EY609" s="2023"/>
      <c r="EZ609" s="2023"/>
      <c r="FA609" s="202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1874">
        <f t="shared" ref="BE610:BE634" si="0">IF(AND(AC728&lt;=0.5,AC728&gt;=0.36),1,0)</f>
        <v>1</v>
      </c>
      <c r="BF610" s="1875"/>
      <c r="BG610" s="1871">
        <f t="shared" ref="BG610:BG634" si="1">IF(BE610=1,G728,0)</f>
        <v>4</v>
      </c>
      <c r="BH610" s="1873"/>
      <c r="BI610" s="1874">
        <f t="shared" ref="BI610:BI634" si="2">IF(AND(AC728&lt;=0.35,AC728&gt;0),1,0)</f>
        <v>0</v>
      </c>
      <c r="BJ610" s="1875"/>
      <c r="BK610" s="1871">
        <f t="shared" ref="BK610:BK634" si="3">IF(BI610=1,G728,0)</f>
        <v>0</v>
      </c>
      <c r="BL610" s="1873"/>
      <c r="BM610" s="58"/>
      <c r="BN610" s="1868">
        <f t="shared" ref="BN610:BN634" si="4">IF(B728="SRO/Studio",G728,0)</f>
        <v>4</v>
      </c>
      <c r="BO610" s="1869"/>
      <c r="BP610" s="1869"/>
      <c r="BQ610" s="1869"/>
      <c r="BR610" s="1870"/>
      <c r="BS610" s="1867">
        <f t="shared" ref="BS610:BS634" si="5">IF(B728="1 Bedroom",G728,0)</f>
        <v>0</v>
      </c>
      <c r="BT610" s="1867"/>
      <c r="BU610" s="1867"/>
      <c r="BV610" s="1867"/>
      <c r="BW610" s="1867"/>
      <c r="BX610" s="1867">
        <f t="shared" ref="BX610:BX634" si="6">IF(B728="2 Bedrooms",G728,0)</f>
        <v>0</v>
      </c>
      <c r="BY610" s="1867"/>
      <c r="BZ610" s="1867"/>
      <c r="CA610" s="1867"/>
      <c r="CB610" s="1867"/>
      <c r="CC610" s="1867">
        <f t="shared" ref="CC610:CC634" si="7">IF(B728="3 Bedrooms",G728,0)</f>
        <v>0</v>
      </c>
      <c r="CD610" s="1867"/>
      <c r="CE610" s="1867"/>
      <c r="CF610" s="1867"/>
      <c r="CG610" s="1867"/>
      <c r="CH610" s="1867">
        <f t="shared" ref="CH610:CH634" si="8">IF(B728="4 Bedrooms",G728,0)</f>
        <v>0</v>
      </c>
      <c r="CI610" s="1867"/>
      <c r="CJ610" s="1867"/>
      <c r="CK610" s="1867"/>
      <c r="CL610" s="1867"/>
      <c r="CM610" s="1867">
        <f t="shared" ref="CM610:CM634" si="9">IF(B728="5 Bedrooms",G728,0)</f>
        <v>0</v>
      </c>
      <c r="CN610" s="1867"/>
      <c r="CO610" s="1867"/>
      <c r="CP610" s="1867"/>
      <c r="CQ610" s="1867"/>
      <c r="CR610" s="265"/>
      <c r="CS610" s="2225">
        <f t="shared" ref="CS610:CS634" si="10">IF(AND(B728="SRO/Studio",AC728&lt;=0.3),G728,0)</f>
        <v>0</v>
      </c>
      <c r="CT610" s="2225"/>
      <c r="CU610" s="2225"/>
      <c r="CV610" s="2225"/>
      <c r="CW610" s="2225"/>
      <c r="CX610" s="2225">
        <f t="shared" ref="CX610:CX634" si="11">IF(AND(B728="1 Bedroom",AC728&lt;=0.3),G728,0)</f>
        <v>0</v>
      </c>
      <c r="CY610" s="2225"/>
      <c r="CZ610" s="2225"/>
      <c r="DA610" s="2225"/>
      <c r="DB610" s="2225"/>
      <c r="DC610" s="2225">
        <f t="shared" ref="DC610:DC634" si="12">IF(AND(B728="2 Bedrooms",AC728&lt;=0.3),G728,0)</f>
        <v>0</v>
      </c>
      <c r="DD610" s="2225"/>
      <c r="DE610" s="2225"/>
      <c r="DF610" s="2225"/>
      <c r="DG610" s="2225"/>
      <c r="DH610" s="2225">
        <f t="shared" ref="DH610:DH634" si="13">IF(AND(B728="3 Bedrooms",AC728&lt;=0.3),G728,0)</f>
        <v>0</v>
      </c>
      <c r="DI610" s="2225"/>
      <c r="DJ610" s="2225"/>
      <c r="DK610" s="2225"/>
      <c r="DL610" s="2225"/>
      <c r="DM610" s="2225">
        <f t="shared" ref="DM610:DM634" si="14">IF(AND(B728="4 Bedrooms",AC728&lt;=0.3),G728,0)</f>
        <v>0</v>
      </c>
      <c r="DN610" s="2225"/>
      <c r="DO610" s="2225"/>
      <c r="DP610" s="2225"/>
      <c r="DQ610" s="2225"/>
      <c r="DR610" s="2225">
        <f t="shared" ref="DR610:DR634" si="15">IF(AND(B728="5 Bedrooms",AC728&lt;=0.3),G728,0)</f>
        <v>0</v>
      </c>
      <c r="DS610" s="2225"/>
      <c r="DT610" s="2225"/>
      <c r="DU610" s="2225"/>
      <c r="DV610" s="2225"/>
      <c r="DX610" s="1874">
        <f t="shared" ref="DX610:DX634" si="16">IF(BN610&gt;0,O728," ")</f>
        <v>1171.1200000000001</v>
      </c>
      <c r="DY610" s="2021"/>
      <c r="DZ610" s="2021"/>
      <c r="EA610" s="2021"/>
      <c r="EB610" s="1875"/>
      <c r="EC610" s="1874" t="str">
        <f t="shared" ref="EC610:EC634" si="17">IF(BS610&gt;0,O728," ")</f>
        <v xml:space="preserve"> </v>
      </c>
      <c r="ED610" s="2021"/>
      <c r="EE610" s="2021"/>
      <c r="EF610" s="2021"/>
      <c r="EG610" s="1875"/>
      <c r="EH610" s="1874" t="str">
        <f t="shared" ref="EH610:EH634" si="18">IF(BX610&gt;0,O728," ")</f>
        <v xml:space="preserve"> </v>
      </c>
      <c r="EI610" s="2021"/>
      <c r="EJ610" s="2021"/>
      <c r="EK610" s="2021"/>
      <c r="EL610" s="1875"/>
      <c r="EM610" s="1874" t="str">
        <f t="shared" ref="EM610:EM634" si="19">IF(CC610&gt;0,O728," ")</f>
        <v xml:space="preserve"> </v>
      </c>
      <c r="EN610" s="2021"/>
      <c r="EO610" s="2021"/>
      <c r="EP610" s="2021"/>
      <c r="EQ610" s="1875"/>
      <c r="ER610" s="1874" t="str">
        <f t="shared" ref="ER610:ER634" si="20">IF(CH610&gt;0,O728," ")</f>
        <v xml:space="preserve"> </v>
      </c>
      <c r="ES610" s="2021"/>
      <c r="ET610" s="2021"/>
      <c r="EU610" s="2021"/>
      <c r="EV610" s="1875"/>
      <c r="EW610" s="1874" t="str">
        <f t="shared" ref="EW610:EW634" si="21">IF(CM610&gt;0,O728," ")</f>
        <v xml:space="preserve"> </v>
      </c>
      <c r="EX610" s="2021"/>
      <c r="EY610" s="2021"/>
      <c r="EZ610" s="2021"/>
      <c r="FA610" s="1875"/>
    </row>
    <row r="611" spans="1:157" s="7" customFormat="1" ht="13.2">
      <c r="A611" s="87" t="s">
        <v>484</v>
      </c>
      <c r="B611" s="12" t="s">
        <v>486</v>
      </c>
      <c r="C611" s="12"/>
      <c r="D611" s="12"/>
      <c r="E611" s="12"/>
      <c r="F611" s="12"/>
      <c r="G611" s="1895">
        <f>C572</f>
        <v>0</v>
      </c>
      <c r="H611" s="1895"/>
      <c r="I611" s="1895"/>
      <c r="J611" s="1895"/>
      <c r="K611" s="1895"/>
      <c r="L611" s="1895"/>
      <c r="M611" s="1895"/>
      <c r="N611" s="1895"/>
      <c r="O611" s="1895"/>
      <c r="P611" s="1895"/>
      <c r="Q611" s="1895"/>
      <c r="R611" s="1895"/>
      <c r="S611" s="12"/>
      <c r="T611" s="87" t="s">
        <v>670</v>
      </c>
      <c r="U611" s="12" t="s">
        <v>486</v>
      </c>
      <c r="V611" s="12"/>
      <c r="W611" s="12"/>
      <c r="X611" s="12"/>
      <c r="Y611" s="12"/>
      <c r="Z611" s="1895">
        <f>C573</f>
        <v>0</v>
      </c>
      <c r="AA611" s="1895"/>
      <c r="AB611" s="1895"/>
      <c r="AC611" s="1895"/>
      <c r="AD611" s="1895"/>
      <c r="AE611" s="1895"/>
      <c r="AF611" s="1895"/>
      <c r="AG611" s="1895"/>
      <c r="AH611" s="1895"/>
      <c r="AI611" s="1895"/>
      <c r="AJ611" s="1895"/>
      <c r="AK611" s="1895"/>
      <c r="AL611" s="12"/>
      <c r="AM611" s="39"/>
      <c r="AN611" s="39"/>
      <c r="AO611" s="39"/>
      <c r="AP611" s="39"/>
      <c r="AQ611" s="39"/>
      <c r="AR611" s="39"/>
      <c r="AS611" s="39"/>
      <c r="AT611" s="39"/>
      <c r="AU611" s="39"/>
      <c r="AV611" s="39"/>
      <c r="AW611" s="39"/>
      <c r="AX611" s="39"/>
      <c r="AY611" s="39"/>
      <c r="BA611" s="7" t="s">
        <v>168</v>
      </c>
      <c r="BB611" s="58"/>
      <c r="BC611" s="58"/>
      <c r="BD611" s="58"/>
      <c r="BE611" s="1874">
        <f t="shared" si="0"/>
        <v>1</v>
      </c>
      <c r="BF611" s="1875"/>
      <c r="BG611" s="1871">
        <f t="shared" si="1"/>
        <v>17</v>
      </c>
      <c r="BH611" s="1873"/>
      <c r="BI611" s="1874">
        <f t="shared" si="2"/>
        <v>0</v>
      </c>
      <c r="BJ611" s="1875"/>
      <c r="BK611" s="1871">
        <f t="shared" si="3"/>
        <v>0</v>
      </c>
      <c r="BL611" s="1873"/>
      <c r="BM611" s="58"/>
      <c r="BN611" s="1868">
        <f t="shared" si="4"/>
        <v>0</v>
      </c>
      <c r="BO611" s="1869"/>
      <c r="BP611" s="1869"/>
      <c r="BQ611" s="1869"/>
      <c r="BR611" s="1870"/>
      <c r="BS611" s="1867">
        <f t="shared" si="5"/>
        <v>17</v>
      </c>
      <c r="BT611" s="1867"/>
      <c r="BU611" s="1867"/>
      <c r="BV611" s="1867"/>
      <c r="BW611" s="1867"/>
      <c r="BX611" s="1867">
        <f t="shared" si="6"/>
        <v>0</v>
      </c>
      <c r="BY611" s="1867"/>
      <c r="BZ611" s="1867"/>
      <c r="CA611" s="1867"/>
      <c r="CB611" s="1867"/>
      <c r="CC611" s="1867">
        <f t="shared" si="7"/>
        <v>0</v>
      </c>
      <c r="CD611" s="1867"/>
      <c r="CE611" s="1867"/>
      <c r="CF611" s="1867"/>
      <c r="CG611" s="1867"/>
      <c r="CH611" s="1867">
        <f t="shared" si="8"/>
        <v>0</v>
      </c>
      <c r="CI611" s="1867"/>
      <c r="CJ611" s="1867"/>
      <c r="CK611" s="1867"/>
      <c r="CL611" s="1867"/>
      <c r="CM611" s="1867">
        <f t="shared" si="9"/>
        <v>0</v>
      </c>
      <c r="CN611" s="1867"/>
      <c r="CO611" s="1867"/>
      <c r="CP611" s="1867"/>
      <c r="CQ611" s="1867"/>
      <c r="CR611" s="265"/>
      <c r="CS611" s="2225">
        <f t="shared" si="10"/>
        <v>0</v>
      </c>
      <c r="CT611" s="2225"/>
      <c r="CU611" s="2225"/>
      <c r="CV611" s="2225"/>
      <c r="CW611" s="2225"/>
      <c r="CX611" s="2225">
        <f t="shared" si="11"/>
        <v>0</v>
      </c>
      <c r="CY611" s="2225"/>
      <c r="CZ611" s="2225"/>
      <c r="DA611" s="2225"/>
      <c r="DB611" s="2225"/>
      <c r="DC611" s="2225">
        <f t="shared" si="12"/>
        <v>0</v>
      </c>
      <c r="DD611" s="2225"/>
      <c r="DE611" s="2225"/>
      <c r="DF611" s="2225"/>
      <c r="DG611" s="2225"/>
      <c r="DH611" s="2225">
        <f t="shared" si="13"/>
        <v>0</v>
      </c>
      <c r="DI611" s="2225"/>
      <c r="DJ611" s="2225"/>
      <c r="DK611" s="2225"/>
      <c r="DL611" s="2225"/>
      <c r="DM611" s="2225">
        <f t="shared" si="14"/>
        <v>0</v>
      </c>
      <c r="DN611" s="2225"/>
      <c r="DO611" s="2225"/>
      <c r="DP611" s="2225"/>
      <c r="DQ611" s="2225"/>
      <c r="DR611" s="2225">
        <f t="shared" si="15"/>
        <v>0</v>
      </c>
      <c r="DS611" s="2225"/>
      <c r="DT611" s="2225"/>
      <c r="DU611" s="2225"/>
      <c r="DV611" s="2225"/>
      <c r="DX611" s="1874" t="str">
        <f t="shared" si="16"/>
        <v xml:space="preserve"> </v>
      </c>
      <c r="DY611" s="2021"/>
      <c r="DZ611" s="2021"/>
      <c r="EA611" s="2021"/>
      <c r="EB611" s="1875"/>
      <c r="EC611" s="1874">
        <f t="shared" si="17"/>
        <v>1337.28</v>
      </c>
      <c r="ED611" s="2021"/>
      <c r="EE611" s="2021"/>
      <c r="EF611" s="2021"/>
      <c r="EG611" s="1875"/>
      <c r="EH611" s="1874" t="str">
        <f t="shared" si="18"/>
        <v xml:space="preserve"> </v>
      </c>
      <c r="EI611" s="2021"/>
      <c r="EJ611" s="2021"/>
      <c r="EK611" s="2021"/>
      <c r="EL611" s="1875"/>
      <c r="EM611" s="1874" t="str">
        <f t="shared" si="19"/>
        <v xml:space="preserve"> </v>
      </c>
      <c r="EN611" s="2021"/>
      <c r="EO611" s="2021"/>
      <c r="EP611" s="2021"/>
      <c r="EQ611" s="1875"/>
      <c r="ER611" s="1874" t="str">
        <f t="shared" si="20"/>
        <v xml:space="preserve"> </v>
      </c>
      <c r="ES611" s="2021"/>
      <c r="ET611" s="2021"/>
      <c r="EU611" s="2021"/>
      <c r="EV611" s="1875"/>
      <c r="EW611" s="1874" t="str">
        <f t="shared" si="21"/>
        <v xml:space="preserve"> </v>
      </c>
      <c r="EX611" s="2021"/>
      <c r="EY611" s="2021"/>
      <c r="EZ611" s="2021"/>
      <c r="FA611" s="1875"/>
    </row>
    <row r="612" spans="1:157" ht="13.2">
      <c r="A612" s="35"/>
      <c r="B612" s="12" t="s">
        <v>90</v>
      </c>
      <c r="G612" s="1894"/>
      <c r="H612" s="1894"/>
      <c r="I612" s="1894"/>
      <c r="J612" s="1894"/>
      <c r="K612" s="1894"/>
      <c r="L612" s="1894"/>
      <c r="M612" s="1894"/>
      <c r="N612" s="1894"/>
      <c r="O612" s="1894"/>
      <c r="P612" s="1894"/>
      <c r="Q612" s="1894"/>
      <c r="R612" s="1894"/>
      <c r="T612" s="35"/>
      <c r="U612" s="12" t="s">
        <v>90</v>
      </c>
      <c r="Z612" s="1894"/>
      <c r="AA612" s="1894"/>
      <c r="AB612" s="1894"/>
      <c r="AC612" s="1894"/>
      <c r="AD612" s="1894"/>
      <c r="AE612" s="1894"/>
      <c r="AF612" s="1894"/>
      <c r="AG612" s="1894"/>
      <c r="AH612" s="1894"/>
      <c r="AI612" s="1894"/>
      <c r="AJ612" s="1894"/>
      <c r="AK612" s="1894"/>
      <c r="BA612" s="7" t="s">
        <v>169</v>
      </c>
      <c r="BB612" s="58"/>
      <c r="BC612" s="58"/>
      <c r="BD612" s="58"/>
      <c r="BE612" s="1874">
        <f t="shared" si="0"/>
        <v>1</v>
      </c>
      <c r="BF612" s="1875"/>
      <c r="BG612" s="1871">
        <f t="shared" si="1"/>
        <v>28</v>
      </c>
      <c r="BH612" s="1873"/>
      <c r="BI612" s="1874">
        <f t="shared" si="2"/>
        <v>0</v>
      </c>
      <c r="BJ612" s="1875"/>
      <c r="BK612" s="1871">
        <f t="shared" si="3"/>
        <v>0</v>
      </c>
      <c r="BL612" s="1873"/>
      <c r="BM612" s="58"/>
      <c r="BN612" s="1868">
        <f t="shared" si="4"/>
        <v>0</v>
      </c>
      <c r="BO612" s="1869"/>
      <c r="BP612" s="1869"/>
      <c r="BQ612" s="1869"/>
      <c r="BR612" s="1870"/>
      <c r="BS612" s="1867">
        <f t="shared" si="5"/>
        <v>0</v>
      </c>
      <c r="BT612" s="1867"/>
      <c r="BU612" s="1867"/>
      <c r="BV612" s="1867"/>
      <c r="BW612" s="1867"/>
      <c r="BX612" s="1867">
        <f t="shared" si="6"/>
        <v>28</v>
      </c>
      <c r="BY612" s="1867"/>
      <c r="BZ612" s="1867"/>
      <c r="CA612" s="1867"/>
      <c r="CB612" s="1867"/>
      <c r="CC612" s="1867">
        <f t="shared" si="7"/>
        <v>0</v>
      </c>
      <c r="CD612" s="1867"/>
      <c r="CE612" s="1867"/>
      <c r="CF612" s="1867"/>
      <c r="CG612" s="1867"/>
      <c r="CH612" s="1867">
        <f t="shared" si="8"/>
        <v>0</v>
      </c>
      <c r="CI612" s="1867"/>
      <c r="CJ612" s="1867"/>
      <c r="CK612" s="1867"/>
      <c r="CL612" s="1867"/>
      <c r="CM612" s="1867">
        <f t="shared" si="9"/>
        <v>0</v>
      </c>
      <c r="CN612" s="1867"/>
      <c r="CO612" s="1867"/>
      <c r="CP612" s="1867"/>
      <c r="CQ612" s="1867"/>
      <c r="CR612" s="265"/>
      <c r="CS612" s="2225">
        <f t="shared" si="10"/>
        <v>0</v>
      </c>
      <c r="CT612" s="2225"/>
      <c r="CU612" s="2225"/>
      <c r="CV612" s="2225"/>
      <c r="CW612" s="2225"/>
      <c r="CX612" s="2225">
        <f t="shared" si="11"/>
        <v>0</v>
      </c>
      <c r="CY612" s="2225"/>
      <c r="CZ612" s="2225"/>
      <c r="DA612" s="2225"/>
      <c r="DB612" s="2225"/>
      <c r="DC612" s="2225">
        <f t="shared" si="12"/>
        <v>0</v>
      </c>
      <c r="DD612" s="2225"/>
      <c r="DE612" s="2225"/>
      <c r="DF612" s="2225"/>
      <c r="DG612" s="2225"/>
      <c r="DH612" s="2225">
        <f t="shared" si="13"/>
        <v>0</v>
      </c>
      <c r="DI612" s="2225"/>
      <c r="DJ612" s="2225"/>
      <c r="DK612" s="2225"/>
      <c r="DL612" s="2225"/>
      <c r="DM612" s="2225">
        <f t="shared" si="14"/>
        <v>0</v>
      </c>
      <c r="DN612" s="2225"/>
      <c r="DO612" s="2225"/>
      <c r="DP612" s="2225"/>
      <c r="DQ612" s="2225"/>
      <c r="DR612" s="2225">
        <f t="shared" si="15"/>
        <v>0</v>
      </c>
      <c r="DS612" s="2225"/>
      <c r="DT612" s="2225"/>
      <c r="DU612" s="2225"/>
      <c r="DV612" s="2225"/>
      <c r="DX612" s="1874" t="str">
        <f t="shared" si="16"/>
        <v xml:space="preserve"> </v>
      </c>
      <c r="DY612" s="2021"/>
      <c r="DZ612" s="2021"/>
      <c r="EA612" s="2021"/>
      <c r="EB612" s="1875"/>
      <c r="EC612" s="1874" t="str">
        <f t="shared" si="17"/>
        <v xml:space="preserve"> </v>
      </c>
      <c r="ED612" s="2021"/>
      <c r="EE612" s="2021"/>
      <c r="EF612" s="2021"/>
      <c r="EG612" s="1875"/>
      <c r="EH612" s="1874">
        <f t="shared" si="18"/>
        <v>1494.96</v>
      </c>
      <c r="EI612" s="2021"/>
      <c r="EJ612" s="2021"/>
      <c r="EK612" s="2021"/>
      <c r="EL612" s="1875"/>
      <c r="EM612" s="1874" t="str">
        <f t="shared" si="19"/>
        <v xml:space="preserve"> </v>
      </c>
      <c r="EN612" s="2021"/>
      <c r="EO612" s="2021"/>
      <c r="EP612" s="2021"/>
      <c r="EQ612" s="1875"/>
      <c r="ER612" s="1874" t="str">
        <f t="shared" si="20"/>
        <v xml:space="preserve"> </v>
      </c>
      <c r="ES612" s="2021"/>
      <c r="ET612" s="2021"/>
      <c r="EU612" s="2021"/>
      <c r="EV612" s="1875"/>
      <c r="EW612" s="1874" t="str">
        <f t="shared" si="21"/>
        <v xml:space="preserve"> </v>
      </c>
      <c r="EX612" s="2021"/>
      <c r="EY612" s="2021"/>
      <c r="EZ612" s="2021"/>
      <c r="FA612" s="1875"/>
    </row>
    <row r="613" spans="1:157" ht="13.2">
      <c r="A613" s="35"/>
      <c r="B613" s="12" t="s">
        <v>604</v>
      </c>
      <c r="G613" s="1894"/>
      <c r="H613" s="1894"/>
      <c r="I613" s="1894"/>
      <c r="J613" s="1894"/>
      <c r="K613" s="1894"/>
      <c r="L613" s="1894"/>
      <c r="M613" s="1894"/>
      <c r="N613" s="1894"/>
      <c r="O613" s="1894"/>
      <c r="P613" s="1894"/>
      <c r="Q613" s="1894"/>
      <c r="R613" s="1894"/>
      <c r="T613" s="35"/>
      <c r="U613" s="12" t="s">
        <v>604</v>
      </c>
      <c r="Z613" s="1944"/>
      <c r="AA613" s="1944"/>
      <c r="AB613" s="1944"/>
      <c r="AC613" s="1944"/>
      <c r="AD613" s="1944"/>
      <c r="AE613" s="1944"/>
      <c r="AF613" s="1944"/>
      <c r="AG613" s="1944"/>
      <c r="AH613" s="1944"/>
      <c r="AI613" s="1944"/>
      <c r="AJ613" s="1944"/>
      <c r="AK613" s="1944"/>
      <c r="BA613" s="7" t="s">
        <v>170</v>
      </c>
      <c r="BB613" s="58"/>
      <c r="BC613" s="58"/>
      <c r="BD613" s="58"/>
      <c r="BE613" s="1874">
        <f t="shared" si="0"/>
        <v>1</v>
      </c>
      <c r="BF613" s="1875"/>
      <c r="BG613" s="1871">
        <f t="shared" si="1"/>
        <v>12</v>
      </c>
      <c r="BH613" s="1873"/>
      <c r="BI613" s="1874">
        <f t="shared" si="2"/>
        <v>0</v>
      </c>
      <c r="BJ613" s="1875"/>
      <c r="BK613" s="1871">
        <f t="shared" si="3"/>
        <v>0</v>
      </c>
      <c r="BL613" s="1873"/>
      <c r="BM613" s="58"/>
      <c r="BN613" s="1868">
        <f t="shared" si="4"/>
        <v>0</v>
      </c>
      <c r="BO613" s="1869"/>
      <c r="BP613" s="1869"/>
      <c r="BQ613" s="1869"/>
      <c r="BR613" s="1870"/>
      <c r="BS613" s="1867">
        <f t="shared" si="5"/>
        <v>0</v>
      </c>
      <c r="BT613" s="1867"/>
      <c r="BU613" s="1867"/>
      <c r="BV613" s="1867"/>
      <c r="BW613" s="1867"/>
      <c r="BX613" s="1867">
        <f t="shared" si="6"/>
        <v>0</v>
      </c>
      <c r="BY613" s="1867"/>
      <c r="BZ613" s="1867"/>
      <c r="CA613" s="1867"/>
      <c r="CB613" s="1867"/>
      <c r="CC613" s="1867">
        <f t="shared" si="7"/>
        <v>12</v>
      </c>
      <c r="CD613" s="1867"/>
      <c r="CE613" s="1867"/>
      <c r="CF613" s="1867"/>
      <c r="CG613" s="1867"/>
      <c r="CH613" s="1867">
        <f t="shared" si="8"/>
        <v>0</v>
      </c>
      <c r="CI613" s="1867"/>
      <c r="CJ613" s="1867"/>
      <c r="CK613" s="1867"/>
      <c r="CL613" s="1867"/>
      <c r="CM613" s="1867">
        <f t="shared" si="9"/>
        <v>0</v>
      </c>
      <c r="CN613" s="1867"/>
      <c r="CO613" s="1867"/>
      <c r="CP613" s="1867"/>
      <c r="CQ613" s="1867"/>
      <c r="CR613" s="265"/>
      <c r="CS613" s="2225">
        <f t="shared" si="10"/>
        <v>0</v>
      </c>
      <c r="CT613" s="2225"/>
      <c r="CU613" s="2225"/>
      <c r="CV613" s="2225"/>
      <c r="CW613" s="2225"/>
      <c r="CX613" s="2225">
        <f t="shared" si="11"/>
        <v>0</v>
      </c>
      <c r="CY613" s="2225"/>
      <c r="CZ613" s="2225"/>
      <c r="DA613" s="2225"/>
      <c r="DB613" s="2225"/>
      <c r="DC613" s="2225">
        <f t="shared" si="12"/>
        <v>0</v>
      </c>
      <c r="DD613" s="2225"/>
      <c r="DE613" s="2225"/>
      <c r="DF613" s="2225"/>
      <c r="DG613" s="2225"/>
      <c r="DH613" s="2225">
        <f t="shared" si="13"/>
        <v>0</v>
      </c>
      <c r="DI613" s="2225"/>
      <c r="DJ613" s="2225"/>
      <c r="DK613" s="2225"/>
      <c r="DL613" s="2225"/>
      <c r="DM613" s="2225">
        <f t="shared" si="14"/>
        <v>0</v>
      </c>
      <c r="DN613" s="2225"/>
      <c r="DO613" s="2225"/>
      <c r="DP613" s="2225"/>
      <c r="DQ613" s="2225"/>
      <c r="DR613" s="2225">
        <f t="shared" si="15"/>
        <v>0</v>
      </c>
      <c r="DS613" s="2225"/>
      <c r="DT613" s="2225"/>
      <c r="DU613" s="2225"/>
      <c r="DV613" s="2225"/>
      <c r="DX613" s="1874" t="str">
        <f t="shared" si="16"/>
        <v xml:space="preserve"> </v>
      </c>
      <c r="DY613" s="2021"/>
      <c r="DZ613" s="2021"/>
      <c r="EA613" s="2021"/>
      <c r="EB613" s="1875"/>
      <c r="EC613" s="1874" t="str">
        <f t="shared" si="17"/>
        <v xml:space="preserve"> </v>
      </c>
      <c r="ED613" s="2021"/>
      <c r="EE613" s="2021"/>
      <c r="EF613" s="2021"/>
      <c r="EG613" s="1875"/>
      <c r="EH613" s="1874" t="str">
        <f t="shared" si="18"/>
        <v xml:space="preserve"> </v>
      </c>
      <c r="EI613" s="2021"/>
      <c r="EJ613" s="2021"/>
      <c r="EK613" s="2021"/>
      <c r="EL613" s="1875"/>
      <c r="EM613" s="1874">
        <f t="shared" si="19"/>
        <v>1657.6000000000001</v>
      </c>
      <c r="EN613" s="2021"/>
      <c r="EO613" s="2021"/>
      <c r="EP613" s="2021"/>
      <c r="EQ613" s="1875"/>
      <c r="ER613" s="1874" t="str">
        <f t="shared" si="20"/>
        <v xml:space="preserve"> </v>
      </c>
      <c r="ES613" s="2021"/>
      <c r="ET613" s="2021"/>
      <c r="EU613" s="2021"/>
      <c r="EV613" s="1875"/>
      <c r="EW613" s="1874" t="str">
        <f t="shared" si="21"/>
        <v xml:space="preserve"> </v>
      </c>
      <c r="EX613" s="2021"/>
      <c r="EY613" s="2021"/>
      <c r="EZ613" s="2021"/>
      <c r="FA613" s="1875"/>
    </row>
    <row r="614" spans="1:157" ht="13.2">
      <c r="A614" s="35"/>
      <c r="B614" s="12" t="s">
        <v>17</v>
      </c>
      <c r="G614" s="1894"/>
      <c r="H614" s="1894"/>
      <c r="I614" s="1894"/>
      <c r="J614" s="1894"/>
      <c r="K614" s="1894"/>
      <c r="L614" s="1894"/>
      <c r="M614" s="1894"/>
      <c r="N614" s="1894"/>
      <c r="O614" s="1894"/>
      <c r="P614" s="1894"/>
      <c r="Q614" s="1894"/>
      <c r="R614" s="1894"/>
      <c r="T614" s="35"/>
      <c r="U614" s="12" t="s">
        <v>17</v>
      </c>
      <c r="Z614" s="1944"/>
      <c r="AA614" s="1944"/>
      <c r="AB614" s="1944"/>
      <c r="AC614" s="1944"/>
      <c r="AD614" s="1944"/>
      <c r="AE614" s="1944"/>
      <c r="AF614" s="1944"/>
      <c r="AG614" s="1944"/>
      <c r="AH614" s="1944"/>
      <c r="AI614" s="1944"/>
      <c r="AJ614" s="1944"/>
      <c r="AK614" s="1944"/>
      <c r="BA614" s="7" t="s">
        <v>31</v>
      </c>
      <c r="BB614" s="58"/>
      <c r="BC614" s="58"/>
      <c r="BD614" s="58"/>
      <c r="BE614" s="1874">
        <f t="shared" si="0"/>
        <v>1</v>
      </c>
      <c r="BF614" s="1875"/>
      <c r="BG614" s="1871">
        <f t="shared" si="1"/>
        <v>2</v>
      </c>
      <c r="BH614" s="1873"/>
      <c r="BI614" s="1874">
        <f t="shared" si="2"/>
        <v>0</v>
      </c>
      <c r="BJ614" s="1875"/>
      <c r="BK614" s="1871">
        <f t="shared" si="3"/>
        <v>0</v>
      </c>
      <c r="BL614" s="1873"/>
      <c r="BM614" s="58"/>
      <c r="BN614" s="1868">
        <f t="shared" si="4"/>
        <v>0</v>
      </c>
      <c r="BO614" s="1869"/>
      <c r="BP614" s="1869"/>
      <c r="BQ614" s="1869"/>
      <c r="BR614" s="1870"/>
      <c r="BS614" s="1867">
        <f t="shared" si="5"/>
        <v>0</v>
      </c>
      <c r="BT614" s="1867"/>
      <c r="BU614" s="1867"/>
      <c r="BV614" s="1867"/>
      <c r="BW614" s="1867"/>
      <c r="BX614" s="1867">
        <f t="shared" si="6"/>
        <v>0</v>
      </c>
      <c r="BY614" s="1867"/>
      <c r="BZ614" s="1867"/>
      <c r="CA614" s="1867"/>
      <c r="CB614" s="1867"/>
      <c r="CC614" s="1867">
        <f t="shared" si="7"/>
        <v>0</v>
      </c>
      <c r="CD614" s="1867"/>
      <c r="CE614" s="1867"/>
      <c r="CF614" s="1867"/>
      <c r="CG614" s="1867"/>
      <c r="CH614" s="1867">
        <f t="shared" si="8"/>
        <v>2</v>
      </c>
      <c r="CI614" s="1867"/>
      <c r="CJ614" s="1867"/>
      <c r="CK614" s="1867"/>
      <c r="CL614" s="1867"/>
      <c r="CM614" s="1867">
        <f t="shared" si="9"/>
        <v>0</v>
      </c>
      <c r="CN614" s="1867"/>
      <c r="CO614" s="1867"/>
      <c r="CP614" s="1867"/>
      <c r="CQ614" s="1867"/>
      <c r="CR614" s="265"/>
      <c r="CS614" s="2225">
        <f t="shared" si="10"/>
        <v>0</v>
      </c>
      <c r="CT614" s="2225"/>
      <c r="CU614" s="2225"/>
      <c r="CV614" s="2225"/>
      <c r="CW614" s="2225"/>
      <c r="CX614" s="2225">
        <f t="shared" si="11"/>
        <v>0</v>
      </c>
      <c r="CY614" s="2225"/>
      <c r="CZ614" s="2225"/>
      <c r="DA614" s="2225"/>
      <c r="DB614" s="2225"/>
      <c r="DC614" s="2225">
        <f t="shared" si="12"/>
        <v>0</v>
      </c>
      <c r="DD614" s="2225"/>
      <c r="DE614" s="2225"/>
      <c r="DF614" s="2225"/>
      <c r="DG614" s="2225"/>
      <c r="DH614" s="2225">
        <f t="shared" si="13"/>
        <v>0</v>
      </c>
      <c r="DI614" s="2225"/>
      <c r="DJ614" s="2225"/>
      <c r="DK614" s="2225"/>
      <c r="DL614" s="2225"/>
      <c r="DM614" s="2225">
        <f t="shared" si="14"/>
        <v>0</v>
      </c>
      <c r="DN614" s="2225"/>
      <c r="DO614" s="2225"/>
      <c r="DP614" s="2225"/>
      <c r="DQ614" s="2225"/>
      <c r="DR614" s="2225">
        <f t="shared" si="15"/>
        <v>0</v>
      </c>
      <c r="DS614" s="2225"/>
      <c r="DT614" s="2225"/>
      <c r="DU614" s="2225"/>
      <c r="DV614" s="2225"/>
      <c r="DX614" s="1874" t="str">
        <f t="shared" si="16"/>
        <v xml:space="preserve"> </v>
      </c>
      <c r="DY614" s="2021"/>
      <c r="DZ614" s="2021"/>
      <c r="EA614" s="2021"/>
      <c r="EB614" s="1875"/>
      <c r="EC614" s="1874" t="str">
        <f t="shared" si="17"/>
        <v xml:space="preserve"> </v>
      </c>
      <c r="ED614" s="2021"/>
      <c r="EE614" s="2021"/>
      <c r="EF614" s="2021"/>
      <c r="EG614" s="1875"/>
      <c r="EH614" s="1874" t="str">
        <f t="shared" si="18"/>
        <v xml:space="preserve"> </v>
      </c>
      <c r="EI614" s="2021"/>
      <c r="EJ614" s="2021"/>
      <c r="EK614" s="2021"/>
      <c r="EL614" s="1875"/>
      <c r="EM614" s="1874" t="str">
        <f t="shared" si="19"/>
        <v xml:space="preserve"> </v>
      </c>
      <c r="EN614" s="2021"/>
      <c r="EO614" s="2021"/>
      <c r="EP614" s="2021"/>
      <c r="EQ614" s="1875"/>
      <c r="ER614" s="1874">
        <f t="shared" si="20"/>
        <v>1778.92</v>
      </c>
      <c r="ES614" s="2021"/>
      <c r="ET614" s="2021"/>
      <c r="EU614" s="2021"/>
      <c r="EV614" s="1875"/>
      <c r="EW614" s="1874" t="str">
        <f t="shared" si="21"/>
        <v xml:space="preserve"> </v>
      </c>
      <c r="EX614" s="2021"/>
      <c r="EY614" s="2021"/>
      <c r="EZ614" s="2021"/>
      <c r="FA614" s="1875"/>
    </row>
    <row r="615" spans="1:157" ht="13.2">
      <c r="A615" s="35"/>
      <c r="B615" s="12" t="s">
        <v>321</v>
      </c>
      <c r="G615" s="1919"/>
      <c r="H615" s="1919"/>
      <c r="I615" s="1919"/>
      <c r="J615" s="1919"/>
      <c r="K615" s="1919"/>
      <c r="L615" s="1919"/>
      <c r="O615" s="137" t="s">
        <v>211</v>
      </c>
      <c r="P615" s="1885"/>
      <c r="Q615" s="1885"/>
      <c r="R615" s="1885"/>
      <c r="T615" s="35"/>
      <c r="U615" s="12" t="s">
        <v>321</v>
      </c>
      <c r="Z615" s="1919"/>
      <c r="AA615" s="1919"/>
      <c r="AB615" s="1919"/>
      <c r="AC615" s="1919"/>
      <c r="AD615" s="1919"/>
      <c r="AE615" s="1919"/>
      <c r="AH615" s="137" t="s">
        <v>211</v>
      </c>
      <c r="AI615" s="1885"/>
      <c r="AJ615" s="1885"/>
      <c r="AK615" s="1885"/>
      <c r="AZ615" s="58"/>
      <c r="BA615" s="58"/>
      <c r="BB615" s="58"/>
      <c r="BC615" s="58"/>
      <c r="BD615" s="58"/>
      <c r="BE615" s="1874">
        <f t="shared" si="0"/>
        <v>1</v>
      </c>
      <c r="BF615" s="1875"/>
      <c r="BG615" s="1871">
        <f t="shared" si="1"/>
        <v>1</v>
      </c>
      <c r="BH615" s="1873"/>
      <c r="BI615" s="1874">
        <f t="shared" si="2"/>
        <v>0</v>
      </c>
      <c r="BJ615" s="1875"/>
      <c r="BK615" s="1871">
        <f t="shared" si="3"/>
        <v>0</v>
      </c>
      <c r="BL615" s="1873"/>
      <c r="BM615" s="58"/>
      <c r="BN615" s="1868">
        <f t="shared" si="4"/>
        <v>0</v>
      </c>
      <c r="BO615" s="1869"/>
      <c r="BP615" s="1869"/>
      <c r="BQ615" s="1869"/>
      <c r="BR615" s="1870"/>
      <c r="BS615" s="1867">
        <f t="shared" si="5"/>
        <v>0</v>
      </c>
      <c r="BT615" s="1867"/>
      <c r="BU615" s="1867"/>
      <c r="BV615" s="1867"/>
      <c r="BW615" s="1867"/>
      <c r="BX615" s="1867">
        <f t="shared" si="6"/>
        <v>0</v>
      </c>
      <c r="BY615" s="1867"/>
      <c r="BZ615" s="1867"/>
      <c r="CA615" s="1867"/>
      <c r="CB615" s="1867"/>
      <c r="CC615" s="1867">
        <f t="shared" si="7"/>
        <v>0</v>
      </c>
      <c r="CD615" s="1867"/>
      <c r="CE615" s="1867"/>
      <c r="CF615" s="1867"/>
      <c r="CG615" s="1867"/>
      <c r="CH615" s="1867">
        <f t="shared" si="8"/>
        <v>0</v>
      </c>
      <c r="CI615" s="1867"/>
      <c r="CJ615" s="1867"/>
      <c r="CK615" s="1867"/>
      <c r="CL615" s="1867"/>
      <c r="CM615" s="1867">
        <f t="shared" si="9"/>
        <v>1</v>
      </c>
      <c r="CN615" s="1867"/>
      <c r="CO615" s="1867"/>
      <c r="CP615" s="1867"/>
      <c r="CQ615" s="1867"/>
      <c r="CR615" s="265"/>
      <c r="CS615" s="2225">
        <f t="shared" si="10"/>
        <v>0</v>
      </c>
      <c r="CT615" s="2225"/>
      <c r="CU615" s="2225"/>
      <c r="CV615" s="2225"/>
      <c r="CW615" s="2225"/>
      <c r="CX615" s="2225">
        <f t="shared" si="11"/>
        <v>0</v>
      </c>
      <c r="CY615" s="2225"/>
      <c r="CZ615" s="2225"/>
      <c r="DA615" s="2225"/>
      <c r="DB615" s="2225"/>
      <c r="DC615" s="2225">
        <f t="shared" si="12"/>
        <v>0</v>
      </c>
      <c r="DD615" s="2225"/>
      <c r="DE615" s="2225"/>
      <c r="DF615" s="2225"/>
      <c r="DG615" s="2225"/>
      <c r="DH615" s="2225">
        <f t="shared" si="13"/>
        <v>0</v>
      </c>
      <c r="DI615" s="2225"/>
      <c r="DJ615" s="2225"/>
      <c r="DK615" s="2225"/>
      <c r="DL615" s="2225"/>
      <c r="DM615" s="2225">
        <f t="shared" si="14"/>
        <v>0</v>
      </c>
      <c r="DN615" s="2225"/>
      <c r="DO615" s="2225"/>
      <c r="DP615" s="2225"/>
      <c r="DQ615" s="2225"/>
      <c r="DR615" s="2225">
        <f t="shared" si="15"/>
        <v>0</v>
      </c>
      <c r="DS615" s="2225"/>
      <c r="DT615" s="2225"/>
      <c r="DU615" s="2225"/>
      <c r="DV615" s="2225"/>
      <c r="DX615" s="1874" t="str">
        <f t="shared" si="16"/>
        <v xml:space="preserve"> </v>
      </c>
      <c r="DY615" s="2021"/>
      <c r="DZ615" s="2021"/>
      <c r="EA615" s="2021"/>
      <c r="EB615" s="1875"/>
      <c r="EC615" s="1874" t="str">
        <f t="shared" si="17"/>
        <v xml:space="preserve"> </v>
      </c>
      <c r="ED615" s="2021"/>
      <c r="EE615" s="2021"/>
      <c r="EF615" s="2021"/>
      <c r="EG615" s="1875"/>
      <c r="EH615" s="1874" t="str">
        <f t="shared" si="18"/>
        <v xml:space="preserve"> </v>
      </c>
      <c r="EI615" s="2021"/>
      <c r="EJ615" s="2021"/>
      <c r="EK615" s="2021"/>
      <c r="EL615" s="1875"/>
      <c r="EM615" s="1874" t="str">
        <f t="shared" si="19"/>
        <v xml:space="preserve"> </v>
      </c>
      <c r="EN615" s="2021"/>
      <c r="EO615" s="2021"/>
      <c r="EP615" s="2021"/>
      <c r="EQ615" s="1875"/>
      <c r="ER615" s="1874" t="str">
        <f t="shared" si="20"/>
        <v xml:space="preserve"> </v>
      </c>
      <c r="ES615" s="2021"/>
      <c r="ET615" s="2021"/>
      <c r="EU615" s="2021"/>
      <c r="EV615" s="1875"/>
      <c r="EW615" s="1874">
        <f t="shared" si="21"/>
        <v>1907.76</v>
      </c>
      <c r="EX615" s="2021"/>
      <c r="EY615" s="2021"/>
      <c r="EZ615" s="2021"/>
      <c r="FA615" s="1875"/>
    </row>
    <row r="616" spans="1:157" ht="13.2">
      <c r="A616" s="35"/>
      <c r="B616" s="12" t="s">
        <v>18</v>
      </c>
      <c r="H616" s="1894"/>
      <c r="I616" s="1894"/>
      <c r="J616" s="1894"/>
      <c r="K616" s="1894"/>
      <c r="L616" s="1894"/>
      <c r="M616" s="1894"/>
      <c r="N616" s="1894"/>
      <c r="O616" s="1894"/>
      <c r="P616" s="1894"/>
      <c r="Q616" s="1894"/>
      <c r="R616" s="1894"/>
      <c r="T616" s="35"/>
      <c r="U616" s="12" t="s">
        <v>18</v>
      </c>
      <c r="AA616" s="1894"/>
      <c r="AB616" s="1894"/>
      <c r="AC616" s="1894"/>
      <c r="AD616" s="1894"/>
      <c r="AE616" s="1894"/>
      <c r="AF616" s="1894"/>
      <c r="AG616" s="1894"/>
      <c r="AH616" s="1894"/>
      <c r="AI616" s="1894"/>
      <c r="AJ616" s="1894"/>
      <c r="AK616" s="1894"/>
      <c r="AZ616" s="58"/>
      <c r="BA616" s="58"/>
      <c r="BB616" s="58"/>
      <c r="BC616" s="58"/>
      <c r="BD616" s="58"/>
      <c r="BE616" s="1874">
        <f t="shared" si="0"/>
        <v>0</v>
      </c>
      <c r="BF616" s="1875"/>
      <c r="BG616" s="1871">
        <f t="shared" si="1"/>
        <v>0</v>
      </c>
      <c r="BH616" s="1873"/>
      <c r="BI616" s="1874">
        <f t="shared" si="2"/>
        <v>1</v>
      </c>
      <c r="BJ616" s="1875"/>
      <c r="BK616" s="1871">
        <f t="shared" si="3"/>
        <v>1</v>
      </c>
      <c r="BL616" s="1873"/>
      <c r="BM616" s="58"/>
      <c r="BN616" s="1868">
        <f t="shared" si="4"/>
        <v>0</v>
      </c>
      <c r="BO616" s="1869"/>
      <c r="BP616" s="1869"/>
      <c r="BQ616" s="1869"/>
      <c r="BR616" s="1870"/>
      <c r="BS616" s="1867">
        <f t="shared" si="5"/>
        <v>1</v>
      </c>
      <c r="BT616" s="1867"/>
      <c r="BU616" s="1867"/>
      <c r="BV616" s="1867"/>
      <c r="BW616" s="1867"/>
      <c r="BX616" s="1867">
        <f t="shared" si="6"/>
        <v>0</v>
      </c>
      <c r="BY616" s="1867"/>
      <c r="BZ616" s="1867"/>
      <c r="CA616" s="1867"/>
      <c r="CB616" s="1867"/>
      <c r="CC616" s="1867">
        <f t="shared" si="7"/>
        <v>0</v>
      </c>
      <c r="CD616" s="1867"/>
      <c r="CE616" s="1867"/>
      <c r="CF616" s="1867"/>
      <c r="CG616" s="1867"/>
      <c r="CH616" s="1867">
        <f t="shared" si="8"/>
        <v>0</v>
      </c>
      <c r="CI616" s="1867"/>
      <c r="CJ616" s="1867"/>
      <c r="CK616" s="1867"/>
      <c r="CL616" s="1867"/>
      <c r="CM616" s="1867">
        <f t="shared" si="9"/>
        <v>0</v>
      </c>
      <c r="CN616" s="1867"/>
      <c r="CO616" s="1867"/>
      <c r="CP616" s="1867"/>
      <c r="CQ616" s="1867"/>
      <c r="CR616" s="265"/>
      <c r="CS616" s="2225">
        <f t="shared" si="10"/>
        <v>0</v>
      </c>
      <c r="CT616" s="2225"/>
      <c r="CU616" s="2225"/>
      <c r="CV616" s="2225"/>
      <c r="CW616" s="2225"/>
      <c r="CX616" s="2225">
        <f t="shared" si="11"/>
        <v>1</v>
      </c>
      <c r="CY616" s="2225"/>
      <c r="CZ616" s="2225"/>
      <c r="DA616" s="2225"/>
      <c r="DB616" s="2225"/>
      <c r="DC616" s="2225">
        <f t="shared" si="12"/>
        <v>0</v>
      </c>
      <c r="DD616" s="2225"/>
      <c r="DE616" s="2225"/>
      <c r="DF616" s="2225"/>
      <c r="DG616" s="2225"/>
      <c r="DH616" s="2225">
        <f t="shared" si="13"/>
        <v>0</v>
      </c>
      <c r="DI616" s="2225"/>
      <c r="DJ616" s="2225"/>
      <c r="DK616" s="2225"/>
      <c r="DL616" s="2225"/>
      <c r="DM616" s="2225">
        <f t="shared" si="14"/>
        <v>0</v>
      </c>
      <c r="DN616" s="2225"/>
      <c r="DO616" s="2225"/>
      <c r="DP616" s="2225"/>
      <c r="DQ616" s="2225"/>
      <c r="DR616" s="2225">
        <f t="shared" si="15"/>
        <v>0</v>
      </c>
      <c r="DS616" s="2225"/>
      <c r="DT616" s="2225"/>
      <c r="DU616" s="2225"/>
      <c r="DV616" s="2225"/>
      <c r="DX616" s="1874" t="str">
        <f t="shared" si="16"/>
        <v xml:space="preserve"> </v>
      </c>
      <c r="DY616" s="2021"/>
      <c r="DZ616" s="2021"/>
      <c r="EA616" s="2021"/>
      <c r="EB616" s="1875"/>
      <c r="EC616" s="1874">
        <f t="shared" si="17"/>
        <v>1000</v>
      </c>
      <c r="ED616" s="2021"/>
      <c r="EE616" s="2021"/>
      <c r="EF616" s="2021"/>
      <c r="EG616" s="1875"/>
      <c r="EH616" s="1874" t="str">
        <f t="shared" si="18"/>
        <v xml:space="preserve"> </v>
      </c>
      <c r="EI616" s="2021"/>
      <c r="EJ616" s="2021"/>
      <c r="EK616" s="2021"/>
      <c r="EL616" s="1875"/>
      <c r="EM616" s="1874" t="str">
        <f t="shared" si="19"/>
        <v xml:space="preserve"> </v>
      </c>
      <c r="EN616" s="2021"/>
      <c r="EO616" s="2021"/>
      <c r="EP616" s="2021"/>
      <c r="EQ616" s="1875"/>
      <c r="ER616" s="1874" t="str">
        <f t="shared" si="20"/>
        <v xml:space="preserve"> </v>
      </c>
      <c r="ES616" s="2021"/>
      <c r="ET616" s="2021"/>
      <c r="EU616" s="2021"/>
      <c r="EV616" s="1875"/>
      <c r="EW616" s="1874" t="str">
        <f t="shared" si="21"/>
        <v xml:space="preserve"> </v>
      </c>
      <c r="EX616" s="2021"/>
      <c r="EY616" s="2021"/>
      <c r="EZ616" s="2021"/>
      <c r="FA616" s="1875"/>
    </row>
    <row r="617" spans="1:157" ht="13.2">
      <c r="A617" s="35"/>
      <c r="B617" s="12" t="s">
        <v>20</v>
      </c>
      <c r="N617" s="1893" t="s">
        <v>693</v>
      </c>
      <c r="O617" s="1893"/>
      <c r="T617" s="35"/>
      <c r="U617" s="12" t="s">
        <v>20</v>
      </c>
      <c r="AG617" s="1893" t="s">
        <v>693</v>
      </c>
      <c r="AH617" s="1893"/>
      <c r="AZ617" s="58"/>
      <c r="BA617" s="58"/>
      <c r="BB617" s="58"/>
      <c r="BC617" s="58"/>
      <c r="BD617" s="58"/>
      <c r="BE617" s="1874">
        <f t="shared" si="0"/>
        <v>0</v>
      </c>
      <c r="BF617" s="1875"/>
      <c r="BG617" s="1871">
        <f t="shared" si="1"/>
        <v>0</v>
      </c>
      <c r="BH617" s="1873"/>
      <c r="BI617" s="1874">
        <f t="shared" si="2"/>
        <v>1</v>
      </c>
      <c r="BJ617" s="1875"/>
      <c r="BK617" s="1871">
        <f t="shared" si="3"/>
        <v>3</v>
      </c>
      <c r="BL617" s="1873"/>
      <c r="BM617" s="58"/>
      <c r="BN617" s="1868">
        <f t="shared" si="4"/>
        <v>0</v>
      </c>
      <c r="BO617" s="1869"/>
      <c r="BP617" s="1869"/>
      <c r="BQ617" s="1869"/>
      <c r="BR617" s="1870"/>
      <c r="BS617" s="1867">
        <f t="shared" si="5"/>
        <v>0</v>
      </c>
      <c r="BT617" s="1867"/>
      <c r="BU617" s="1867"/>
      <c r="BV617" s="1867"/>
      <c r="BW617" s="1867"/>
      <c r="BX617" s="1867">
        <f t="shared" si="6"/>
        <v>3</v>
      </c>
      <c r="BY617" s="1867"/>
      <c r="BZ617" s="1867"/>
      <c r="CA617" s="1867"/>
      <c r="CB617" s="1867"/>
      <c r="CC617" s="1867">
        <f t="shared" si="7"/>
        <v>0</v>
      </c>
      <c r="CD617" s="1867"/>
      <c r="CE617" s="1867"/>
      <c r="CF617" s="1867"/>
      <c r="CG617" s="1867"/>
      <c r="CH617" s="1867">
        <f t="shared" si="8"/>
        <v>0</v>
      </c>
      <c r="CI617" s="1867"/>
      <c r="CJ617" s="1867"/>
      <c r="CK617" s="1867"/>
      <c r="CL617" s="1867"/>
      <c r="CM617" s="1867">
        <f t="shared" si="9"/>
        <v>0</v>
      </c>
      <c r="CN617" s="1867"/>
      <c r="CO617" s="1867"/>
      <c r="CP617" s="1867"/>
      <c r="CQ617" s="1867"/>
      <c r="CR617" s="265"/>
      <c r="CS617" s="2225">
        <f t="shared" si="10"/>
        <v>0</v>
      </c>
      <c r="CT617" s="2225"/>
      <c r="CU617" s="2225"/>
      <c r="CV617" s="2225"/>
      <c r="CW617" s="2225"/>
      <c r="CX617" s="2225">
        <f t="shared" si="11"/>
        <v>0</v>
      </c>
      <c r="CY617" s="2225"/>
      <c r="CZ617" s="2225"/>
      <c r="DA617" s="2225"/>
      <c r="DB617" s="2225"/>
      <c r="DC617" s="2225">
        <f t="shared" si="12"/>
        <v>3</v>
      </c>
      <c r="DD617" s="2225"/>
      <c r="DE617" s="2225"/>
      <c r="DF617" s="2225"/>
      <c r="DG617" s="2225"/>
      <c r="DH617" s="2225">
        <f t="shared" si="13"/>
        <v>0</v>
      </c>
      <c r="DI617" s="2225"/>
      <c r="DJ617" s="2225"/>
      <c r="DK617" s="2225"/>
      <c r="DL617" s="2225"/>
      <c r="DM617" s="2225">
        <f t="shared" si="14"/>
        <v>0</v>
      </c>
      <c r="DN617" s="2225"/>
      <c r="DO617" s="2225"/>
      <c r="DP617" s="2225"/>
      <c r="DQ617" s="2225"/>
      <c r="DR617" s="2225">
        <f t="shared" si="15"/>
        <v>0</v>
      </c>
      <c r="DS617" s="2225"/>
      <c r="DT617" s="2225"/>
      <c r="DU617" s="2225"/>
      <c r="DV617" s="2225"/>
      <c r="DX617" s="1874" t="str">
        <f t="shared" si="16"/>
        <v xml:space="preserve"> </v>
      </c>
      <c r="DY617" s="2021"/>
      <c r="DZ617" s="2021"/>
      <c r="EA617" s="2021"/>
      <c r="EB617" s="1875"/>
      <c r="EC617" s="1874" t="str">
        <f t="shared" si="17"/>
        <v xml:space="preserve"> </v>
      </c>
      <c r="ED617" s="2021"/>
      <c r="EE617" s="2021"/>
      <c r="EF617" s="2021"/>
      <c r="EG617" s="1875"/>
      <c r="EH617" s="1874">
        <f t="shared" si="18"/>
        <v>1194</v>
      </c>
      <c r="EI617" s="2021"/>
      <c r="EJ617" s="2021"/>
      <c r="EK617" s="2021"/>
      <c r="EL617" s="1875"/>
      <c r="EM617" s="1874" t="str">
        <f t="shared" si="19"/>
        <v xml:space="preserve"> </v>
      </c>
      <c r="EN617" s="2021"/>
      <c r="EO617" s="2021"/>
      <c r="EP617" s="2021"/>
      <c r="EQ617" s="1875"/>
      <c r="ER617" s="1874" t="str">
        <f t="shared" si="20"/>
        <v xml:space="preserve"> </v>
      </c>
      <c r="ES617" s="2021"/>
      <c r="ET617" s="2021"/>
      <c r="EU617" s="2021"/>
      <c r="EV617" s="1875"/>
      <c r="EW617" s="1874" t="str">
        <f t="shared" si="21"/>
        <v xml:space="preserve"> </v>
      </c>
      <c r="EX617" s="2021"/>
      <c r="EY617" s="2021"/>
      <c r="EZ617" s="2021"/>
      <c r="FA617" s="1875"/>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74">
        <f t="shared" si="0"/>
        <v>0</v>
      </c>
      <c r="BF618" s="1875"/>
      <c r="BG618" s="1871">
        <f t="shared" si="1"/>
        <v>0</v>
      </c>
      <c r="BH618" s="1873"/>
      <c r="BI618" s="1874">
        <f t="shared" si="2"/>
        <v>1</v>
      </c>
      <c r="BJ618" s="1875"/>
      <c r="BK618" s="1871">
        <f t="shared" si="3"/>
        <v>4</v>
      </c>
      <c r="BL618" s="1873"/>
      <c r="BM618" s="58"/>
      <c r="BN618" s="1868">
        <f t="shared" si="4"/>
        <v>0</v>
      </c>
      <c r="BO618" s="1869"/>
      <c r="BP618" s="1869"/>
      <c r="BQ618" s="1869"/>
      <c r="BR618" s="1870"/>
      <c r="BS618" s="1867">
        <f t="shared" si="5"/>
        <v>0</v>
      </c>
      <c r="BT618" s="1867"/>
      <c r="BU618" s="1867"/>
      <c r="BV618" s="1867"/>
      <c r="BW618" s="1867"/>
      <c r="BX618" s="1867">
        <f t="shared" si="6"/>
        <v>0</v>
      </c>
      <c r="BY618" s="1867"/>
      <c r="BZ618" s="1867"/>
      <c r="CA618" s="1867"/>
      <c r="CB618" s="1867"/>
      <c r="CC618" s="1867">
        <f t="shared" si="7"/>
        <v>4</v>
      </c>
      <c r="CD618" s="1867"/>
      <c r="CE618" s="1867"/>
      <c r="CF618" s="1867"/>
      <c r="CG618" s="1867"/>
      <c r="CH618" s="1867">
        <f t="shared" si="8"/>
        <v>0</v>
      </c>
      <c r="CI618" s="1867"/>
      <c r="CJ618" s="1867"/>
      <c r="CK618" s="1867"/>
      <c r="CL618" s="1867"/>
      <c r="CM618" s="1867">
        <f t="shared" si="9"/>
        <v>0</v>
      </c>
      <c r="CN618" s="1867"/>
      <c r="CO618" s="1867"/>
      <c r="CP618" s="1867"/>
      <c r="CQ618" s="1867"/>
      <c r="CR618" s="265"/>
      <c r="CS618" s="2225">
        <f t="shared" si="10"/>
        <v>0</v>
      </c>
      <c r="CT618" s="2225"/>
      <c r="CU618" s="2225"/>
      <c r="CV618" s="2225"/>
      <c r="CW618" s="2225"/>
      <c r="CX618" s="2225">
        <f t="shared" si="11"/>
        <v>0</v>
      </c>
      <c r="CY618" s="2225"/>
      <c r="CZ618" s="2225"/>
      <c r="DA618" s="2225"/>
      <c r="DB618" s="2225"/>
      <c r="DC618" s="2225">
        <f t="shared" si="12"/>
        <v>0</v>
      </c>
      <c r="DD618" s="2225"/>
      <c r="DE618" s="2225"/>
      <c r="DF618" s="2225"/>
      <c r="DG618" s="2225"/>
      <c r="DH618" s="2225">
        <f t="shared" si="13"/>
        <v>4</v>
      </c>
      <c r="DI618" s="2225"/>
      <c r="DJ618" s="2225"/>
      <c r="DK618" s="2225"/>
      <c r="DL618" s="2225"/>
      <c r="DM618" s="2225">
        <f t="shared" si="14"/>
        <v>0</v>
      </c>
      <c r="DN618" s="2225"/>
      <c r="DO618" s="2225"/>
      <c r="DP618" s="2225"/>
      <c r="DQ618" s="2225"/>
      <c r="DR618" s="2225">
        <f t="shared" si="15"/>
        <v>0</v>
      </c>
      <c r="DS618" s="2225"/>
      <c r="DT618" s="2225"/>
      <c r="DU618" s="2225"/>
      <c r="DV618" s="2225"/>
      <c r="DX618" s="1874" t="str">
        <f t="shared" si="16"/>
        <v xml:space="preserve"> </v>
      </c>
      <c r="DY618" s="2021"/>
      <c r="DZ618" s="2021"/>
      <c r="EA618" s="2021"/>
      <c r="EB618" s="1875"/>
      <c r="EC618" s="1874" t="str">
        <f t="shared" si="17"/>
        <v xml:space="preserve"> </v>
      </c>
      <c r="ED618" s="2021"/>
      <c r="EE618" s="2021"/>
      <c r="EF618" s="2021"/>
      <c r="EG618" s="1875"/>
      <c r="EH618" s="1874" t="str">
        <f t="shared" si="18"/>
        <v xml:space="preserve"> </v>
      </c>
      <c r="EI618" s="2021"/>
      <c r="EJ618" s="2021"/>
      <c r="EK618" s="2021"/>
      <c r="EL618" s="1875"/>
      <c r="EM618" s="1874">
        <f t="shared" si="19"/>
        <v>1380</v>
      </c>
      <c r="EN618" s="2021"/>
      <c r="EO618" s="2021"/>
      <c r="EP618" s="2021"/>
      <c r="EQ618" s="1875"/>
      <c r="ER618" s="1874" t="str">
        <f t="shared" si="20"/>
        <v xml:space="preserve"> </v>
      </c>
      <c r="ES618" s="2021"/>
      <c r="ET618" s="2021"/>
      <c r="EU618" s="2021"/>
      <c r="EV618" s="1875"/>
      <c r="EW618" s="1874" t="str">
        <f t="shared" si="21"/>
        <v xml:space="preserve"> </v>
      </c>
      <c r="EX618" s="2021"/>
      <c r="EY618" s="2021"/>
      <c r="EZ618" s="2021"/>
      <c r="FA618" s="1875"/>
    </row>
    <row r="619" spans="1:157" s="7" customFormat="1" ht="13.2">
      <c r="A619" s="87" t="s">
        <v>367</v>
      </c>
      <c r="B619" s="12" t="s">
        <v>486</v>
      </c>
      <c r="C619" s="12"/>
      <c r="D619" s="12"/>
      <c r="E619" s="12"/>
      <c r="F619" s="12"/>
      <c r="G619" s="1895">
        <f>C574</f>
        <v>0</v>
      </c>
      <c r="H619" s="1895"/>
      <c r="I619" s="1895"/>
      <c r="J619" s="1895"/>
      <c r="K619" s="1895"/>
      <c r="L619" s="1895"/>
      <c r="M619" s="1895"/>
      <c r="N619" s="1895"/>
      <c r="O619" s="1895"/>
      <c r="P619" s="1895"/>
      <c r="Q619" s="1895"/>
      <c r="R619" s="1895"/>
      <c r="S619" s="12"/>
      <c r="T619" s="87" t="s">
        <v>368</v>
      </c>
      <c r="U619" s="12" t="s">
        <v>486</v>
      </c>
      <c r="V619" s="12"/>
      <c r="W619" s="12"/>
      <c r="X619" s="12"/>
      <c r="Y619" s="12"/>
      <c r="Z619" s="1895">
        <f>C575</f>
        <v>0</v>
      </c>
      <c r="AA619" s="1895"/>
      <c r="AB619" s="1895"/>
      <c r="AC619" s="1895"/>
      <c r="AD619" s="1895"/>
      <c r="AE619" s="1895"/>
      <c r="AF619" s="1895"/>
      <c r="AG619" s="1895"/>
      <c r="AH619" s="1895"/>
      <c r="AI619" s="1895"/>
      <c r="AJ619" s="1895"/>
      <c r="AK619" s="1895"/>
      <c r="AL619" s="12"/>
      <c r="AM619" s="39"/>
      <c r="AN619" s="39"/>
      <c r="AO619" s="39"/>
      <c r="AP619" s="39"/>
      <c r="AQ619" s="39"/>
      <c r="AR619" s="39"/>
      <c r="AS619" s="39"/>
      <c r="AT619" s="39"/>
      <c r="AU619" s="39"/>
      <c r="AV619" s="39"/>
      <c r="AW619" s="39"/>
      <c r="AX619" s="39"/>
      <c r="AY619" s="39"/>
      <c r="AZ619" s="58"/>
      <c r="BA619" s="58"/>
      <c r="BB619" s="58"/>
      <c r="BC619" s="58"/>
      <c r="BD619" s="58"/>
      <c r="BE619" s="1874">
        <f t="shared" si="0"/>
        <v>0</v>
      </c>
      <c r="BF619" s="1875"/>
      <c r="BG619" s="1871">
        <f t="shared" si="1"/>
        <v>0</v>
      </c>
      <c r="BH619" s="1873"/>
      <c r="BI619" s="1874">
        <f t="shared" si="2"/>
        <v>0</v>
      </c>
      <c r="BJ619" s="1875"/>
      <c r="BK619" s="1871">
        <f t="shared" si="3"/>
        <v>0</v>
      </c>
      <c r="BL619" s="1873"/>
      <c r="BM619" s="58"/>
      <c r="BN619" s="1868">
        <f t="shared" si="4"/>
        <v>0</v>
      </c>
      <c r="BO619" s="1869"/>
      <c r="BP619" s="1869"/>
      <c r="BQ619" s="1869"/>
      <c r="BR619" s="1870"/>
      <c r="BS619" s="1867">
        <f t="shared" si="5"/>
        <v>0</v>
      </c>
      <c r="BT619" s="1867"/>
      <c r="BU619" s="1867"/>
      <c r="BV619" s="1867"/>
      <c r="BW619" s="1867"/>
      <c r="BX619" s="1867">
        <f t="shared" si="6"/>
        <v>0</v>
      </c>
      <c r="BY619" s="1867"/>
      <c r="BZ619" s="1867"/>
      <c r="CA619" s="1867"/>
      <c r="CB619" s="1867"/>
      <c r="CC619" s="1867">
        <f t="shared" si="7"/>
        <v>0</v>
      </c>
      <c r="CD619" s="1867"/>
      <c r="CE619" s="1867"/>
      <c r="CF619" s="1867"/>
      <c r="CG619" s="1867"/>
      <c r="CH619" s="1867">
        <f t="shared" si="8"/>
        <v>0</v>
      </c>
      <c r="CI619" s="1867"/>
      <c r="CJ619" s="1867"/>
      <c r="CK619" s="1867"/>
      <c r="CL619" s="1867"/>
      <c r="CM619" s="1867">
        <f t="shared" si="9"/>
        <v>0</v>
      </c>
      <c r="CN619" s="1867"/>
      <c r="CO619" s="1867"/>
      <c r="CP619" s="1867"/>
      <c r="CQ619" s="1867"/>
      <c r="CR619" s="265"/>
      <c r="CS619" s="2225">
        <f t="shared" si="10"/>
        <v>0</v>
      </c>
      <c r="CT619" s="2225"/>
      <c r="CU619" s="2225"/>
      <c r="CV619" s="2225"/>
      <c r="CW619" s="2225"/>
      <c r="CX619" s="2225">
        <f t="shared" si="11"/>
        <v>0</v>
      </c>
      <c r="CY619" s="2225"/>
      <c r="CZ619" s="2225"/>
      <c r="DA619" s="2225"/>
      <c r="DB619" s="2225"/>
      <c r="DC619" s="2225">
        <f t="shared" si="12"/>
        <v>0</v>
      </c>
      <c r="DD619" s="2225"/>
      <c r="DE619" s="2225"/>
      <c r="DF619" s="2225"/>
      <c r="DG619" s="2225"/>
      <c r="DH619" s="2225">
        <f t="shared" si="13"/>
        <v>0</v>
      </c>
      <c r="DI619" s="2225"/>
      <c r="DJ619" s="2225"/>
      <c r="DK619" s="2225"/>
      <c r="DL619" s="2225"/>
      <c r="DM619" s="2225">
        <f t="shared" si="14"/>
        <v>0</v>
      </c>
      <c r="DN619" s="2225"/>
      <c r="DO619" s="2225"/>
      <c r="DP619" s="2225"/>
      <c r="DQ619" s="2225"/>
      <c r="DR619" s="2225">
        <f t="shared" si="15"/>
        <v>0</v>
      </c>
      <c r="DS619" s="2225"/>
      <c r="DT619" s="2225"/>
      <c r="DU619" s="2225"/>
      <c r="DV619" s="2225"/>
      <c r="DX619" s="1874" t="str">
        <f t="shared" si="16"/>
        <v xml:space="preserve"> </v>
      </c>
      <c r="DY619" s="2021"/>
      <c r="DZ619" s="2021"/>
      <c r="EA619" s="2021"/>
      <c r="EB619" s="1875"/>
      <c r="EC619" s="1874" t="str">
        <f t="shared" si="17"/>
        <v xml:space="preserve"> </v>
      </c>
      <c r="ED619" s="2021"/>
      <c r="EE619" s="2021"/>
      <c r="EF619" s="2021"/>
      <c r="EG619" s="1875"/>
      <c r="EH619" s="1874" t="str">
        <f t="shared" si="18"/>
        <v xml:space="preserve"> </v>
      </c>
      <c r="EI619" s="2021"/>
      <c r="EJ619" s="2021"/>
      <c r="EK619" s="2021"/>
      <c r="EL619" s="1875"/>
      <c r="EM619" s="1874" t="str">
        <f t="shared" si="19"/>
        <v xml:space="preserve"> </v>
      </c>
      <c r="EN619" s="2021"/>
      <c r="EO619" s="2021"/>
      <c r="EP619" s="2021"/>
      <c r="EQ619" s="1875"/>
      <c r="ER619" s="1874" t="str">
        <f t="shared" si="20"/>
        <v xml:space="preserve"> </v>
      </c>
      <c r="ES619" s="2021"/>
      <c r="ET619" s="2021"/>
      <c r="EU619" s="2021"/>
      <c r="EV619" s="1875"/>
      <c r="EW619" s="1874" t="str">
        <f t="shared" si="21"/>
        <v xml:space="preserve"> </v>
      </c>
      <c r="EX619" s="2021"/>
      <c r="EY619" s="2021"/>
      <c r="EZ619" s="2021"/>
      <c r="FA619" s="1875"/>
    </row>
    <row r="620" spans="1:157" s="7" customFormat="1" ht="13.2">
      <c r="A620" s="12"/>
      <c r="B620" s="12" t="s">
        <v>90</v>
      </c>
      <c r="C620" s="12"/>
      <c r="D620" s="12"/>
      <c r="E620" s="12"/>
      <c r="F620" s="12"/>
      <c r="G620" s="1894"/>
      <c r="H620" s="1894"/>
      <c r="I620" s="1894"/>
      <c r="J620" s="1894"/>
      <c r="K620" s="1894"/>
      <c r="L620" s="1894"/>
      <c r="M620" s="1894"/>
      <c r="N620" s="1894"/>
      <c r="O620" s="1894"/>
      <c r="P620" s="1894"/>
      <c r="Q620" s="1894"/>
      <c r="R620" s="1894"/>
      <c r="S620" s="12"/>
      <c r="T620" s="12"/>
      <c r="U620" s="12" t="s">
        <v>90</v>
      </c>
      <c r="V620" s="12"/>
      <c r="W620" s="12"/>
      <c r="X620" s="12"/>
      <c r="Y620" s="12"/>
      <c r="Z620" s="1894"/>
      <c r="AA620" s="1894"/>
      <c r="AB620" s="1894"/>
      <c r="AC620" s="1894"/>
      <c r="AD620" s="1894"/>
      <c r="AE620" s="1894"/>
      <c r="AF620" s="1894"/>
      <c r="AG620" s="1894"/>
      <c r="AH620" s="1894"/>
      <c r="AI620" s="1894"/>
      <c r="AJ620" s="1894"/>
      <c r="AK620" s="1894"/>
      <c r="AL620" s="12"/>
      <c r="AM620" s="39"/>
      <c r="AN620" s="39"/>
      <c r="AO620" s="39"/>
      <c r="AP620" s="39"/>
      <c r="AQ620" s="39"/>
      <c r="AR620" s="39"/>
      <c r="AS620" s="39"/>
      <c r="AT620" s="39"/>
      <c r="AU620" s="39"/>
      <c r="AV620" s="39"/>
      <c r="AW620" s="39"/>
      <c r="AX620" s="39"/>
      <c r="AY620" s="39"/>
      <c r="AZ620" s="58"/>
      <c r="BA620" s="58"/>
      <c r="BB620" s="58"/>
      <c r="BC620" s="58"/>
      <c r="BD620" s="58"/>
      <c r="BE620" s="1874">
        <f t="shared" si="0"/>
        <v>0</v>
      </c>
      <c r="BF620" s="1875"/>
      <c r="BG620" s="1871">
        <f t="shared" si="1"/>
        <v>0</v>
      </c>
      <c r="BH620" s="1873"/>
      <c r="BI620" s="1874">
        <f t="shared" si="2"/>
        <v>0</v>
      </c>
      <c r="BJ620" s="1875"/>
      <c r="BK620" s="1871">
        <f t="shared" si="3"/>
        <v>0</v>
      </c>
      <c r="BL620" s="1873"/>
      <c r="BM620" s="58"/>
      <c r="BN620" s="1868">
        <f t="shared" si="4"/>
        <v>0</v>
      </c>
      <c r="BO620" s="1869"/>
      <c r="BP620" s="1869"/>
      <c r="BQ620" s="1869"/>
      <c r="BR620" s="1870"/>
      <c r="BS620" s="1867">
        <f t="shared" si="5"/>
        <v>0</v>
      </c>
      <c r="BT620" s="1867"/>
      <c r="BU620" s="1867"/>
      <c r="BV620" s="1867"/>
      <c r="BW620" s="1867"/>
      <c r="BX620" s="1867">
        <f t="shared" si="6"/>
        <v>0</v>
      </c>
      <c r="BY620" s="1867"/>
      <c r="BZ620" s="1867"/>
      <c r="CA620" s="1867"/>
      <c r="CB620" s="1867"/>
      <c r="CC620" s="1867">
        <f t="shared" si="7"/>
        <v>0</v>
      </c>
      <c r="CD620" s="1867"/>
      <c r="CE620" s="1867"/>
      <c r="CF620" s="1867"/>
      <c r="CG620" s="1867"/>
      <c r="CH620" s="1867">
        <f t="shared" si="8"/>
        <v>0</v>
      </c>
      <c r="CI620" s="1867"/>
      <c r="CJ620" s="1867"/>
      <c r="CK620" s="1867"/>
      <c r="CL620" s="1867"/>
      <c r="CM620" s="1867">
        <f t="shared" si="9"/>
        <v>0</v>
      </c>
      <c r="CN620" s="1867"/>
      <c r="CO620" s="1867"/>
      <c r="CP620" s="1867"/>
      <c r="CQ620" s="1867"/>
      <c r="CR620" s="265"/>
      <c r="CS620" s="2225">
        <f t="shared" si="10"/>
        <v>0</v>
      </c>
      <c r="CT620" s="2225"/>
      <c r="CU620" s="2225"/>
      <c r="CV620" s="2225"/>
      <c r="CW620" s="2225"/>
      <c r="CX620" s="2225">
        <f t="shared" si="11"/>
        <v>0</v>
      </c>
      <c r="CY620" s="2225"/>
      <c r="CZ620" s="2225"/>
      <c r="DA620" s="2225"/>
      <c r="DB620" s="2225"/>
      <c r="DC620" s="2225">
        <f t="shared" si="12"/>
        <v>0</v>
      </c>
      <c r="DD620" s="2225"/>
      <c r="DE620" s="2225"/>
      <c r="DF620" s="2225"/>
      <c r="DG620" s="2225"/>
      <c r="DH620" s="2225">
        <f t="shared" si="13"/>
        <v>0</v>
      </c>
      <c r="DI620" s="2225"/>
      <c r="DJ620" s="2225"/>
      <c r="DK620" s="2225"/>
      <c r="DL620" s="2225"/>
      <c r="DM620" s="2225">
        <f t="shared" si="14"/>
        <v>0</v>
      </c>
      <c r="DN620" s="2225"/>
      <c r="DO620" s="2225"/>
      <c r="DP620" s="2225"/>
      <c r="DQ620" s="2225"/>
      <c r="DR620" s="2225">
        <f t="shared" si="15"/>
        <v>0</v>
      </c>
      <c r="DS620" s="2225"/>
      <c r="DT620" s="2225"/>
      <c r="DU620" s="2225"/>
      <c r="DV620" s="2225"/>
      <c r="DX620" s="1874" t="str">
        <f t="shared" si="16"/>
        <v xml:space="preserve"> </v>
      </c>
      <c r="DY620" s="2021"/>
      <c r="DZ620" s="2021"/>
      <c r="EA620" s="2021"/>
      <c r="EB620" s="1875"/>
      <c r="EC620" s="1874" t="str">
        <f t="shared" si="17"/>
        <v xml:space="preserve"> </v>
      </c>
      <c r="ED620" s="2021"/>
      <c r="EE620" s="2021"/>
      <c r="EF620" s="2021"/>
      <c r="EG620" s="1875"/>
      <c r="EH620" s="1874" t="str">
        <f t="shared" si="18"/>
        <v xml:space="preserve"> </v>
      </c>
      <c r="EI620" s="2021"/>
      <c r="EJ620" s="2021"/>
      <c r="EK620" s="2021"/>
      <c r="EL620" s="1875"/>
      <c r="EM620" s="1874" t="str">
        <f t="shared" si="19"/>
        <v xml:space="preserve"> </v>
      </c>
      <c r="EN620" s="2021"/>
      <c r="EO620" s="2021"/>
      <c r="EP620" s="2021"/>
      <c r="EQ620" s="1875"/>
      <c r="ER620" s="1874" t="str">
        <f t="shared" si="20"/>
        <v xml:space="preserve"> </v>
      </c>
      <c r="ES620" s="2021"/>
      <c r="ET620" s="2021"/>
      <c r="EU620" s="2021"/>
      <c r="EV620" s="1875"/>
      <c r="EW620" s="1874" t="str">
        <f t="shared" si="21"/>
        <v xml:space="preserve"> </v>
      </c>
      <c r="EX620" s="2021"/>
      <c r="EY620" s="2021"/>
      <c r="EZ620" s="2021"/>
      <c r="FA620" s="1875"/>
    </row>
    <row r="621" spans="1:157" ht="13.2">
      <c r="B621" s="12" t="s">
        <v>604</v>
      </c>
      <c r="G621" s="1894"/>
      <c r="H621" s="1894"/>
      <c r="I621" s="1894"/>
      <c r="J621" s="1894"/>
      <c r="K621" s="1894"/>
      <c r="L621" s="1894"/>
      <c r="M621" s="1894"/>
      <c r="N621" s="1894"/>
      <c r="O621" s="1894"/>
      <c r="P621" s="1894"/>
      <c r="Q621" s="1894"/>
      <c r="R621" s="1894"/>
      <c r="U621" s="12" t="s">
        <v>604</v>
      </c>
      <c r="Z621" s="1944"/>
      <c r="AA621" s="1944"/>
      <c r="AB621" s="1944"/>
      <c r="AC621" s="1944"/>
      <c r="AD621" s="1944"/>
      <c r="AE621" s="1944"/>
      <c r="AF621" s="1944"/>
      <c r="AG621" s="1944"/>
      <c r="AH621" s="1944"/>
      <c r="AI621" s="1944"/>
      <c r="AJ621" s="1944"/>
      <c r="AK621" s="1944"/>
      <c r="AZ621" s="58"/>
      <c r="BA621" s="58"/>
      <c r="BB621" s="58"/>
      <c r="BC621" s="58"/>
      <c r="BD621" s="58"/>
      <c r="BE621" s="1874">
        <f t="shared" si="0"/>
        <v>0</v>
      </c>
      <c r="BF621" s="1875"/>
      <c r="BG621" s="1871">
        <f t="shared" si="1"/>
        <v>0</v>
      </c>
      <c r="BH621" s="1873"/>
      <c r="BI621" s="1874">
        <f t="shared" si="2"/>
        <v>0</v>
      </c>
      <c r="BJ621" s="1875"/>
      <c r="BK621" s="1871">
        <f t="shared" si="3"/>
        <v>0</v>
      </c>
      <c r="BL621" s="1873"/>
      <c r="BM621" s="58"/>
      <c r="BN621" s="1868">
        <f t="shared" si="4"/>
        <v>0</v>
      </c>
      <c r="BO621" s="1869"/>
      <c r="BP621" s="1869"/>
      <c r="BQ621" s="1869"/>
      <c r="BR621" s="1870"/>
      <c r="BS621" s="1867">
        <f t="shared" si="5"/>
        <v>0</v>
      </c>
      <c r="BT621" s="1867"/>
      <c r="BU621" s="1867"/>
      <c r="BV621" s="1867"/>
      <c r="BW621" s="1867"/>
      <c r="BX621" s="1867">
        <f t="shared" si="6"/>
        <v>0</v>
      </c>
      <c r="BY621" s="1867"/>
      <c r="BZ621" s="1867"/>
      <c r="CA621" s="1867"/>
      <c r="CB621" s="1867"/>
      <c r="CC621" s="1867">
        <f t="shared" si="7"/>
        <v>0</v>
      </c>
      <c r="CD621" s="1867"/>
      <c r="CE621" s="1867"/>
      <c r="CF621" s="1867"/>
      <c r="CG621" s="1867"/>
      <c r="CH621" s="1867">
        <f t="shared" si="8"/>
        <v>0</v>
      </c>
      <c r="CI621" s="1867"/>
      <c r="CJ621" s="1867"/>
      <c r="CK621" s="1867"/>
      <c r="CL621" s="1867"/>
      <c r="CM621" s="1867">
        <f t="shared" si="9"/>
        <v>0</v>
      </c>
      <c r="CN621" s="1867"/>
      <c r="CO621" s="1867"/>
      <c r="CP621" s="1867"/>
      <c r="CQ621" s="1867"/>
      <c r="CR621" s="265"/>
      <c r="CS621" s="2225">
        <f t="shared" si="10"/>
        <v>0</v>
      </c>
      <c r="CT621" s="2225"/>
      <c r="CU621" s="2225"/>
      <c r="CV621" s="2225"/>
      <c r="CW621" s="2225"/>
      <c r="CX621" s="2225">
        <f t="shared" si="11"/>
        <v>0</v>
      </c>
      <c r="CY621" s="2225"/>
      <c r="CZ621" s="2225"/>
      <c r="DA621" s="2225"/>
      <c r="DB621" s="2225"/>
      <c r="DC621" s="2225">
        <f t="shared" si="12"/>
        <v>0</v>
      </c>
      <c r="DD621" s="2225"/>
      <c r="DE621" s="2225"/>
      <c r="DF621" s="2225"/>
      <c r="DG621" s="2225"/>
      <c r="DH621" s="2225">
        <f t="shared" si="13"/>
        <v>0</v>
      </c>
      <c r="DI621" s="2225"/>
      <c r="DJ621" s="2225"/>
      <c r="DK621" s="2225"/>
      <c r="DL621" s="2225"/>
      <c r="DM621" s="2225">
        <f t="shared" si="14"/>
        <v>0</v>
      </c>
      <c r="DN621" s="2225"/>
      <c r="DO621" s="2225"/>
      <c r="DP621" s="2225"/>
      <c r="DQ621" s="2225"/>
      <c r="DR621" s="2225">
        <f t="shared" si="15"/>
        <v>0</v>
      </c>
      <c r="DS621" s="2225"/>
      <c r="DT621" s="2225"/>
      <c r="DU621" s="2225"/>
      <c r="DV621" s="2225"/>
      <c r="DX621" s="1874" t="str">
        <f t="shared" si="16"/>
        <v xml:space="preserve"> </v>
      </c>
      <c r="DY621" s="2021"/>
      <c r="DZ621" s="2021"/>
      <c r="EA621" s="2021"/>
      <c r="EB621" s="1875"/>
      <c r="EC621" s="1874" t="str">
        <f t="shared" si="17"/>
        <v xml:space="preserve"> </v>
      </c>
      <c r="ED621" s="2021"/>
      <c r="EE621" s="2021"/>
      <c r="EF621" s="2021"/>
      <c r="EG621" s="1875"/>
      <c r="EH621" s="1874" t="str">
        <f t="shared" si="18"/>
        <v xml:space="preserve"> </v>
      </c>
      <c r="EI621" s="2021"/>
      <c r="EJ621" s="2021"/>
      <c r="EK621" s="2021"/>
      <c r="EL621" s="1875"/>
      <c r="EM621" s="1874" t="str">
        <f t="shared" si="19"/>
        <v xml:space="preserve"> </v>
      </c>
      <c r="EN621" s="2021"/>
      <c r="EO621" s="2021"/>
      <c r="EP621" s="2021"/>
      <c r="EQ621" s="1875"/>
      <c r="ER621" s="1874" t="str">
        <f t="shared" si="20"/>
        <v xml:space="preserve"> </v>
      </c>
      <c r="ES621" s="2021"/>
      <c r="ET621" s="2021"/>
      <c r="EU621" s="2021"/>
      <c r="EV621" s="1875"/>
      <c r="EW621" s="1874" t="str">
        <f t="shared" si="21"/>
        <v xml:space="preserve"> </v>
      </c>
      <c r="EX621" s="2021"/>
      <c r="EY621" s="2021"/>
      <c r="EZ621" s="2021"/>
      <c r="FA621" s="1875"/>
    </row>
    <row r="622" spans="1:157" ht="13.2">
      <c r="B622" s="12" t="s">
        <v>17</v>
      </c>
      <c r="G622" s="1894"/>
      <c r="H622" s="1894"/>
      <c r="I622" s="1894"/>
      <c r="J622" s="1894"/>
      <c r="K622" s="1894"/>
      <c r="L622" s="1894"/>
      <c r="M622" s="1894"/>
      <c r="N622" s="1894"/>
      <c r="O622" s="1894"/>
      <c r="P622" s="1894"/>
      <c r="Q622" s="1894"/>
      <c r="R622" s="1894"/>
      <c r="U622" s="12" t="s">
        <v>17</v>
      </c>
      <c r="Z622" s="1944"/>
      <c r="AA622" s="1944"/>
      <c r="AB622" s="1944"/>
      <c r="AC622" s="1944"/>
      <c r="AD622" s="1944"/>
      <c r="AE622" s="1944"/>
      <c r="AF622" s="1944"/>
      <c r="AG622" s="1944"/>
      <c r="AH622" s="1944"/>
      <c r="AI622" s="1944"/>
      <c r="AJ622" s="1944"/>
      <c r="AK622" s="1944"/>
      <c r="AZ622" s="58"/>
      <c r="BA622" s="58"/>
      <c r="BB622" s="58"/>
      <c r="BC622" s="58"/>
      <c r="BD622" s="58"/>
      <c r="BE622" s="1874">
        <f t="shared" si="0"/>
        <v>0</v>
      </c>
      <c r="BF622" s="1875"/>
      <c r="BG622" s="1871">
        <f t="shared" si="1"/>
        <v>0</v>
      </c>
      <c r="BH622" s="1873"/>
      <c r="BI622" s="1874">
        <f t="shared" si="2"/>
        <v>0</v>
      </c>
      <c r="BJ622" s="1875"/>
      <c r="BK622" s="1871">
        <f t="shared" si="3"/>
        <v>0</v>
      </c>
      <c r="BL622" s="1873"/>
      <c r="BM622" s="58"/>
      <c r="BN622" s="1868">
        <f t="shared" si="4"/>
        <v>0</v>
      </c>
      <c r="BO622" s="1869"/>
      <c r="BP622" s="1869"/>
      <c r="BQ622" s="1869"/>
      <c r="BR622" s="1870"/>
      <c r="BS622" s="1867">
        <f t="shared" si="5"/>
        <v>0</v>
      </c>
      <c r="BT622" s="1867"/>
      <c r="BU622" s="1867"/>
      <c r="BV622" s="1867"/>
      <c r="BW622" s="1867"/>
      <c r="BX622" s="1867">
        <f t="shared" si="6"/>
        <v>0</v>
      </c>
      <c r="BY622" s="1867"/>
      <c r="BZ622" s="1867"/>
      <c r="CA622" s="1867"/>
      <c r="CB622" s="1867"/>
      <c r="CC622" s="1867">
        <f t="shared" si="7"/>
        <v>0</v>
      </c>
      <c r="CD622" s="1867"/>
      <c r="CE622" s="1867"/>
      <c r="CF622" s="1867"/>
      <c r="CG622" s="1867"/>
      <c r="CH622" s="1867">
        <f t="shared" si="8"/>
        <v>0</v>
      </c>
      <c r="CI622" s="1867"/>
      <c r="CJ622" s="1867"/>
      <c r="CK622" s="1867"/>
      <c r="CL622" s="1867"/>
      <c r="CM622" s="1867">
        <f t="shared" si="9"/>
        <v>0</v>
      </c>
      <c r="CN622" s="1867"/>
      <c r="CO622" s="1867"/>
      <c r="CP622" s="1867"/>
      <c r="CQ622" s="1867"/>
      <c r="CR622" s="265"/>
      <c r="CS622" s="2225">
        <f t="shared" si="10"/>
        <v>0</v>
      </c>
      <c r="CT622" s="2225"/>
      <c r="CU622" s="2225"/>
      <c r="CV622" s="2225"/>
      <c r="CW622" s="2225"/>
      <c r="CX622" s="2225">
        <f t="shared" si="11"/>
        <v>0</v>
      </c>
      <c r="CY622" s="2225"/>
      <c r="CZ622" s="2225"/>
      <c r="DA622" s="2225"/>
      <c r="DB622" s="2225"/>
      <c r="DC622" s="2225">
        <f t="shared" si="12"/>
        <v>0</v>
      </c>
      <c r="DD622" s="2225"/>
      <c r="DE622" s="2225"/>
      <c r="DF622" s="2225"/>
      <c r="DG622" s="2225"/>
      <c r="DH622" s="2225">
        <f t="shared" si="13"/>
        <v>0</v>
      </c>
      <c r="DI622" s="2225"/>
      <c r="DJ622" s="2225"/>
      <c r="DK622" s="2225"/>
      <c r="DL622" s="2225"/>
      <c r="DM622" s="2225">
        <f t="shared" si="14"/>
        <v>0</v>
      </c>
      <c r="DN622" s="2225"/>
      <c r="DO622" s="2225"/>
      <c r="DP622" s="2225"/>
      <c r="DQ622" s="2225"/>
      <c r="DR622" s="2225">
        <f t="shared" si="15"/>
        <v>0</v>
      </c>
      <c r="DS622" s="2225"/>
      <c r="DT622" s="2225"/>
      <c r="DU622" s="2225"/>
      <c r="DV622" s="2225"/>
      <c r="DX622" s="1874" t="str">
        <f t="shared" si="16"/>
        <v xml:space="preserve"> </v>
      </c>
      <c r="DY622" s="2021"/>
      <c r="DZ622" s="2021"/>
      <c r="EA622" s="2021"/>
      <c r="EB622" s="1875"/>
      <c r="EC622" s="1874" t="str">
        <f t="shared" si="17"/>
        <v xml:space="preserve"> </v>
      </c>
      <c r="ED622" s="2021"/>
      <c r="EE622" s="2021"/>
      <c r="EF622" s="2021"/>
      <c r="EG622" s="1875"/>
      <c r="EH622" s="1874" t="str">
        <f t="shared" si="18"/>
        <v xml:space="preserve"> </v>
      </c>
      <c r="EI622" s="2021"/>
      <c r="EJ622" s="2021"/>
      <c r="EK622" s="2021"/>
      <c r="EL622" s="1875"/>
      <c r="EM622" s="1874" t="str">
        <f t="shared" si="19"/>
        <v xml:space="preserve"> </v>
      </c>
      <c r="EN622" s="2021"/>
      <c r="EO622" s="2021"/>
      <c r="EP622" s="2021"/>
      <c r="EQ622" s="1875"/>
      <c r="ER622" s="1874" t="str">
        <f t="shared" si="20"/>
        <v xml:space="preserve"> </v>
      </c>
      <c r="ES622" s="2021"/>
      <c r="ET622" s="2021"/>
      <c r="EU622" s="2021"/>
      <c r="EV622" s="1875"/>
      <c r="EW622" s="1874" t="str">
        <f t="shared" si="21"/>
        <v xml:space="preserve"> </v>
      </c>
      <c r="EX622" s="2021"/>
      <c r="EY622" s="2021"/>
      <c r="EZ622" s="2021"/>
      <c r="FA622" s="1875"/>
    </row>
    <row r="623" spans="1:157" ht="13.2">
      <c r="B623" s="12" t="s">
        <v>321</v>
      </c>
      <c r="G623" s="1919"/>
      <c r="H623" s="1919"/>
      <c r="I623" s="1919"/>
      <c r="J623" s="1919"/>
      <c r="K623" s="1919"/>
      <c r="L623" s="1919"/>
      <c r="O623" s="137" t="s">
        <v>211</v>
      </c>
      <c r="P623" s="1885"/>
      <c r="Q623" s="1885"/>
      <c r="R623" s="1885"/>
      <c r="U623" s="12" t="s">
        <v>321</v>
      </c>
      <c r="Z623" s="1919"/>
      <c r="AA623" s="1919"/>
      <c r="AB623" s="1919"/>
      <c r="AC623" s="1919"/>
      <c r="AD623" s="1919"/>
      <c r="AE623" s="1919"/>
      <c r="AH623" s="137" t="s">
        <v>211</v>
      </c>
      <c r="AI623" s="1885"/>
      <c r="AJ623" s="1885"/>
      <c r="AK623" s="1885"/>
      <c r="AZ623" s="58"/>
      <c r="BA623" s="58"/>
      <c r="BB623" s="58"/>
      <c r="BC623" s="58"/>
      <c r="BD623" s="58"/>
      <c r="BE623" s="1874">
        <f t="shared" si="0"/>
        <v>0</v>
      </c>
      <c r="BF623" s="1875"/>
      <c r="BG623" s="1871">
        <f t="shared" si="1"/>
        <v>0</v>
      </c>
      <c r="BH623" s="1873"/>
      <c r="BI623" s="1874">
        <f t="shared" si="2"/>
        <v>0</v>
      </c>
      <c r="BJ623" s="1875"/>
      <c r="BK623" s="1871">
        <f t="shared" si="3"/>
        <v>0</v>
      </c>
      <c r="BL623" s="1873"/>
      <c r="BM623" s="58"/>
      <c r="BN623" s="1868">
        <f t="shared" si="4"/>
        <v>0</v>
      </c>
      <c r="BO623" s="1869"/>
      <c r="BP623" s="1869"/>
      <c r="BQ623" s="1869"/>
      <c r="BR623" s="1870"/>
      <c r="BS623" s="1867">
        <f t="shared" si="5"/>
        <v>0</v>
      </c>
      <c r="BT623" s="1867"/>
      <c r="BU623" s="1867"/>
      <c r="BV623" s="1867"/>
      <c r="BW623" s="1867"/>
      <c r="BX623" s="1867">
        <f t="shared" si="6"/>
        <v>0</v>
      </c>
      <c r="BY623" s="1867"/>
      <c r="BZ623" s="1867"/>
      <c r="CA623" s="1867"/>
      <c r="CB623" s="1867"/>
      <c r="CC623" s="1867">
        <f t="shared" si="7"/>
        <v>0</v>
      </c>
      <c r="CD623" s="1867"/>
      <c r="CE623" s="1867"/>
      <c r="CF623" s="1867"/>
      <c r="CG623" s="1867"/>
      <c r="CH623" s="1867">
        <f t="shared" si="8"/>
        <v>0</v>
      </c>
      <c r="CI623" s="1867"/>
      <c r="CJ623" s="1867"/>
      <c r="CK623" s="1867"/>
      <c r="CL623" s="1867"/>
      <c r="CM623" s="1867">
        <f t="shared" si="9"/>
        <v>0</v>
      </c>
      <c r="CN623" s="1867"/>
      <c r="CO623" s="1867"/>
      <c r="CP623" s="1867"/>
      <c r="CQ623" s="1867"/>
      <c r="CR623" s="265"/>
      <c r="CS623" s="2225">
        <f t="shared" si="10"/>
        <v>0</v>
      </c>
      <c r="CT623" s="2225"/>
      <c r="CU623" s="2225"/>
      <c r="CV623" s="2225"/>
      <c r="CW623" s="2225"/>
      <c r="CX623" s="2225">
        <f t="shared" si="11"/>
        <v>0</v>
      </c>
      <c r="CY623" s="2225"/>
      <c r="CZ623" s="2225"/>
      <c r="DA623" s="2225"/>
      <c r="DB623" s="2225"/>
      <c r="DC623" s="2225">
        <f t="shared" si="12"/>
        <v>0</v>
      </c>
      <c r="DD623" s="2225"/>
      <c r="DE623" s="2225"/>
      <c r="DF623" s="2225"/>
      <c r="DG623" s="2225"/>
      <c r="DH623" s="2225">
        <f t="shared" si="13"/>
        <v>0</v>
      </c>
      <c r="DI623" s="2225"/>
      <c r="DJ623" s="2225"/>
      <c r="DK623" s="2225"/>
      <c r="DL623" s="2225"/>
      <c r="DM623" s="2225">
        <f t="shared" si="14"/>
        <v>0</v>
      </c>
      <c r="DN623" s="2225"/>
      <c r="DO623" s="2225"/>
      <c r="DP623" s="2225"/>
      <c r="DQ623" s="2225"/>
      <c r="DR623" s="2225">
        <f t="shared" si="15"/>
        <v>0</v>
      </c>
      <c r="DS623" s="2225"/>
      <c r="DT623" s="2225"/>
      <c r="DU623" s="2225"/>
      <c r="DV623" s="2225"/>
      <c r="DX623" s="1874" t="str">
        <f t="shared" si="16"/>
        <v xml:space="preserve"> </v>
      </c>
      <c r="DY623" s="2021"/>
      <c r="DZ623" s="2021"/>
      <c r="EA623" s="2021"/>
      <c r="EB623" s="1875"/>
      <c r="EC623" s="1874" t="str">
        <f t="shared" si="17"/>
        <v xml:space="preserve"> </v>
      </c>
      <c r="ED623" s="2021"/>
      <c r="EE623" s="2021"/>
      <c r="EF623" s="2021"/>
      <c r="EG623" s="1875"/>
      <c r="EH623" s="1874" t="str">
        <f t="shared" si="18"/>
        <v xml:space="preserve"> </v>
      </c>
      <c r="EI623" s="2021"/>
      <c r="EJ623" s="2021"/>
      <c r="EK623" s="2021"/>
      <c r="EL623" s="1875"/>
      <c r="EM623" s="1874" t="str">
        <f t="shared" si="19"/>
        <v xml:space="preserve"> </v>
      </c>
      <c r="EN623" s="2021"/>
      <c r="EO623" s="2021"/>
      <c r="EP623" s="2021"/>
      <c r="EQ623" s="1875"/>
      <c r="ER623" s="1874" t="str">
        <f t="shared" si="20"/>
        <v xml:space="preserve"> </v>
      </c>
      <c r="ES623" s="2021"/>
      <c r="ET623" s="2021"/>
      <c r="EU623" s="2021"/>
      <c r="EV623" s="1875"/>
      <c r="EW623" s="1874" t="str">
        <f t="shared" si="21"/>
        <v xml:space="preserve"> </v>
      </c>
      <c r="EX623" s="2021"/>
      <c r="EY623" s="2021"/>
      <c r="EZ623" s="2021"/>
      <c r="FA623" s="1875"/>
    </row>
    <row r="624" spans="1:157" ht="13.2">
      <c r="B624" s="12" t="s">
        <v>18</v>
      </c>
      <c r="H624" s="1894"/>
      <c r="I624" s="1894"/>
      <c r="J624" s="1894"/>
      <c r="K624" s="1894"/>
      <c r="L624" s="1894"/>
      <c r="M624" s="1894"/>
      <c r="N624" s="1894"/>
      <c r="O624" s="1894"/>
      <c r="P624" s="1894"/>
      <c r="Q624" s="1894"/>
      <c r="R624" s="1894"/>
      <c r="U624" s="12" t="s">
        <v>18</v>
      </c>
      <c r="AA624" s="1894"/>
      <c r="AB624" s="1894"/>
      <c r="AC624" s="1894"/>
      <c r="AD624" s="1894"/>
      <c r="AE624" s="1894"/>
      <c r="AF624" s="1894"/>
      <c r="AG624" s="1894"/>
      <c r="AH624" s="1894"/>
      <c r="AI624" s="1894"/>
      <c r="AJ624" s="1894"/>
      <c r="AK624" s="1894"/>
      <c r="AZ624" s="58"/>
      <c r="BA624" s="58"/>
      <c r="BB624" s="58"/>
      <c r="BC624" s="58"/>
      <c r="BD624" s="58"/>
      <c r="BE624" s="1874">
        <f t="shared" si="0"/>
        <v>0</v>
      </c>
      <c r="BF624" s="1875"/>
      <c r="BG624" s="1871">
        <f t="shared" si="1"/>
        <v>0</v>
      </c>
      <c r="BH624" s="1873"/>
      <c r="BI624" s="1874">
        <f t="shared" si="2"/>
        <v>0</v>
      </c>
      <c r="BJ624" s="1875"/>
      <c r="BK624" s="1871">
        <f t="shared" si="3"/>
        <v>0</v>
      </c>
      <c r="BL624" s="1873"/>
      <c r="BM624" s="58"/>
      <c r="BN624" s="1868">
        <f t="shared" si="4"/>
        <v>0</v>
      </c>
      <c r="BO624" s="1869"/>
      <c r="BP624" s="1869"/>
      <c r="BQ624" s="1869"/>
      <c r="BR624" s="1870"/>
      <c r="BS624" s="1867">
        <f t="shared" si="5"/>
        <v>0</v>
      </c>
      <c r="BT624" s="1867"/>
      <c r="BU624" s="1867"/>
      <c r="BV624" s="1867"/>
      <c r="BW624" s="1867"/>
      <c r="BX624" s="1867">
        <f t="shared" si="6"/>
        <v>0</v>
      </c>
      <c r="BY624" s="1867"/>
      <c r="BZ624" s="1867"/>
      <c r="CA624" s="1867"/>
      <c r="CB624" s="1867"/>
      <c r="CC624" s="1867">
        <f t="shared" si="7"/>
        <v>0</v>
      </c>
      <c r="CD624" s="1867"/>
      <c r="CE624" s="1867"/>
      <c r="CF624" s="1867"/>
      <c r="CG624" s="1867"/>
      <c r="CH624" s="1867">
        <f t="shared" si="8"/>
        <v>0</v>
      </c>
      <c r="CI624" s="1867"/>
      <c r="CJ624" s="1867"/>
      <c r="CK624" s="1867"/>
      <c r="CL624" s="1867"/>
      <c r="CM624" s="1867">
        <f t="shared" si="9"/>
        <v>0</v>
      </c>
      <c r="CN624" s="1867"/>
      <c r="CO624" s="1867"/>
      <c r="CP624" s="1867"/>
      <c r="CQ624" s="1867"/>
      <c r="CR624" s="265"/>
      <c r="CS624" s="2225">
        <f t="shared" si="10"/>
        <v>0</v>
      </c>
      <c r="CT624" s="2225"/>
      <c r="CU624" s="2225"/>
      <c r="CV624" s="2225"/>
      <c r="CW624" s="2225"/>
      <c r="CX624" s="2225">
        <f t="shared" si="11"/>
        <v>0</v>
      </c>
      <c r="CY624" s="2225"/>
      <c r="CZ624" s="2225"/>
      <c r="DA624" s="2225"/>
      <c r="DB624" s="2225"/>
      <c r="DC624" s="2225">
        <f t="shared" si="12"/>
        <v>0</v>
      </c>
      <c r="DD624" s="2225"/>
      <c r="DE624" s="2225"/>
      <c r="DF624" s="2225"/>
      <c r="DG624" s="2225"/>
      <c r="DH624" s="2225">
        <f t="shared" si="13"/>
        <v>0</v>
      </c>
      <c r="DI624" s="2225"/>
      <c r="DJ624" s="2225"/>
      <c r="DK624" s="2225"/>
      <c r="DL624" s="2225"/>
      <c r="DM624" s="2225">
        <f t="shared" si="14"/>
        <v>0</v>
      </c>
      <c r="DN624" s="2225"/>
      <c r="DO624" s="2225"/>
      <c r="DP624" s="2225"/>
      <c r="DQ624" s="2225"/>
      <c r="DR624" s="2225">
        <f t="shared" si="15"/>
        <v>0</v>
      </c>
      <c r="DS624" s="2225"/>
      <c r="DT624" s="2225"/>
      <c r="DU624" s="2225"/>
      <c r="DV624" s="2225"/>
      <c r="DX624" s="1874" t="str">
        <f t="shared" si="16"/>
        <v xml:space="preserve"> </v>
      </c>
      <c r="DY624" s="2021"/>
      <c r="DZ624" s="2021"/>
      <c r="EA624" s="2021"/>
      <c r="EB624" s="1875"/>
      <c r="EC624" s="1874" t="str">
        <f t="shared" si="17"/>
        <v xml:space="preserve"> </v>
      </c>
      <c r="ED624" s="2021"/>
      <c r="EE624" s="2021"/>
      <c r="EF624" s="2021"/>
      <c r="EG624" s="1875"/>
      <c r="EH624" s="1874" t="str">
        <f t="shared" si="18"/>
        <v xml:space="preserve"> </v>
      </c>
      <c r="EI624" s="2021"/>
      <c r="EJ624" s="2021"/>
      <c r="EK624" s="2021"/>
      <c r="EL624" s="1875"/>
      <c r="EM624" s="1874" t="str">
        <f t="shared" si="19"/>
        <v xml:space="preserve"> </v>
      </c>
      <c r="EN624" s="2021"/>
      <c r="EO624" s="2021"/>
      <c r="EP624" s="2021"/>
      <c r="EQ624" s="1875"/>
      <c r="ER624" s="1874" t="str">
        <f t="shared" si="20"/>
        <v xml:space="preserve"> </v>
      </c>
      <c r="ES624" s="2021"/>
      <c r="ET624" s="2021"/>
      <c r="EU624" s="2021"/>
      <c r="EV624" s="1875"/>
      <c r="EW624" s="1874" t="str">
        <f t="shared" si="21"/>
        <v xml:space="preserve"> </v>
      </c>
      <c r="EX624" s="2021"/>
      <c r="EY624" s="2021"/>
      <c r="EZ624" s="2021"/>
      <c r="FA624" s="1875"/>
    </row>
    <row r="625" spans="1:157" ht="13.2">
      <c r="B625" s="12" t="s">
        <v>20</v>
      </c>
      <c r="N625" s="1893" t="s">
        <v>693</v>
      </c>
      <c r="O625" s="1893"/>
      <c r="U625" s="12" t="s">
        <v>20</v>
      </c>
      <c r="AG625" s="1893" t="s">
        <v>693</v>
      </c>
      <c r="AH625" s="1893"/>
      <c r="AZ625" s="58"/>
      <c r="BA625" s="58"/>
      <c r="BB625" s="58"/>
      <c r="BC625" s="58"/>
      <c r="BD625" s="58"/>
      <c r="BE625" s="1874">
        <f t="shared" si="0"/>
        <v>0</v>
      </c>
      <c r="BF625" s="1875"/>
      <c r="BG625" s="1871">
        <f t="shared" si="1"/>
        <v>0</v>
      </c>
      <c r="BH625" s="1873"/>
      <c r="BI625" s="1874">
        <f t="shared" si="2"/>
        <v>0</v>
      </c>
      <c r="BJ625" s="1875"/>
      <c r="BK625" s="1871">
        <f t="shared" si="3"/>
        <v>0</v>
      </c>
      <c r="BL625" s="1873"/>
      <c r="BM625" s="58"/>
      <c r="BN625" s="1868">
        <f t="shared" si="4"/>
        <v>0</v>
      </c>
      <c r="BO625" s="1869"/>
      <c r="BP625" s="1869"/>
      <c r="BQ625" s="1869"/>
      <c r="BR625" s="1870"/>
      <c r="BS625" s="1867">
        <f t="shared" si="5"/>
        <v>0</v>
      </c>
      <c r="BT625" s="1867"/>
      <c r="BU625" s="1867"/>
      <c r="BV625" s="1867"/>
      <c r="BW625" s="1867"/>
      <c r="BX625" s="1867">
        <f t="shared" si="6"/>
        <v>0</v>
      </c>
      <c r="BY625" s="1867"/>
      <c r="BZ625" s="1867"/>
      <c r="CA625" s="1867"/>
      <c r="CB625" s="1867"/>
      <c r="CC625" s="1867">
        <f t="shared" si="7"/>
        <v>0</v>
      </c>
      <c r="CD625" s="1867"/>
      <c r="CE625" s="1867"/>
      <c r="CF625" s="1867"/>
      <c r="CG625" s="1867"/>
      <c r="CH625" s="1867">
        <f t="shared" si="8"/>
        <v>0</v>
      </c>
      <c r="CI625" s="1867"/>
      <c r="CJ625" s="1867"/>
      <c r="CK625" s="1867"/>
      <c r="CL625" s="1867"/>
      <c r="CM625" s="1867">
        <f t="shared" si="9"/>
        <v>0</v>
      </c>
      <c r="CN625" s="1867"/>
      <c r="CO625" s="1867"/>
      <c r="CP625" s="1867"/>
      <c r="CQ625" s="1867"/>
      <c r="CR625" s="265"/>
      <c r="CS625" s="2225">
        <f t="shared" si="10"/>
        <v>0</v>
      </c>
      <c r="CT625" s="2225"/>
      <c r="CU625" s="2225"/>
      <c r="CV625" s="2225"/>
      <c r="CW625" s="2225"/>
      <c r="CX625" s="2225">
        <f t="shared" si="11"/>
        <v>0</v>
      </c>
      <c r="CY625" s="2225"/>
      <c r="CZ625" s="2225"/>
      <c r="DA625" s="2225"/>
      <c r="DB625" s="2225"/>
      <c r="DC625" s="2225">
        <f t="shared" si="12"/>
        <v>0</v>
      </c>
      <c r="DD625" s="2225"/>
      <c r="DE625" s="2225"/>
      <c r="DF625" s="2225"/>
      <c r="DG625" s="2225"/>
      <c r="DH625" s="2225">
        <f t="shared" si="13"/>
        <v>0</v>
      </c>
      <c r="DI625" s="2225"/>
      <c r="DJ625" s="2225"/>
      <c r="DK625" s="2225"/>
      <c r="DL625" s="2225"/>
      <c r="DM625" s="2225">
        <f t="shared" si="14"/>
        <v>0</v>
      </c>
      <c r="DN625" s="2225"/>
      <c r="DO625" s="2225"/>
      <c r="DP625" s="2225"/>
      <c r="DQ625" s="2225"/>
      <c r="DR625" s="2225">
        <f t="shared" si="15"/>
        <v>0</v>
      </c>
      <c r="DS625" s="2225"/>
      <c r="DT625" s="2225"/>
      <c r="DU625" s="2225"/>
      <c r="DV625" s="2225"/>
      <c r="DX625" s="1874" t="str">
        <f t="shared" si="16"/>
        <v xml:space="preserve"> </v>
      </c>
      <c r="DY625" s="2021"/>
      <c r="DZ625" s="2021"/>
      <c r="EA625" s="2021"/>
      <c r="EB625" s="1875"/>
      <c r="EC625" s="1874" t="str">
        <f t="shared" si="17"/>
        <v xml:space="preserve"> </v>
      </c>
      <c r="ED625" s="2021"/>
      <c r="EE625" s="2021"/>
      <c r="EF625" s="2021"/>
      <c r="EG625" s="1875"/>
      <c r="EH625" s="1874" t="str">
        <f t="shared" si="18"/>
        <v xml:space="preserve"> </v>
      </c>
      <c r="EI625" s="2021"/>
      <c r="EJ625" s="2021"/>
      <c r="EK625" s="2021"/>
      <c r="EL625" s="1875"/>
      <c r="EM625" s="1874" t="str">
        <f t="shared" si="19"/>
        <v xml:space="preserve"> </v>
      </c>
      <c r="EN625" s="2021"/>
      <c r="EO625" s="2021"/>
      <c r="EP625" s="2021"/>
      <c r="EQ625" s="1875"/>
      <c r="ER625" s="1874" t="str">
        <f t="shared" si="20"/>
        <v xml:space="preserve"> </v>
      </c>
      <c r="ES625" s="2021"/>
      <c r="ET625" s="2021"/>
      <c r="EU625" s="2021"/>
      <c r="EV625" s="1875"/>
      <c r="EW625" s="1874" t="str">
        <f t="shared" si="21"/>
        <v xml:space="preserve"> </v>
      </c>
      <c r="EX625" s="2021"/>
      <c r="EY625" s="2021"/>
      <c r="EZ625" s="2021"/>
      <c r="FA625" s="1875"/>
    </row>
    <row r="626" spans="1:157" ht="13.2">
      <c r="AZ626" s="58"/>
      <c r="BA626" s="58"/>
      <c r="BB626" s="58"/>
      <c r="BC626" s="58"/>
      <c r="BD626" s="58"/>
      <c r="BE626" s="1874">
        <f t="shared" si="0"/>
        <v>0</v>
      </c>
      <c r="BF626" s="1875"/>
      <c r="BG626" s="1871">
        <f t="shared" si="1"/>
        <v>0</v>
      </c>
      <c r="BH626" s="1873"/>
      <c r="BI626" s="1874">
        <f t="shared" si="2"/>
        <v>0</v>
      </c>
      <c r="BJ626" s="1875"/>
      <c r="BK626" s="1871">
        <f t="shared" si="3"/>
        <v>0</v>
      </c>
      <c r="BL626" s="1873"/>
      <c r="BM626" s="58"/>
      <c r="BN626" s="1868">
        <f t="shared" si="4"/>
        <v>0</v>
      </c>
      <c r="BO626" s="1869"/>
      <c r="BP626" s="1869"/>
      <c r="BQ626" s="1869"/>
      <c r="BR626" s="1870"/>
      <c r="BS626" s="1867">
        <f t="shared" si="5"/>
        <v>0</v>
      </c>
      <c r="BT626" s="1867"/>
      <c r="BU626" s="1867"/>
      <c r="BV626" s="1867"/>
      <c r="BW626" s="1867"/>
      <c r="BX626" s="1867">
        <f t="shared" si="6"/>
        <v>0</v>
      </c>
      <c r="BY626" s="1867"/>
      <c r="BZ626" s="1867"/>
      <c r="CA626" s="1867"/>
      <c r="CB626" s="1867"/>
      <c r="CC626" s="1867">
        <f t="shared" si="7"/>
        <v>0</v>
      </c>
      <c r="CD626" s="1867"/>
      <c r="CE626" s="1867"/>
      <c r="CF626" s="1867"/>
      <c r="CG626" s="1867"/>
      <c r="CH626" s="1867">
        <f t="shared" si="8"/>
        <v>0</v>
      </c>
      <c r="CI626" s="1867"/>
      <c r="CJ626" s="1867"/>
      <c r="CK626" s="1867"/>
      <c r="CL626" s="1867"/>
      <c r="CM626" s="1867">
        <f t="shared" si="9"/>
        <v>0</v>
      </c>
      <c r="CN626" s="1867"/>
      <c r="CO626" s="1867"/>
      <c r="CP626" s="1867"/>
      <c r="CQ626" s="1867"/>
      <c r="CR626" s="265"/>
      <c r="CS626" s="2225">
        <f t="shared" si="10"/>
        <v>0</v>
      </c>
      <c r="CT626" s="2225"/>
      <c r="CU626" s="2225"/>
      <c r="CV626" s="2225"/>
      <c r="CW626" s="2225"/>
      <c r="CX626" s="2225">
        <f t="shared" si="11"/>
        <v>0</v>
      </c>
      <c r="CY626" s="2225"/>
      <c r="CZ626" s="2225"/>
      <c r="DA626" s="2225"/>
      <c r="DB626" s="2225"/>
      <c r="DC626" s="2225">
        <f t="shared" si="12"/>
        <v>0</v>
      </c>
      <c r="DD626" s="2225"/>
      <c r="DE626" s="2225"/>
      <c r="DF626" s="2225"/>
      <c r="DG626" s="2225"/>
      <c r="DH626" s="2225">
        <f t="shared" si="13"/>
        <v>0</v>
      </c>
      <c r="DI626" s="2225"/>
      <c r="DJ626" s="2225"/>
      <c r="DK626" s="2225"/>
      <c r="DL626" s="2225"/>
      <c r="DM626" s="2225">
        <f t="shared" si="14"/>
        <v>0</v>
      </c>
      <c r="DN626" s="2225"/>
      <c r="DO626" s="2225"/>
      <c r="DP626" s="2225"/>
      <c r="DQ626" s="2225"/>
      <c r="DR626" s="2225">
        <f t="shared" si="15"/>
        <v>0</v>
      </c>
      <c r="DS626" s="2225"/>
      <c r="DT626" s="2225"/>
      <c r="DU626" s="2225"/>
      <c r="DV626" s="2225"/>
      <c r="DX626" s="1874" t="str">
        <f t="shared" si="16"/>
        <v xml:space="preserve"> </v>
      </c>
      <c r="DY626" s="2021"/>
      <c r="DZ626" s="2021"/>
      <c r="EA626" s="2021"/>
      <c r="EB626" s="1875"/>
      <c r="EC626" s="1874" t="str">
        <f t="shared" si="17"/>
        <v xml:space="preserve"> </v>
      </c>
      <c r="ED626" s="2021"/>
      <c r="EE626" s="2021"/>
      <c r="EF626" s="2021"/>
      <c r="EG626" s="1875"/>
      <c r="EH626" s="1874" t="str">
        <f t="shared" si="18"/>
        <v xml:space="preserve"> </v>
      </c>
      <c r="EI626" s="2021"/>
      <c r="EJ626" s="2021"/>
      <c r="EK626" s="2021"/>
      <c r="EL626" s="1875"/>
      <c r="EM626" s="1874" t="str">
        <f t="shared" si="19"/>
        <v xml:space="preserve"> </v>
      </c>
      <c r="EN626" s="2021"/>
      <c r="EO626" s="2021"/>
      <c r="EP626" s="2021"/>
      <c r="EQ626" s="1875"/>
      <c r="ER626" s="1874" t="str">
        <f t="shared" si="20"/>
        <v xml:space="preserve"> </v>
      </c>
      <c r="ES626" s="2021"/>
      <c r="ET626" s="2021"/>
      <c r="EU626" s="2021"/>
      <c r="EV626" s="1875"/>
      <c r="EW626" s="1874" t="str">
        <f t="shared" si="21"/>
        <v xml:space="preserve"> </v>
      </c>
      <c r="EX626" s="2021"/>
      <c r="EY626" s="2021"/>
      <c r="EZ626" s="2021"/>
      <c r="FA626" s="1875"/>
    </row>
    <row r="627" spans="1:157" ht="12.75" customHeight="1">
      <c r="A627" s="1723" t="s">
        <v>567</v>
      </c>
      <c r="B627" s="1723"/>
      <c r="C627" s="1723"/>
      <c r="D627" s="1723"/>
      <c r="E627" s="1723"/>
      <c r="F627" s="1723"/>
      <c r="G627" s="1723"/>
      <c r="H627" s="1723"/>
      <c r="I627" s="1723"/>
      <c r="J627" s="1723"/>
      <c r="K627" s="1723"/>
      <c r="L627" s="1723"/>
      <c r="M627" s="1723"/>
      <c r="N627" s="1723"/>
      <c r="O627" s="1723"/>
      <c r="P627" s="1723"/>
      <c r="Q627" s="1723"/>
      <c r="R627" s="1723"/>
      <c r="S627" s="1723"/>
      <c r="T627" s="1723"/>
      <c r="U627" s="1723"/>
      <c r="V627" s="1723"/>
      <c r="W627" s="1723"/>
      <c r="X627" s="1723"/>
      <c r="Y627" s="1723"/>
      <c r="Z627" s="1723"/>
      <c r="AA627" s="1723"/>
      <c r="AB627" s="1723"/>
      <c r="AC627" s="1723"/>
      <c r="AD627" s="1723"/>
      <c r="AE627" s="1723"/>
      <c r="AF627" s="1723"/>
      <c r="AG627" s="1723"/>
      <c r="AH627" s="1723"/>
      <c r="AI627" s="1723"/>
      <c r="AJ627" s="1723"/>
      <c r="AK627" s="1723"/>
      <c r="AL627" s="1723"/>
      <c r="AM627" s="1723"/>
      <c r="AN627" s="1723"/>
      <c r="AO627" s="1723"/>
      <c r="AP627" s="1723"/>
      <c r="AQ627" s="1723"/>
      <c r="AR627" s="1723"/>
      <c r="AS627" s="1723"/>
      <c r="AT627" s="950"/>
      <c r="AU627" s="950"/>
      <c r="AV627" s="950"/>
      <c r="AW627" s="950"/>
      <c r="AX627" s="950"/>
      <c r="AY627" s="950"/>
      <c r="AZ627" s="58"/>
      <c r="BA627" s="58"/>
      <c r="BB627" s="58"/>
      <c r="BC627" s="58"/>
      <c r="BD627" s="58"/>
      <c r="BE627" s="1874">
        <f t="shared" si="0"/>
        <v>0</v>
      </c>
      <c r="BF627" s="1875"/>
      <c r="BG627" s="1871">
        <f t="shared" si="1"/>
        <v>0</v>
      </c>
      <c r="BH627" s="1873"/>
      <c r="BI627" s="1874">
        <f t="shared" si="2"/>
        <v>0</v>
      </c>
      <c r="BJ627" s="1875"/>
      <c r="BK627" s="1871">
        <f t="shared" si="3"/>
        <v>0</v>
      </c>
      <c r="BL627" s="1873"/>
      <c r="BM627" s="58"/>
      <c r="BN627" s="1868">
        <f t="shared" si="4"/>
        <v>0</v>
      </c>
      <c r="BO627" s="1869"/>
      <c r="BP627" s="1869"/>
      <c r="BQ627" s="1869"/>
      <c r="BR627" s="1870"/>
      <c r="BS627" s="1867">
        <f t="shared" si="5"/>
        <v>0</v>
      </c>
      <c r="BT627" s="1867"/>
      <c r="BU627" s="1867"/>
      <c r="BV627" s="1867"/>
      <c r="BW627" s="1867"/>
      <c r="BX627" s="1867">
        <f t="shared" si="6"/>
        <v>0</v>
      </c>
      <c r="BY627" s="1867"/>
      <c r="BZ627" s="1867"/>
      <c r="CA627" s="1867"/>
      <c r="CB627" s="1867"/>
      <c r="CC627" s="1867">
        <f t="shared" si="7"/>
        <v>0</v>
      </c>
      <c r="CD627" s="1867"/>
      <c r="CE627" s="1867"/>
      <c r="CF627" s="1867"/>
      <c r="CG627" s="1867"/>
      <c r="CH627" s="1867">
        <f t="shared" si="8"/>
        <v>0</v>
      </c>
      <c r="CI627" s="1867"/>
      <c r="CJ627" s="1867"/>
      <c r="CK627" s="1867"/>
      <c r="CL627" s="1867"/>
      <c r="CM627" s="1867">
        <f t="shared" si="9"/>
        <v>0</v>
      </c>
      <c r="CN627" s="1867"/>
      <c r="CO627" s="1867"/>
      <c r="CP627" s="1867"/>
      <c r="CQ627" s="1867"/>
      <c r="CR627" s="265"/>
      <c r="CS627" s="2225">
        <f t="shared" si="10"/>
        <v>0</v>
      </c>
      <c r="CT627" s="2225"/>
      <c r="CU627" s="2225"/>
      <c r="CV627" s="2225"/>
      <c r="CW627" s="2225"/>
      <c r="CX627" s="2225">
        <f t="shared" si="11"/>
        <v>0</v>
      </c>
      <c r="CY627" s="2225"/>
      <c r="CZ627" s="2225"/>
      <c r="DA627" s="2225"/>
      <c r="DB627" s="2225"/>
      <c r="DC627" s="2225">
        <f t="shared" si="12"/>
        <v>0</v>
      </c>
      <c r="DD627" s="2225"/>
      <c r="DE627" s="2225"/>
      <c r="DF627" s="2225"/>
      <c r="DG627" s="2225"/>
      <c r="DH627" s="2225">
        <f t="shared" si="13"/>
        <v>0</v>
      </c>
      <c r="DI627" s="2225"/>
      <c r="DJ627" s="2225"/>
      <c r="DK627" s="2225"/>
      <c r="DL627" s="2225"/>
      <c r="DM627" s="2225">
        <f t="shared" si="14"/>
        <v>0</v>
      </c>
      <c r="DN627" s="2225"/>
      <c r="DO627" s="2225"/>
      <c r="DP627" s="2225"/>
      <c r="DQ627" s="2225"/>
      <c r="DR627" s="2225">
        <f t="shared" si="15"/>
        <v>0</v>
      </c>
      <c r="DS627" s="2225"/>
      <c r="DT627" s="2225"/>
      <c r="DU627" s="2225"/>
      <c r="DV627" s="2225"/>
      <c r="DX627" s="1874" t="str">
        <f t="shared" si="16"/>
        <v xml:space="preserve"> </v>
      </c>
      <c r="DY627" s="2021"/>
      <c r="DZ627" s="2021"/>
      <c r="EA627" s="2021"/>
      <c r="EB627" s="1875"/>
      <c r="EC627" s="1874" t="str">
        <f t="shared" si="17"/>
        <v xml:space="preserve"> </v>
      </c>
      <c r="ED627" s="2021"/>
      <c r="EE627" s="2021"/>
      <c r="EF627" s="2021"/>
      <c r="EG627" s="1875"/>
      <c r="EH627" s="1874" t="str">
        <f t="shared" si="18"/>
        <v xml:space="preserve"> </v>
      </c>
      <c r="EI627" s="2021"/>
      <c r="EJ627" s="2021"/>
      <c r="EK627" s="2021"/>
      <c r="EL627" s="1875"/>
      <c r="EM627" s="1874" t="str">
        <f t="shared" si="19"/>
        <v xml:space="preserve"> </v>
      </c>
      <c r="EN627" s="2021"/>
      <c r="EO627" s="2021"/>
      <c r="EP627" s="2021"/>
      <c r="EQ627" s="1875"/>
      <c r="ER627" s="1874" t="str">
        <f t="shared" si="20"/>
        <v xml:space="preserve"> </v>
      </c>
      <c r="ES627" s="2021"/>
      <c r="ET627" s="2021"/>
      <c r="EU627" s="2021"/>
      <c r="EV627" s="1875"/>
      <c r="EW627" s="1874" t="str">
        <f t="shared" si="21"/>
        <v xml:space="preserve"> </v>
      </c>
      <c r="EX627" s="2021"/>
      <c r="EY627" s="2021"/>
      <c r="EZ627" s="2021"/>
      <c r="FA627" s="1875"/>
    </row>
    <row r="628" spans="1:157" ht="13.2">
      <c r="A628" s="1723"/>
      <c r="B628" s="1723"/>
      <c r="C628" s="1723"/>
      <c r="D628" s="1723"/>
      <c r="E628" s="1723"/>
      <c r="F628" s="1723"/>
      <c r="G628" s="1723"/>
      <c r="H628" s="1723"/>
      <c r="I628" s="1723"/>
      <c r="J628" s="1723"/>
      <c r="K628" s="1723"/>
      <c r="L628" s="1723"/>
      <c r="M628" s="1723"/>
      <c r="N628" s="1723"/>
      <c r="O628" s="1723"/>
      <c r="P628" s="1723"/>
      <c r="Q628" s="1723"/>
      <c r="R628" s="1723"/>
      <c r="S628" s="1723"/>
      <c r="T628" s="1723"/>
      <c r="U628" s="1723"/>
      <c r="V628" s="1723"/>
      <c r="W628" s="1723"/>
      <c r="X628" s="1723"/>
      <c r="Y628" s="1723"/>
      <c r="Z628" s="1723"/>
      <c r="AA628" s="1723"/>
      <c r="AB628" s="1723"/>
      <c r="AC628" s="1723"/>
      <c r="AD628" s="1723"/>
      <c r="AE628" s="1723"/>
      <c r="AF628" s="1723"/>
      <c r="AG628" s="1723"/>
      <c r="AH628" s="1723"/>
      <c r="AI628" s="1723"/>
      <c r="AJ628" s="1723"/>
      <c r="AK628" s="1723"/>
      <c r="AL628" s="1723"/>
      <c r="AM628" s="1723"/>
      <c r="AN628" s="1723"/>
      <c r="AO628" s="1723"/>
      <c r="AP628" s="1723"/>
      <c r="AQ628" s="1723"/>
      <c r="AR628" s="1723"/>
      <c r="AS628" s="1723"/>
      <c r="AT628" s="950"/>
      <c r="AU628" s="950"/>
      <c r="AV628" s="950"/>
      <c r="AW628" s="950"/>
      <c r="AX628" s="950"/>
      <c r="AY628" s="950"/>
      <c r="AZ628" s="58"/>
      <c r="BA628" s="58"/>
      <c r="BB628" s="58"/>
      <c r="BC628" s="58"/>
      <c r="BD628" s="58"/>
      <c r="BE628" s="1874">
        <f t="shared" si="0"/>
        <v>0</v>
      </c>
      <c r="BF628" s="1875"/>
      <c r="BG628" s="1871">
        <f t="shared" si="1"/>
        <v>0</v>
      </c>
      <c r="BH628" s="1873"/>
      <c r="BI628" s="1874">
        <f t="shared" si="2"/>
        <v>0</v>
      </c>
      <c r="BJ628" s="1875"/>
      <c r="BK628" s="1871">
        <f t="shared" si="3"/>
        <v>0</v>
      </c>
      <c r="BL628" s="1873"/>
      <c r="BM628" s="58"/>
      <c r="BN628" s="1868">
        <f t="shared" si="4"/>
        <v>0</v>
      </c>
      <c r="BO628" s="1869"/>
      <c r="BP628" s="1869"/>
      <c r="BQ628" s="1869"/>
      <c r="BR628" s="1870"/>
      <c r="BS628" s="1867">
        <f t="shared" si="5"/>
        <v>0</v>
      </c>
      <c r="BT628" s="1867"/>
      <c r="BU628" s="1867"/>
      <c r="BV628" s="1867"/>
      <c r="BW628" s="1867"/>
      <c r="BX628" s="1867">
        <f t="shared" si="6"/>
        <v>0</v>
      </c>
      <c r="BY628" s="1867"/>
      <c r="BZ628" s="1867"/>
      <c r="CA628" s="1867"/>
      <c r="CB628" s="1867"/>
      <c r="CC628" s="1867">
        <f t="shared" si="7"/>
        <v>0</v>
      </c>
      <c r="CD628" s="1867"/>
      <c r="CE628" s="1867"/>
      <c r="CF628" s="1867"/>
      <c r="CG628" s="1867"/>
      <c r="CH628" s="1867">
        <f t="shared" si="8"/>
        <v>0</v>
      </c>
      <c r="CI628" s="1867"/>
      <c r="CJ628" s="1867"/>
      <c r="CK628" s="1867"/>
      <c r="CL628" s="1867"/>
      <c r="CM628" s="1867">
        <f t="shared" si="9"/>
        <v>0</v>
      </c>
      <c r="CN628" s="1867"/>
      <c r="CO628" s="1867"/>
      <c r="CP628" s="1867"/>
      <c r="CQ628" s="1867"/>
      <c r="CR628" s="265"/>
      <c r="CS628" s="2225">
        <f t="shared" si="10"/>
        <v>0</v>
      </c>
      <c r="CT628" s="2225"/>
      <c r="CU628" s="2225"/>
      <c r="CV628" s="2225"/>
      <c r="CW628" s="2225"/>
      <c r="CX628" s="2225">
        <f t="shared" si="11"/>
        <v>0</v>
      </c>
      <c r="CY628" s="2225"/>
      <c r="CZ628" s="2225"/>
      <c r="DA628" s="2225"/>
      <c r="DB628" s="2225"/>
      <c r="DC628" s="2225">
        <f t="shared" si="12"/>
        <v>0</v>
      </c>
      <c r="DD628" s="2225"/>
      <c r="DE628" s="2225"/>
      <c r="DF628" s="2225"/>
      <c r="DG628" s="2225"/>
      <c r="DH628" s="2225">
        <f t="shared" si="13"/>
        <v>0</v>
      </c>
      <c r="DI628" s="2225"/>
      <c r="DJ628" s="2225"/>
      <c r="DK628" s="2225"/>
      <c r="DL628" s="2225"/>
      <c r="DM628" s="2225">
        <f t="shared" si="14"/>
        <v>0</v>
      </c>
      <c r="DN628" s="2225"/>
      <c r="DO628" s="2225"/>
      <c r="DP628" s="2225"/>
      <c r="DQ628" s="2225"/>
      <c r="DR628" s="2225">
        <f t="shared" si="15"/>
        <v>0</v>
      </c>
      <c r="DS628" s="2225"/>
      <c r="DT628" s="2225"/>
      <c r="DU628" s="2225"/>
      <c r="DV628" s="2225"/>
      <c r="DX628" s="1874" t="str">
        <f t="shared" si="16"/>
        <v xml:space="preserve"> </v>
      </c>
      <c r="DY628" s="2021"/>
      <c r="DZ628" s="2021"/>
      <c r="EA628" s="2021"/>
      <c r="EB628" s="1875"/>
      <c r="EC628" s="1874" t="str">
        <f t="shared" si="17"/>
        <v xml:space="preserve"> </v>
      </c>
      <c r="ED628" s="2021"/>
      <c r="EE628" s="2021"/>
      <c r="EF628" s="2021"/>
      <c r="EG628" s="1875"/>
      <c r="EH628" s="1874" t="str">
        <f t="shared" si="18"/>
        <v xml:space="preserve"> </v>
      </c>
      <c r="EI628" s="2021"/>
      <c r="EJ628" s="2021"/>
      <c r="EK628" s="2021"/>
      <c r="EL628" s="1875"/>
      <c r="EM628" s="1874" t="str">
        <f t="shared" si="19"/>
        <v xml:space="preserve"> </v>
      </c>
      <c r="EN628" s="2021"/>
      <c r="EO628" s="2021"/>
      <c r="EP628" s="2021"/>
      <c r="EQ628" s="1875"/>
      <c r="ER628" s="1874" t="str">
        <f t="shared" si="20"/>
        <v xml:space="preserve"> </v>
      </c>
      <c r="ES628" s="2021"/>
      <c r="ET628" s="2021"/>
      <c r="EU628" s="2021"/>
      <c r="EV628" s="1875"/>
      <c r="EW628" s="1874" t="str">
        <f t="shared" si="21"/>
        <v xml:space="preserve"> </v>
      </c>
      <c r="EX628" s="2021"/>
      <c r="EY628" s="2021"/>
      <c r="EZ628" s="2021"/>
      <c r="FA628" s="1875"/>
    </row>
    <row r="629" spans="1:157" ht="13.2">
      <c r="A629" s="25"/>
      <c r="B629" s="25"/>
      <c r="C629" s="25"/>
      <c r="D629" s="25"/>
      <c r="E629" s="25"/>
      <c r="F629" s="25"/>
      <c r="G629" s="3"/>
      <c r="H629" s="25"/>
      <c r="AZ629" s="58"/>
      <c r="BA629" s="58"/>
      <c r="BB629" s="58"/>
      <c r="BC629" s="58"/>
      <c r="BD629" s="58"/>
      <c r="BE629" s="1874">
        <f t="shared" si="0"/>
        <v>0</v>
      </c>
      <c r="BF629" s="1875"/>
      <c r="BG629" s="1871">
        <f t="shared" si="1"/>
        <v>0</v>
      </c>
      <c r="BH629" s="1873"/>
      <c r="BI629" s="1874">
        <f t="shared" si="2"/>
        <v>0</v>
      </c>
      <c r="BJ629" s="1875"/>
      <c r="BK629" s="1871">
        <f t="shared" si="3"/>
        <v>0</v>
      </c>
      <c r="BL629" s="1873"/>
      <c r="BM629" s="58"/>
      <c r="BN629" s="1868">
        <f t="shared" si="4"/>
        <v>0</v>
      </c>
      <c r="BO629" s="1869"/>
      <c r="BP629" s="1869"/>
      <c r="BQ629" s="1869"/>
      <c r="BR629" s="1870"/>
      <c r="BS629" s="1867">
        <f t="shared" si="5"/>
        <v>0</v>
      </c>
      <c r="BT629" s="1867"/>
      <c r="BU629" s="1867"/>
      <c r="BV629" s="1867"/>
      <c r="BW629" s="1867"/>
      <c r="BX629" s="1867">
        <f t="shared" si="6"/>
        <v>0</v>
      </c>
      <c r="BY629" s="1867"/>
      <c r="BZ629" s="1867"/>
      <c r="CA629" s="1867"/>
      <c r="CB629" s="1867"/>
      <c r="CC629" s="1867">
        <f t="shared" si="7"/>
        <v>0</v>
      </c>
      <c r="CD629" s="1867"/>
      <c r="CE629" s="1867"/>
      <c r="CF629" s="1867"/>
      <c r="CG629" s="1867"/>
      <c r="CH629" s="1867">
        <f t="shared" si="8"/>
        <v>0</v>
      </c>
      <c r="CI629" s="1867"/>
      <c r="CJ629" s="1867"/>
      <c r="CK629" s="1867"/>
      <c r="CL629" s="1867"/>
      <c r="CM629" s="1867">
        <f t="shared" si="9"/>
        <v>0</v>
      </c>
      <c r="CN629" s="1867"/>
      <c r="CO629" s="1867"/>
      <c r="CP629" s="1867"/>
      <c r="CQ629" s="1867"/>
      <c r="CR629" s="265"/>
      <c r="CS629" s="2225">
        <f t="shared" si="10"/>
        <v>0</v>
      </c>
      <c r="CT629" s="2225"/>
      <c r="CU629" s="2225"/>
      <c r="CV629" s="2225"/>
      <c r="CW629" s="2225"/>
      <c r="CX629" s="2225">
        <f t="shared" si="11"/>
        <v>0</v>
      </c>
      <c r="CY629" s="2225"/>
      <c r="CZ629" s="2225"/>
      <c r="DA629" s="2225"/>
      <c r="DB629" s="2225"/>
      <c r="DC629" s="2225">
        <f t="shared" si="12"/>
        <v>0</v>
      </c>
      <c r="DD629" s="2225"/>
      <c r="DE629" s="2225"/>
      <c r="DF629" s="2225"/>
      <c r="DG629" s="2225"/>
      <c r="DH629" s="2225">
        <f t="shared" si="13"/>
        <v>0</v>
      </c>
      <c r="DI629" s="2225"/>
      <c r="DJ629" s="2225"/>
      <c r="DK629" s="2225"/>
      <c r="DL629" s="2225"/>
      <c r="DM629" s="2225">
        <f t="shared" si="14"/>
        <v>0</v>
      </c>
      <c r="DN629" s="2225"/>
      <c r="DO629" s="2225"/>
      <c r="DP629" s="2225"/>
      <c r="DQ629" s="2225"/>
      <c r="DR629" s="2225">
        <f t="shared" si="15"/>
        <v>0</v>
      </c>
      <c r="DS629" s="2225"/>
      <c r="DT629" s="2225"/>
      <c r="DU629" s="2225"/>
      <c r="DV629" s="2225"/>
      <c r="DX629" s="1874" t="str">
        <f t="shared" si="16"/>
        <v xml:space="preserve"> </v>
      </c>
      <c r="DY629" s="2021"/>
      <c r="DZ629" s="2021"/>
      <c r="EA629" s="2021"/>
      <c r="EB629" s="1875"/>
      <c r="EC629" s="1874" t="str">
        <f t="shared" si="17"/>
        <v xml:space="preserve"> </v>
      </c>
      <c r="ED629" s="2021"/>
      <c r="EE629" s="2021"/>
      <c r="EF629" s="2021"/>
      <c r="EG629" s="1875"/>
      <c r="EH629" s="1874" t="str">
        <f t="shared" si="18"/>
        <v xml:space="preserve"> </v>
      </c>
      <c r="EI629" s="2021"/>
      <c r="EJ629" s="2021"/>
      <c r="EK629" s="2021"/>
      <c r="EL629" s="1875"/>
      <c r="EM629" s="1874" t="str">
        <f t="shared" si="19"/>
        <v xml:space="preserve"> </v>
      </c>
      <c r="EN629" s="2021"/>
      <c r="EO629" s="2021"/>
      <c r="EP629" s="2021"/>
      <c r="EQ629" s="1875"/>
      <c r="ER629" s="1874" t="str">
        <f t="shared" si="20"/>
        <v xml:space="preserve"> </v>
      </c>
      <c r="ES629" s="2021"/>
      <c r="ET629" s="2021"/>
      <c r="EU629" s="2021"/>
      <c r="EV629" s="1875"/>
      <c r="EW629" s="1874" t="str">
        <f t="shared" si="21"/>
        <v xml:space="preserve"> </v>
      </c>
      <c r="EX629" s="2021"/>
      <c r="EY629" s="2021"/>
      <c r="EZ629" s="2021"/>
      <c r="FA629" s="1875"/>
    </row>
    <row r="630" spans="1:157" ht="13.2">
      <c r="A630" s="50" t="s">
        <v>324</v>
      </c>
      <c r="B630" s="50"/>
      <c r="C630" s="50" t="s">
        <v>21</v>
      </c>
      <c r="AZ630" s="58"/>
      <c r="BA630" s="58"/>
      <c r="BB630" s="58"/>
      <c r="BC630" s="58"/>
      <c r="BD630" s="58"/>
      <c r="BE630" s="1874">
        <f t="shared" si="0"/>
        <v>0</v>
      </c>
      <c r="BF630" s="1875"/>
      <c r="BG630" s="1871">
        <f t="shared" si="1"/>
        <v>0</v>
      </c>
      <c r="BH630" s="1873"/>
      <c r="BI630" s="1874">
        <f t="shared" si="2"/>
        <v>0</v>
      </c>
      <c r="BJ630" s="1875"/>
      <c r="BK630" s="1871">
        <f t="shared" si="3"/>
        <v>0</v>
      </c>
      <c r="BL630" s="1873"/>
      <c r="BM630" s="58"/>
      <c r="BN630" s="1868">
        <f t="shared" si="4"/>
        <v>0</v>
      </c>
      <c r="BO630" s="1869"/>
      <c r="BP630" s="1869"/>
      <c r="BQ630" s="1869"/>
      <c r="BR630" s="1870"/>
      <c r="BS630" s="1867">
        <f t="shared" si="5"/>
        <v>0</v>
      </c>
      <c r="BT630" s="1867"/>
      <c r="BU630" s="1867"/>
      <c r="BV630" s="1867"/>
      <c r="BW630" s="1867"/>
      <c r="BX630" s="1867">
        <f t="shared" si="6"/>
        <v>0</v>
      </c>
      <c r="BY630" s="1867"/>
      <c r="BZ630" s="1867"/>
      <c r="CA630" s="1867"/>
      <c r="CB630" s="1867"/>
      <c r="CC630" s="1867">
        <f t="shared" si="7"/>
        <v>0</v>
      </c>
      <c r="CD630" s="1867"/>
      <c r="CE630" s="1867"/>
      <c r="CF630" s="1867"/>
      <c r="CG630" s="1867"/>
      <c r="CH630" s="1867">
        <f t="shared" si="8"/>
        <v>0</v>
      </c>
      <c r="CI630" s="1867"/>
      <c r="CJ630" s="1867"/>
      <c r="CK630" s="1867"/>
      <c r="CL630" s="1867"/>
      <c r="CM630" s="1867">
        <f t="shared" si="9"/>
        <v>0</v>
      </c>
      <c r="CN630" s="1867"/>
      <c r="CO630" s="1867"/>
      <c r="CP630" s="1867"/>
      <c r="CQ630" s="1867"/>
      <c r="CR630" s="265"/>
      <c r="CS630" s="2225">
        <f t="shared" si="10"/>
        <v>0</v>
      </c>
      <c r="CT630" s="2225"/>
      <c r="CU630" s="2225"/>
      <c r="CV630" s="2225"/>
      <c r="CW630" s="2225"/>
      <c r="CX630" s="2225">
        <f t="shared" si="11"/>
        <v>0</v>
      </c>
      <c r="CY630" s="2225"/>
      <c r="CZ630" s="2225"/>
      <c r="DA630" s="2225"/>
      <c r="DB630" s="2225"/>
      <c r="DC630" s="2225">
        <f t="shared" si="12"/>
        <v>0</v>
      </c>
      <c r="DD630" s="2225"/>
      <c r="DE630" s="2225"/>
      <c r="DF630" s="2225"/>
      <c r="DG630" s="2225"/>
      <c r="DH630" s="2225">
        <f t="shared" si="13"/>
        <v>0</v>
      </c>
      <c r="DI630" s="2225"/>
      <c r="DJ630" s="2225"/>
      <c r="DK630" s="2225"/>
      <c r="DL630" s="2225"/>
      <c r="DM630" s="2225">
        <f t="shared" si="14"/>
        <v>0</v>
      </c>
      <c r="DN630" s="2225"/>
      <c r="DO630" s="2225"/>
      <c r="DP630" s="2225"/>
      <c r="DQ630" s="2225"/>
      <c r="DR630" s="2225">
        <f t="shared" si="15"/>
        <v>0</v>
      </c>
      <c r="DS630" s="2225"/>
      <c r="DT630" s="2225"/>
      <c r="DU630" s="2225"/>
      <c r="DV630" s="2225"/>
      <c r="DX630" s="1874" t="str">
        <f t="shared" si="16"/>
        <v xml:space="preserve"> </v>
      </c>
      <c r="DY630" s="2021"/>
      <c r="DZ630" s="2021"/>
      <c r="EA630" s="2021"/>
      <c r="EB630" s="1875"/>
      <c r="EC630" s="1874" t="str">
        <f t="shared" si="17"/>
        <v xml:space="preserve"> </v>
      </c>
      <c r="ED630" s="2021"/>
      <c r="EE630" s="2021"/>
      <c r="EF630" s="2021"/>
      <c r="EG630" s="1875"/>
      <c r="EH630" s="1874" t="str">
        <f t="shared" si="18"/>
        <v xml:space="preserve"> </v>
      </c>
      <c r="EI630" s="2021"/>
      <c r="EJ630" s="2021"/>
      <c r="EK630" s="2021"/>
      <c r="EL630" s="1875"/>
      <c r="EM630" s="1874" t="str">
        <f t="shared" si="19"/>
        <v xml:space="preserve"> </v>
      </c>
      <c r="EN630" s="2021"/>
      <c r="EO630" s="2021"/>
      <c r="EP630" s="2021"/>
      <c r="EQ630" s="1875"/>
      <c r="ER630" s="1874" t="str">
        <f t="shared" si="20"/>
        <v xml:space="preserve"> </v>
      </c>
      <c r="ES630" s="2021"/>
      <c r="ET630" s="2021"/>
      <c r="EU630" s="2021"/>
      <c r="EV630" s="1875"/>
      <c r="EW630" s="1874" t="str">
        <f t="shared" si="21"/>
        <v xml:space="preserve"> </v>
      </c>
      <c r="EX630" s="2021"/>
      <c r="EY630" s="2021"/>
      <c r="EZ630" s="2021"/>
      <c r="FA630" s="1875"/>
    </row>
    <row r="631" spans="1:157" ht="13.2">
      <c r="A631" s="50"/>
      <c r="B631" s="50"/>
      <c r="C631" s="50"/>
      <c r="AZ631" s="58"/>
      <c r="BA631" s="58"/>
      <c r="BB631" s="58"/>
      <c r="BC631" s="58"/>
      <c r="BD631" s="58"/>
      <c r="BE631" s="1874">
        <f t="shared" si="0"/>
        <v>0</v>
      </c>
      <c r="BF631" s="1875"/>
      <c r="BG631" s="1871">
        <f t="shared" si="1"/>
        <v>0</v>
      </c>
      <c r="BH631" s="1873"/>
      <c r="BI631" s="1874">
        <f t="shared" si="2"/>
        <v>0</v>
      </c>
      <c r="BJ631" s="1875"/>
      <c r="BK631" s="1871">
        <f t="shared" si="3"/>
        <v>0</v>
      </c>
      <c r="BL631" s="1873"/>
      <c r="BM631" s="58"/>
      <c r="BN631" s="1868">
        <f t="shared" si="4"/>
        <v>0</v>
      </c>
      <c r="BO631" s="1869"/>
      <c r="BP631" s="1869"/>
      <c r="BQ631" s="1869"/>
      <c r="BR631" s="1870"/>
      <c r="BS631" s="1867">
        <f t="shared" si="5"/>
        <v>0</v>
      </c>
      <c r="BT631" s="1867"/>
      <c r="BU631" s="1867"/>
      <c r="BV631" s="1867"/>
      <c r="BW631" s="1867"/>
      <c r="BX631" s="1867">
        <f t="shared" si="6"/>
        <v>0</v>
      </c>
      <c r="BY631" s="1867"/>
      <c r="BZ631" s="1867"/>
      <c r="CA631" s="1867"/>
      <c r="CB631" s="1867"/>
      <c r="CC631" s="1867">
        <f t="shared" si="7"/>
        <v>0</v>
      </c>
      <c r="CD631" s="1867"/>
      <c r="CE631" s="1867"/>
      <c r="CF631" s="1867"/>
      <c r="CG631" s="1867"/>
      <c r="CH631" s="1867">
        <f t="shared" si="8"/>
        <v>0</v>
      </c>
      <c r="CI631" s="1867"/>
      <c r="CJ631" s="1867"/>
      <c r="CK631" s="1867"/>
      <c r="CL631" s="1867"/>
      <c r="CM631" s="1867">
        <f t="shared" si="9"/>
        <v>0</v>
      </c>
      <c r="CN631" s="1867"/>
      <c r="CO631" s="1867"/>
      <c r="CP631" s="1867"/>
      <c r="CQ631" s="1867"/>
      <c r="CR631" s="265"/>
      <c r="CS631" s="2225">
        <f t="shared" si="10"/>
        <v>0</v>
      </c>
      <c r="CT631" s="2225"/>
      <c r="CU631" s="2225"/>
      <c r="CV631" s="2225"/>
      <c r="CW631" s="2225"/>
      <c r="CX631" s="2225">
        <f t="shared" si="11"/>
        <v>0</v>
      </c>
      <c r="CY631" s="2225"/>
      <c r="CZ631" s="2225"/>
      <c r="DA631" s="2225"/>
      <c r="DB631" s="2225"/>
      <c r="DC631" s="2225">
        <f t="shared" si="12"/>
        <v>0</v>
      </c>
      <c r="DD631" s="2225"/>
      <c r="DE631" s="2225"/>
      <c r="DF631" s="2225"/>
      <c r="DG631" s="2225"/>
      <c r="DH631" s="2225">
        <f t="shared" si="13"/>
        <v>0</v>
      </c>
      <c r="DI631" s="2225"/>
      <c r="DJ631" s="2225"/>
      <c r="DK631" s="2225"/>
      <c r="DL631" s="2225"/>
      <c r="DM631" s="2225">
        <f t="shared" si="14"/>
        <v>0</v>
      </c>
      <c r="DN631" s="2225"/>
      <c r="DO631" s="2225"/>
      <c r="DP631" s="2225"/>
      <c r="DQ631" s="2225"/>
      <c r="DR631" s="2225">
        <f t="shared" si="15"/>
        <v>0</v>
      </c>
      <c r="DS631" s="2225"/>
      <c r="DT631" s="2225"/>
      <c r="DU631" s="2225"/>
      <c r="DV631" s="2225"/>
      <c r="DX631" s="1874" t="str">
        <f t="shared" si="16"/>
        <v xml:space="preserve"> </v>
      </c>
      <c r="DY631" s="2021"/>
      <c r="DZ631" s="2021"/>
      <c r="EA631" s="2021"/>
      <c r="EB631" s="1875"/>
      <c r="EC631" s="1874" t="str">
        <f t="shared" si="17"/>
        <v xml:space="preserve"> </v>
      </c>
      <c r="ED631" s="2021"/>
      <c r="EE631" s="2021"/>
      <c r="EF631" s="2021"/>
      <c r="EG631" s="1875"/>
      <c r="EH631" s="1874" t="str">
        <f t="shared" si="18"/>
        <v xml:space="preserve"> </v>
      </c>
      <c r="EI631" s="2021"/>
      <c r="EJ631" s="2021"/>
      <c r="EK631" s="2021"/>
      <c r="EL631" s="1875"/>
      <c r="EM631" s="1874" t="str">
        <f t="shared" si="19"/>
        <v xml:space="preserve"> </v>
      </c>
      <c r="EN631" s="2021"/>
      <c r="EO631" s="2021"/>
      <c r="EP631" s="2021"/>
      <c r="EQ631" s="1875"/>
      <c r="ER631" s="1874" t="str">
        <f t="shared" si="20"/>
        <v xml:space="preserve"> </v>
      </c>
      <c r="ES631" s="2021"/>
      <c r="ET631" s="2021"/>
      <c r="EU631" s="2021"/>
      <c r="EV631" s="1875"/>
      <c r="EW631" s="1874" t="str">
        <f t="shared" si="21"/>
        <v xml:space="preserve"> </v>
      </c>
      <c r="EX631" s="2021"/>
      <c r="EY631" s="2021"/>
      <c r="EZ631" s="2021"/>
      <c r="FA631" s="1875"/>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74">
        <f t="shared" si="0"/>
        <v>0</v>
      </c>
      <c r="BF632" s="1875"/>
      <c r="BG632" s="1871">
        <f t="shared" si="1"/>
        <v>0</v>
      </c>
      <c r="BH632" s="1873"/>
      <c r="BI632" s="1874">
        <f t="shared" si="2"/>
        <v>0</v>
      </c>
      <c r="BJ632" s="1875"/>
      <c r="BK632" s="1871">
        <f t="shared" si="3"/>
        <v>0</v>
      </c>
      <c r="BL632" s="1873"/>
      <c r="BM632" s="58"/>
      <c r="BN632" s="1868">
        <f t="shared" si="4"/>
        <v>0</v>
      </c>
      <c r="BO632" s="1869"/>
      <c r="BP632" s="1869"/>
      <c r="BQ632" s="1869"/>
      <c r="BR632" s="1870"/>
      <c r="BS632" s="1867">
        <f t="shared" si="5"/>
        <v>0</v>
      </c>
      <c r="BT632" s="1867"/>
      <c r="BU632" s="1867"/>
      <c r="BV632" s="1867"/>
      <c r="BW632" s="1867"/>
      <c r="BX632" s="1867">
        <f t="shared" si="6"/>
        <v>0</v>
      </c>
      <c r="BY632" s="1867"/>
      <c r="BZ632" s="1867"/>
      <c r="CA632" s="1867"/>
      <c r="CB632" s="1867"/>
      <c r="CC632" s="1867">
        <f t="shared" si="7"/>
        <v>0</v>
      </c>
      <c r="CD632" s="1867"/>
      <c r="CE632" s="1867"/>
      <c r="CF632" s="1867"/>
      <c r="CG632" s="1867"/>
      <c r="CH632" s="1867">
        <f t="shared" si="8"/>
        <v>0</v>
      </c>
      <c r="CI632" s="1867"/>
      <c r="CJ632" s="1867"/>
      <c r="CK632" s="1867"/>
      <c r="CL632" s="1867"/>
      <c r="CM632" s="1867">
        <f t="shared" si="9"/>
        <v>0</v>
      </c>
      <c r="CN632" s="1867"/>
      <c r="CO632" s="1867"/>
      <c r="CP632" s="1867"/>
      <c r="CQ632" s="1867"/>
      <c r="CR632" s="265"/>
      <c r="CS632" s="2225">
        <f t="shared" si="10"/>
        <v>0</v>
      </c>
      <c r="CT632" s="2225"/>
      <c r="CU632" s="2225"/>
      <c r="CV632" s="2225"/>
      <c r="CW632" s="2225"/>
      <c r="CX632" s="2225">
        <f t="shared" si="11"/>
        <v>0</v>
      </c>
      <c r="CY632" s="2225"/>
      <c r="CZ632" s="2225"/>
      <c r="DA632" s="2225"/>
      <c r="DB632" s="2225"/>
      <c r="DC632" s="2225">
        <f t="shared" si="12"/>
        <v>0</v>
      </c>
      <c r="DD632" s="2225"/>
      <c r="DE632" s="2225"/>
      <c r="DF632" s="2225"/>
      <c r="DG632" s="2225"/>
      <c r="DH632" s="2225">
        <f t="shared" si="13"/>
        <v>0</v>
      </c>
      <c r="DI632" s="2225"/>
      <c r="DJ632" s="2225"/>
      <c r="DK632" s="2225"/>
      <c r="DL632" s="2225"/>
      <c r="DM632" s="2225">
        <f t="shared" si="14"/>
        <v>0</v>
      </c>
      <c r="DN632" s="2225"/>
      <c r="DO632" s="2225"/>
      <c r="DP632" s="2225"/>
      <c r="DQ632" s="2225"/>
      <c r="DR632" s="2225">
        <f t="shared" si="15"/>
        <v>0</v>
      </c>
      <c r="DS632" s="2225"/>
      <c r="DT632" s="2225"/>
      <c r="DU632" s="2225"/>
      <c r="DV632" s="2225"/>
      <c r="DX632" s="1874" t="str">
        <f t="shared" si="16"/>
        <v xml:space="preserve"> </v>
      </c>
      <c r="DY632" s="2021"/>
      <c r="DZ632" s="2021"/>
      <c r="EA632" s="2021"/>
      <c r="EB632" s="1875"/>
      <c r="EC632" s="1874" t="str">
        <f t="shared" si="17"/>
        <v xml:space="preserve"> </v>
      </c>
      <c r="ED632" s="2021"/>
      <c r="EE632" s="2021"/>
      <c r="EF632" s="2021"/>
      <c r="EG632" s="1875"/>
      <c r="EH632" s="1874" t="str">
        <f t="shared" si="18"/>
        <v xml:space="preserve"> </v>
      </c>
      <c r="EI632" s="2021"/>
      <c r="EJ632" s="2021"/>
      <c r="EK632" s="2021"/>
      <c r="EL632" s="1875"/>
      <c r="EM632" s="1874" t="str">
        <f t="shared" si="19"/>
        <v xml:space="preserve"> </v>
      </c>
      <c r="EN632" s="2021"/>
      <c r="EO632" s="2021"/>
      <c r="EP632" s="2021"/>
      <c r="EQ632" s="1875"/>
      <c r="ER632" s="1874" t="str">
        <f t="shared" si="20"/>
        <v xml:space="preserve"> </v>
      </c>
      <c r="ES632" s="2021"/>
      <c r="ET632" s="2021"/>
      <c r="EU632" s="2021"/>
      <c r="EV632" s="1875"/>
      <c r="EW632" s="1874" t="str">
        <f t="shared" si="21"/>
        <v xml:space="preserve"> </v>
      </c>
      <c r="EX632" s="2021"/>
      <c r="EY632" s="2021"/>
      <c r="EZ632" s="2021"/>
      <c r="FA632" s="1875"/>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74">
        <f t="shared" si="0"/>
        <v>0</v>
      </c>
      <c r="BF633" s="1875"/>
      <c r="BG633" s="1871">
        <f t="shared" si="1"/>
        <v>0</v>
      </c>
      <c r="BH633" s="1873"/>
      <c r="BI633" s="1874">
        <f t="shared" si="2"/>
        <v>0</v>
      </c>
      <c r="BJ633" s="1875"/>
      <c r="BK633" s="1871">
        <f t="shared" si="3"/>
        <v>0</v>
      </c>
      <c r="BL633" s="1873"/>
      <c r="BM633" s="58"/>
      <c r="BN633" s="1868">
        <f t="shared" si="4"/>
        <v>0</v>
      </c>
      <c r="BO633" s="1869"/>
      <c r="BP633" s="1869"/>
      <c r="BQ633" s="1869"/>
      <c r="BR633" s="1870"/>
      <c r="BS633" s="1867">
        <f t="shared" si="5"/>
        <v>0</v>
      </c>
      <c r="BT633" s="1867"/>
      <c r="BU633" s="1867"/>
      <c r="BV633" s="1867"/>
      <c r="BW633" s="1867"/>
      <c r="BX633" s="1867">
        <f t="shared" si="6"/>
        <v>0</v>
      </c>
      <c r="BY633" s="1867"/>
      <c r="BZ633" s="1867"/>
      <c r="CA633" s="1867"/>
      <c r="CB633" s="1867"/>
      <c r="CC633" s="1867">
        <f t="shared" si="7"/>
        <v>0</v>
      </c>
      <c r="CD633" s="1867"/>
      <c r="CE633" s="1867"/>
      <c r="CF633" s="1867"/>
      <c r="CG633" s="1867"/>
      <c r="CH633" s="1867">
        <f t="shared" si="8"/>
        <v>0</v>
      </c>
      <c r="CI633" s="1867"/>
      <c r="CJ633" s="1867"/>
      <c r="CK633" s="1867"/>
      <c r="CL633" s="1867"/>
      <c r="CM633" s="1867">
        <f t="shared" si="9"/>
        <v>0</v>
      </c>
      <c r="CN633" s="1867"/>
      <c r="CO633" s="1867"/>
      <c r="CP633" s="1867"/>
      <c r="CQ633" s="1867"/>
      <c r="CR633" s="265"/>
      <c r="CS633" s="2225">
        <f t="shared" si="10"/>
        <v>0</v>
      </c>
      <c r="CT633" s="2225"/>
      <c r="CU633" s="2225"/>
      <c r="CV633" s="2225"/>
      <c r="CW633" s="2225"/>
      <c r="CX633" s="2225">
        <f t="shared" si="11"/>
        <v>0</v>
      </c>
      <c r="CY633" s="2225"/>
      <c r="CZ633" s="2225"/>
      <c r="DA633" s="2225"/>
      <c r="DB633" s="2225"/>
      <c r="DC633" s="2225">
        <f t="shared" si="12"/>
        <v>0</v>
      </c>
      <c r="DD633" s="2225"/>
      <c r="DE633" s="2225"/>
      <c r="DF633" s="2225"/>
      <c r="DG633" s="2225"/>
      <c r="DH633" s="2225">
        <f t="shared" si="13"/>
        <v>0</v>
      </c>
      <c r="DI633" s="2225"/>
      <c r="DJ633" s="2225"/>
      <c r="DK633" s="2225"/>
      <c r="DL633" s="2225"/>
      <c r="DM633" s="2225">
        <f t="shared" si="14"/>
        <v>0</v>
      </c>
      <c r="DN633" s="2225"/>
      <c r="DO633" s="2225"/>
      <c r="DP633" s="2225"/>
      <c r="DQ633" s="2225"/>
      <c r="DR633" s="2225">
        <f t="shared" si="15"/>
        <v>0</v>
      </c>
      <c r="DS633" s="2225"/>
      <c r="DT633" s="2225"/>
      <c r="DU633" s="2225"/>
      <c r="DV633" s="2225"/>
      <c r="DX633" s="1874" t="str">
        <f t="shared" si="16"/>
        <v xml:space="preserve"> </v>
      </c>
      <c r="DY633" s="2021"/>
      <c r="DZ633" s="2021"/>
      <c r="EA633" s="2021"/>
      <c r="EB633" s="1875"/>
      <c r="EC633" s="1874" t="str">
        <f t="shared" si="17"/>
        <v xml:space="preserve"> </v>
      </c>
      <c r="ED633" s="2021"/>
      <c r="EE633" s="2021"/>
      <c r="EF633" s="2021"/>
      <c r="EG633" s="1875"/>
      <c r="EH633" s="1874" t="str">
        <f t="shared" si="18"/>
        <v xml:space="preserve"> </v>
      </c>
      <c r="EI633" s="2021"/>
      <c r="EJ633" s="2021"/>
      <c r="EK633" s="2021"/>
      <c r="EL633" s="1875"/>
      <c r="EM633" s="1874" t="str">
        <f t="shared" si="19"/>
        <v xml:space="preserve"> </v>
      </c>
      <c r="EN633" s="2021"/>
      <c r="EO633" s="2021"/>
      <c r="EP633" s="2021"/>
      <c r="EQ633" s="1875"/>
      <c r="ER633" s="1874" t="str">
        <f t="shared" si="20"/>
        <v xml:space="preserve"> </v>
      </c>
      <c r="ES633" s="2021"/>
      <c r="ET633" s="2021"/>
      <c r="EU633" s="2021"/>
      <c r="EV633" s="1875"/>
      <c r="EW633" s="1874" t="str">
        <f t="shared" si="21"/>
        <v xml:space="preserve"> </v>
      </c>
      <c r="EX633" s="2021"/>
      <c r="EY633" s="2021"/>
      <c r="EZ633" s="2021"/>
      <c r="FA633" s="1875"/>
    </row>
    <row r="634" spans="1:157" s="1103" customFormat="1" ht="12.75" customHeight="1">
      <c r="B634" s="2226" t="s">
        <v>475</v>
      </c>
      <c r="C634" s="2227"/>
      <c r="D634" s="2227"/>
      <c r="E634" s="2227"/>
      <c r="F634" s="2227"/>
      <c r="G634" s="2227"/>
      <c r="H634" s="2227"/>
      <c r="I634" s="2227"/>
      <c r="J634" s="2227"/>
      <c r="K634" s="2227"/>
      <c r="L634" s="2227"/>
      <c r="M634" s="2227"/>
      <c r="N634" s="2228"/>
      <c r="O634" s="2097" t="s">
        <v>2164</v>
      </c>
      <c r="P634" s="2010"/>
      <c r="Q634" s="2011"/>
      <c r="R634" s="2097" t="s">
        <v>2162</v>
      </c>
      <c r="S634" s="2010"/>
      <c r="T634" s="2011"/>
      <c r="U634" s="2410" t="s">
        <v>476</v>
      </c>
      <c r="V634" s="2410"/>
      <c r="W634" s="2411"/>
      <c r="X634" s="2097" t="s">
        <v>1983</v>
      </c>
      <c r="Y634" s="2010"/>
      <c r="Z634" s="2010"/>
      <c r="AA634" s="2010"/>
      <c r="AB634" s="2011"/>
      <c r="AC634" s="2275" t="s">
        <v>1981</v>
      </c>
      <c r="AD634" s="2276"/>
      <c r="AE634" s="2277"/>
      <c r="AF634" s="2097" t="s">
        <v>2374</v>
      </c>
      <c r="AG634" s="2010"/>
      <c r="AH634" s="2010"/>
      <c r="AI634" s="2010"/>
      <c r="AJ634" s="2011"/>
      <c r="AK634" s="2263" t="s">
        <v>2375</v>
      </c>
      <c r="AL634" s="2264"/>
      <c r="AM634" s="2264"/>
      <c r="AN634" s="2265"/>
      <c r="AO634" s="2221" t="s">
        <v>477</v>
      </c>
      <c r="AP634" s="2221"/>
      <c r="AQ634" s="2221"/>
      <c r="AR634" s="2221"/>
      <c r="AS634" s="2221"/>
      <c r="AT634" s="1104"/>
      <c r="AU634" s="1104"/>
      <c r="AV634" s="1104"/>
      <c r="AW634" s="1104"/>
      <c r="AX634" s="1104"/>
      <c r="AY634" s="1104"/>
      <c r="AZ634" s="181"/>
      <c r="BA634" s="181"/>
      <c r="BB634" s="181"/>
      <c r="BC634" s="181"/>
      <c r="BD634" s="181"/>
      <c r="BE634" s="1874">
        <f t="shared" si="0"/>
        <v>0</v>
      </c>
      <c r="BF634" s="1875"/>
      <c r="BG634" s="1871">
        <f t="shared" si="1"/>
        <v>0</v>
      </c>
      <c r="BH634" s="1873"/>
      <c r="BI634" s="1874">
        <f t="shared" si="2"/>
        <v>0</v>
      </c>
      <c r="BJ634" s="1875"/>
      <c r="BK634" s="1871">
        <f t="shared" si="3"/>
        <v>0</v>
      </c>
      <c r="BL634" s="1873"/>
      <c r="BM634" s="181"/>
      <c r="BN634" s="1868">
        <f t="shared" si="4"/>
        <v>0</v>
      </c>
      <c r="BO634" s="1869"/>
      <c r="BP634" s="1869"/>
      <c r="BQ634" s="1869"/>
      <c r="BR634" s="1870"/>
      <c r="BS634" s="1867">
        <f t="shared" si="5"/>
        <v>0</v>
      </c>
      <c r="BT634" s="1867"/>
      <c r="BU634" s="1867"/>
      <c r="BV634" s="1867"/>
      <c r="BW634" s="1867"/>
      <c r="BX634" s="1867">
        <f t="shared" si="6"/>
        <v>0</v>
      </c>
      <c r="BY634" s="1867"/>
      <c r="BZ634" s="1867"/>
      <c r="CA634" s="1867"/>
      <c r="CB634" s="1867"/>
      <c r="CC634" s="1867">
        <f t="shared" si="7"/>
        <v>0</v>
      </c>
      <c r="CD634" s="1867"/>
      <c r="CE634" s="1867"/>
      <c r="CF634" s="1867"/>
      <c r="CG634" s="1867"/>
      <c r="CH634" s="1867">
        <f t="shared" si="8"/>
        <v>0</v>
      </c>
      <c r="CI634" s="1867"/>
      <c r="CJ634" s="1867"/>
      <c r="CK634" s="1867"/>
      <c r="CL634" s="1867"/>
      <c r="CM634" s="1867">
        <f t="shared" si="9"/>
        <v>0</v>
      </c>
      <c r="CN634" s="1867"/>
      <c r="CO634" s="1867"/>
      <c r="CP634" s="1867"/>
      <c r="CQ634" s="1867"/>
      <c r="CR634" s="265"/>
      <c r="CS634" s="2225">
        <f t="shared" si="10"/>
        <v>0</v>
      </c>
      <c r="CT634" s="2225"/>
      <c r="CU634" s="2225"/>
      <c r="CV634" s="2225"/>
      <c r="CW634" s="2225"/>
      <c r="CX634" s="2225">
        <f t="shared" si="11"/>
        <v>0</v>
      </c>
      <c r="CY634" s="2225"/>
      <c r="CZ634" s="2225"/>
      <c r="DA634" s="2225"/>
      <c r="DB634" s="2225"/>
      <c r="DC634" s="2225">
        <f t="shared" si="12"/>
        <v>0</v>
      </c>
      <c r="DD634" s="2225"/>
      <c r="DE634" s="2225"/>
      <c r="DF634" s="2225"/>
      <c r="DG634" s="2225"/>
      <c r="DH634" s="2225">
        <f t="shared" si="13"/>
        <v>0</v>
      </c>
      <c r="DI634" s="2225"/>
      <c r="DJ634" s="2225"/>
      <c r="DK634" s="2225"/>
      <c r="DL634" s="2225"/>
      <c r="DM634" s="2225">
        <f t="shared" si="14"/>
        <v>0</v>
      </c>
      <c r="DN634" s="2225"/>
      <c r="DO634" s="2225"/>
      <c r="DP634" s="2225"/>
      <c r="DQ634" s="2225"/>
      <c r="DR634" s="2225">
        <f t="shared" si="15"/>
        <v>0</v>
      </c>
      <c r="DS634" s="2225"/>
      <c r="DT634" s="2225"/>
      <c r="DU634" s="2225"/>
      <c r="DV634" s="2225"/>
      <c r="DX634" s="1874" t="str">
        <f t="shared" si="16"/>
        <v xml:space="preserve"> </v>
      </c>
      <c r="DY634" s="2021"/>
      <c r="DZ634" s="2021"/>
      <c r="EA634" s="2021"/>
      <c r="EB634" s="1875"/>
      <c r="EC634" s="1874" t="str">
        <f t="shared" si="17"/>
        <v xml:space="preserve"> </v>
      </c>
      <c r="ED634" s="2021"/>
      <c r="EE634" s="2021"/>
      <c r="EF634" s="2021"/>
      <c r="EG634" s="1875"/>
      <c r="EH634" s="1874" t="str">
        <f t="shared" si="18"/>
        <v xml:space="preserve"> </v>
      </c>
      <c r="EI634" s="2021"/>
      <c r="EJ634" s="2021"/>
      <c r="EK634" s="2021"/>
      <c r="EL634" s="1875"/>
      <c r="EM634" s="1874" t="str">
        <f t="shared" si="19"/>
        <v xml:space="preserve"> </v>
      </c>
      <c r="EN634" s="2021"/>
      <c r="EO634" s="2021"/>
      <c r="EP634" s="2021"/>
      <c r="EQ634" s="1875"/>
      <c r="ER634" s="1874" t="str">
        <f t="shared" si="20"/>
        <v xml:space="preserve"> </v>
      </c>
      <c r="ES634" s="2021"/>
      <c r="ET634" s="2021"/>
      <c r="EU634" s="2021"/>
      <c r="EV634" s="1875"/>
      <c r="EW634" s="1874" t="str">
        <f t="shared" si="21"/>
        <v xml:space="preserve"> </v>
      </c>
      <c r="EX634" s="2021"/>
      <c r="EY634" s="2021"/>
      <c r="EZ634" s="2021"/>
      <c r="FA634" s="1875"/>
    </row>
    <row r="635" spans="1:157" s="1103" customFormat="1" ht="13.2">
      <c r="B635" s="2229"/>
      <c r="C635" s="2067"/>
      <c r="D635" s="2067"/>
      <c r="E635" s="2067"/>
      <c r="F635" s="2067"/>
      <c r="G635" s="2067"/>
      <c r="H635" s="2067"/>
      <c r="I635" s="2067"/>
      <c r="J635" s="2067"/>
      <c r="K635" s="2067"/>
      <c r="L635" s="2067"/>
      <c r="M635" s="2067"/>
      <c r="N635" s="2230"/>
      <c r="O635" s="2098"/>
      <c r="P635" s="2099"/>
      <c r="Q635" s="2100"/>
      <c r="R635" s="2098"/>
      <c r="S635" s="2099"/>
      <c r="T635" s="2100"/>
      <c r="U635" s="2412"/>
      <c r="V635" s="2412"/>
      <c r="W635" s="2413"/>
      <c r="X635" s="2098"/>
      <c r="Y635" s="2099"/>
      <c r="Z635" s="2099"/>
      <c r="AA635" s="2099"/>
      <c r="AB635" s="2100"/>
      <c r="AC635" s="2278"/>
      <c r="AD635" s="2279"/>
      <c r="AE635" s="2280"/>
      <c r="AF635" s="2098"/>
      <c r="AG635" s="2099"/>
      <c r="AH635" s="2099"/>
      <c r="AI635" s="2099"/>
      <c r="AJ635" s="2100"/>
      <c r="AK635" s="2266"/>
      <c r="AL635" s="2267"/>
      <c r="AM635" s="2267"/>
      <c r="AN635" s="2268"/>
      <c r="AO635" s="2221"/>
      <c r="AP635" s="2221"/>
      <c r="AQ635" s="2221"/>
      <c r="AR635" s="2221"/>
      <c r="AS635" s="2221"/>
      <c r="AT635" s="1104"/>
      <c r="AU635" s="1104"/>
      <c r="AV635" s="1104"/>
      <c r="AW635" s="1104"/>
      <c r="AX635" s="1104"/>
      <c r="AY635" s="1104"/>
      <c r="AZ635" s="181"/>
      <c r="BA635" s="181"/>
      <c r="BB635" s="181"/>
      <c r="BC635" s="181"/>
      <c r="BD635" s="181"/>
      <c r="BE635" s="181"/>
      <c r="BF635" s="181"/>
      <c r="BG635" s="1874">
        <f>SUM(BG610:BH634)</f>
        <v>64</v>
      </c>
      <c r="BH635" s="1875"/>
      <c r="BI635" s="181"/>
      <c r="BJ635" s="181"/>
      <c r="BK635" s="1874">
        <f>SUM(BK610:BL634)</f>
        <v>8</v>
      </c>
      <c r="BL635" s="1875"/>
      <c r="BM635" s="181"/>
      <c r="BN635" s="1874">
        <f>SUM(BN610:BR634)</f>
        <v>4</v>
      </c>
      <c r="BO635" s="2021"/>
      <c r="BP635" s="2021"/>
      <c r="BQ635" s="2021"/>
      <c r="BR635" s="1875"/>
      <c r="BS635" s="2022">
        <f>SUM(BS610:BW634)</f>
        <v>18</v>
      </c>
      <c r="BT635" s="2022"/>
      <c r="BU635" s="2022"/>
      <c r="BV635" s="2022"/>
      <c r="BW635" s="2022"/>
      <c r="BX635" s="2022">
        <f>SUM(BX610:CB634)</f>
        <v>31</v>
      </c>
      <c r="BY635" s="2022"/>
      <c r="BZ635" s="2022"/>
      <c r="CA635" s="2022"/>
      <c r="CB635" s="2022"/>
      <c r="CC635" s="2022">
        <f>SUM(CC610:CG634)</f>
        <v>16</v>
      </c>
      <c r="CD635" s="2022"/>
      <c r="CE635" s="2022"/>
      <c r="CF635" s="2022"/>
      <c r="CG635" s="2022"/>
      <c r="CH635" s="2022">
        <f>SUM(CH610:CL634)</f>
        <v>2</v>
      </c>
      <c r="CI635" s="2022"/>
      <c r="CJ635" s="2022"/>
      <c r="CK635" s="2022"/>
      <c r="CL635" s="2022"/>
      <c r="CM635" s="2022">
        <f>SUM(CM610:CQ634)</f>
        <v>1</v>
      </c>
      <c r="CN635" s="2022"/>
      <c r="CO635" s="2022"/>
      <c r="CP635" s="2022"/>
      <c r="CQ635" s="2022"/>
      <c r="CR635" s="689"/>
      <c r="CS635" s="2022">
        <f>SUM(CS610:CW634)</f>
        <v>0</v>
      </c>
      <c r="CT635" s="2022"/>
      <c r="CU635" s="2022"/>
      <c r="CV635" s="2022"/>
      <c r="CW635" s="2022"/>
      <c r="CX635" s="2022">
        <f>SUM(CX610:DB634)</f>
        <v>1</v>
      </c>
      <c r="CY635" s="2022"/>
      <c r="CZ635" s="2022"/>
      <c r="DA635" s="2022"/>
      <c r="DB635" s="2022"/>
      <c r="DC635" s="2022">
        <f>SUM(DC610:DG634)</f>
        <v>3</v>
      </c>
      <c r="DD635" s="2022"/>
      <c r="DE635" s="2022"/>
      <c r="DF635" s="2022"/>
      <c r="DG635" s="2022"/>
      <c r="DH635" s="2022">
        <f>SUM(DH610:DL634)</f>
        <v>4</v>
      </c>
      <c r="DI635" s="2022"/>
      <c r="DJ635" s="2022"/>
      <c r="DK635" s="2022"/>
      <c r="DL635" s="2022"/>
      <c r="DM635" s="2022">
        <f>SUM(DM610:DQ634)</f>
        <v>0</v>
      </c>
      <c r="DN635" s="2022"/>
      <c r="DO635" s="2022"/>
      <c r="DP635" s="2022"/>
      <c r="DQ635" s="2022"/>
      <c r="DR635" s="2022">
        <f>SUM(DR610:DV634)</f>
        <v>0</v>
      </c>
      <c r="DS635" s="2022"/>
      <c r="DT635" s="2022"/>
      <c r="DU635" s="2022"/>
      <c r="DV635" s="2022"/>
      <c r="DX635" s="2022">
        <f>SUM(DX610:EB634)</f>
        <v>1171.1200000000001</v>
      </c>
      <c r="DY635" s="2022"/>
      <c r="DZ635" s="2022"/>
      <c r="EA635" s="2022"/>
      <c r="EB635" s="2022"/>
      <c r="EC635" s="2022">
        <f>SUM(EC610:EG634)</f>
        <v>2337.2799999999997</v>
      </c>
      <c r="ED635" s="2022"/>
      <c r="EE635" s="2022"/>
      <c r="EF635" s="2022"/>
      <c r="EG635" s="2022"/>
      <c r="EH635" s="2022">
        <f>SUM(EH610:EL634)</f>
        <v>2688.96</v>
      </c>
      <c r="EI635" s="2022"/>
      <c r="EJ635" s="2022"/>
      <c r="EK635" s="2022"/>
      <c r="EL635" s="2022"/>
      <c r="EM635" s="2022">
        <f>SUM(EM610:EQ634)</f>
        <v>3037.6000000000004</v>
      </c>
      <c r="EN635" s="2022"/>
      <c r="EO635" s="2022"/>
      <c r="EP635" s="2022"/>
      <c r="EQ635" s="2022"/>
      <c r="ER635" s="2022">
        <f>SUM(ER610:EV634)</f>
        <v>1778.92</v>
      </c>
      <c r="ES635" s="2022"/>
      <c r="ET635" s="2022"/>
      <c r="EU635" s="2022"/>
      <c r="EV635" s="2022"/>
      <c r="EW635" s="2022">
        <f>SUM(EW610:FA634)</f>
        <v>1907.76</v>
      </c>
      <c r="EX635" s="2022"/>
      <c r="EY635" s="2022"/>
      <c r="EZ635" s="2022"/>
      <c r="FA635" s="2022"/>
    </row>
    <row r="636" spans="1:157" s="1103" customFormat="1" ht="13.2">
      <c r="B636" s="2231"/>
      <c r="C636" s="2067"/>
      <c r="D636" s="2067"/>
      <c r="E636" s="2067"/>
      <c r="F636" s="2067"/>
      <c r="G636" s="2067"/>
      <c r="H636" s="2067"/>
      <c r="I636" s="2067"/>
      <c r="J636" s="2067"/>
      <c r="K636" s="2067"/>
      <c r="L636" s="2067"/>
      <c r="M636" s="2067"/>
      <c r="N636" s="2230"/>
      <c r="O636" s="2101"/>
      <c r="P636" s="2102"/>
      <c r="Q636" s="2103"/>
      <c r="R636" s="2101"/>
      <c r="S636" s="2102"/>
      <c r="T636" s="2103"/>
      <c r="U636" s="2414"/>
      <c r="V636" s="2414"/>
      <c r="W636" s="2415"/>
      <c r="X636" s="2101"/>
      <c r="Y636" s="2102"/>
      <c r="Z636" s="2102"/>
      <c r="AA636" s="2102"/>
      <c r="AB636" s="2103"/>
      <c r="AC636" s="2281"/>
      <c r="AD636" s="2282"/>
      <c r="AE636" s="2283"/>
      <c r="AF636" s="2101"/>
      <c r="AG636" s="2102"/>
      <c r="AH636" s="2102"/>
      <c r="AI636" s="2102"/>
      <c r="AJ636" s="2103"/>
      <c r="AK636" s="2269"/>
      <c r="AL636" s="2270"/>
      <c r="AM636" s="2270"/>
      <c r="AN636" s="2271"/>
      <c r="AO636" s="2221"/>
      <c r="AP636" s="2221"/>
      <c r="AQ636" s="2221"/>
      <c r="AR636" s="2221"/>
      <c r="AS636" s="2221"/>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2172</v>
      </c>
      <c r="CM636" s="1874">
        <f>BN635+BS635+BX635+CC635+CH635+CM635</f>
        <v>72</v>
      </c>
      <c r="CN636" s="2021"/>
      <c r="CO636" s="2021"/>
      <c r="CP636" s="2021"/>
      <c r="CQ636" s="1875"/>
      <c r="CR636" s="689"/>
      <c r="CS636" s="181"/>
      <c r="CT636" s="181"/>
      <c r="CU636" s="181"/>
      <c r="CV636" s="181"/>
      <c r="CW636" s="181"/>
      <c r="CX636" s="181"/>
      <c r="CY636" s="181"/>
      <c r="CZ636" s="181"/>
      <c r="DA636" s="181"/>
      <c r="DB636" s="181"/>
      <c r="DC636" s="181"/>
      <c r="DD636" s="181"/>
      <c r="DE636" s="181"/>
      <c r="DF636" s="181"/>
    </row>
    <row r="637" spans="1:157" ht="13.2">
      <c r="B637" s="83" t="s">
        <v>117</v>
      </c>
      <c r="C637" s="1973" t="s">
        <v>2526</v>
      </c>
      <c r="D637" s="1885"/>
      <c r="E637" s="1885"/>
      <c r="F637" s="1885"/>
      <c r="G637" s="1885"/>
      <c r="H637" s="1885"/>
      <c r="I637" s="1885"/>
      <c r="J637" s="1885"/>
      <c r="K637" s="1885"/>
      <c r="L637" s="1885"/>
      <c r="M637" s="1885"/>
      <c r="N637" s="2232"/>
      <c r="O637" s="2222">
        <v>660</v>
      </c>
      <c r="P637" s="2223"/>
      <c r="Q637" s="2224"/>
      <c r="R637" s="1968"/>
      <c r="S637" s="1969"/>
      <c r="T637" s="1970"/>
      <c r="U637" s="2238">
        <v>0.03</v>
      </c>
      <c r="V637" s="2239"/>
      <c r="W637" s="2240"/>
      <c r="X637" s="2203" t="s">
        <v>480</v>
      </c>
      <c r="Y637" s="2233"/>
      <c r="Z637" s="2233"/>
      <c r="AA637" s="2233"/>
      <c r="AB637" s="2234"/>
      <c r="AC637" s="2006">
        <v>1</v>
      </c>
      <c r="AD637" s="2007"/>
      <c r="AE637" s="2008"/>
      <c r="AF637" s="2003"/>
      <c r="AG637" s="2004"/>
      <c r="AH637" s="2004"/>
      <c r="AI637" s="2004"/>
      <c r="AJ637" s="2005"/>
      <c r="AK637" s="2089"/>
      <c r="AL637" s="2090"/>
      <c r="AM637" s="2090"/>
      <c r="AN637" s="2091"/>
      <c r="AO637" s="1998">
        <v>35253013</v>
      </c>
      <c r="AP637" s="1998"/>
      <c r="AQ637" s="1998"/>
      <c r="AR637" s="1998"/>
      <c r="AS637" s="1998"/>
      <c r="AT637" s="239"/>
      <c r="AU637" s="239"/>
      <c r="AV637" s="239"/>
      <c r="AW637" s="239"/>
      <c r="AX637" s="239"/>
      <c r="AY637" s="239"/>
      <c r="AZ637" s="58"/>
      <c r="BA637" s="58" t="s">
        <v>1344</v>
      </c>
      <c r="BB637" s="58"/>
      <c r="BC637" s="58"/>
      <c r="BD637" s="58"/>
      <c r="BE637" s="58"/>
      <c r="BF637" s="58"/>
      <c r="BG637" s="58"/>
      <c r="BH637" s="58"/>
      <c r="BI637" s="58"/>
      <c r="BJ637" s="58"/>
      <c r="BK637" s="58"/>
      <c r="BL637" s="58"/>
      <c r="BM637" s="58"/>
      <c r="BR637" s="920">
        <f>BN635*1</f>
        <v>4</v>
      </c>
      <c r="BS637" s="58"/>
      <c r="BT637" s="58"/>
      <c r="BU637" s="58"/>
      <c r="BV637" s="58"/>
      <c r="BW637" s="920">
        <f>BS635*1</f>
        <v>18</v>
      </c>
      <c r="BX637" s="58"/>
      <c r="BY637" s="58"/>
      <c r="BZ637" s="58"/>
      <c r="CA637" s="58"/>
      <c r="CB637" s="920">
        <f>BX635*2</f>
        <v>62</v>
      </c>
      <c r="CC637" s="58"/>
      <c r="CD637" s="58"/>
      <c r="CE637" s="58"/>
      <c r="CF637" s="58"/>
      <c r="CG637" s="920">
        <f>CC635*3</f>
        <v>48</v>
      </c>
      <c r="CH637" s="58"/>
      <c r="CI637" s="58"/>
      <c r="CJ637" s="58"/>
      <c r="CK637" s="58"/>
      <c r="CL637" s="920">
        <f>CH635*4</f>
        <v>8</v>
      </c>
      <c r="CM637" s="58"/>
      <c r="CN637" s="58"/>
      <c r="CO637" s="58"/>
      <c r="CP637" s="58"/>
      <c r="CQ637" s="920">
        <f>CM635*5</f>
        <v>5</v>
      </c>
      <c r="CS637" s="920">
        <f>BR637+BW637+CB637+CG637+CL637+CQ637</f>
        <v>145</v>
      </c>
      <c r="CT637" s="134" t="s">
        <v>2174</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73" t="s">
        <v>2553</v>
      </c>
      <c r="D638" s="1885"/>
      <c r="E638" s="1885"/>
      <c r="F638" s="1885"/>
      <c r="G638" s="1885"/>
      <c r="H638" s="1885"/>
      <c r="I638" s="1885"/>
      <c r="J638" s="1885"/>
      <c r="K638" s="1885"/>
      <c r="L638" s="1885"/>
      <c r="M638" s="1885"/>
      <c r="N638" s="2232"/>
      <c r="O638" s="2222">
        <v>660</v>
      </c>
      <c r="P638" s="2223"/>
      <c r="Q638" s="2224"/>
      <c r="R638" s="1968"/>
      <c r="S638" s="1969"/>
      <c r="T638" s="1970"/>
      <c r="U638" s="2238">
        <v>0</v>
      </c>
      <c r="V638" s="2239"/>
      <c r="W638" s="2240"/>
      <c r="X638" s="2203" t="s">
        <v>481</v>
      </c>
      <c r="Y638" s="2233"/>
      <c r="Z638" s="2233"/>
      <c r="AA638" s="2233"/>
      <c r="AB638" s="2234"/>
      <c r="AC638" s="2006">
        <v>2</v>
      </c>
      <c r="AD638" s="2007"/>
      <c r="AE638" s="2008"/>
      <c r="AF638" s="2003"/>
      <c r="AG638" s="2004"/>
      <c r="AH638" s="2004"/>
      <c r="AI638" s="2004"/>
      <c r="AJ638" s="2005"/>
      <c r="AK638" s="2089"/>
      <c r="AL638" s="2090"/>
      <c r="AM638" s="2090"/>
      <c r="AN638" s="2091"/>
      <c r="AO638" s="1998">
        <v>1000000</v>
      </c>
      <c r="AP638" s="1998"/>
      <c r="AQ638" s="1998"/>
      <c r="AR638" s="1998"/>
      <c r="AS638" s="1998"/>
      <c r="AT638" s="239"/>
      <c r="AU638" s="239"/>
      <c r="AV638" s="239"/>
      <c r="AW638" s="239"/>
      <c r="AX638" s="239"/>
      <c r="AY638" s="239"/>
      <c r="AZ638" s="61"/>
      <c r="BA638" s="58" t="s">
        <v>481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409">
        <f t="shared" ref="DX638:DX662" si="22">DX610*(BN610/$BN$635)</f>
        <v>1171.1200000000001</v>
      </c>
      <c r="DY638" s="2409"/>
      <c r="DZ638" s="2409"/>
      <c r="EA638" s="2409"/>
      <c r="EB638" s="2409"/>
      <c r="EC638" s="2409" t="e">
        <f t="shared" ref="EC638:EC662" si="23">EC610*(BS610/$BS$635)</f>
        <v>#VALUE!</v>
      </c>
      <c r="ED638" s="2409"/>
      <c r="EE638" s="2409"/>
      <c r="EF638" s="2409"/>
      <c r="EG638" s="2409"/>
      <c r="EH638" s="2409" t="e">
        <f t="shared" ref="EH638:EH662" si="24">EH610*(BX610/$BX$635)</f>
        <v>#VALUE!</v>
      </c>
      <c r="EI638" s="2409"/>
      <c r="EJ638" s="2409"/>
      <c r="EK638" s="2409"/>
      <c r="EL638" s="2409"/>
      <c r="EM638" s="2409" t="e">
        <f t="shared" ref="EM638:EM662" si="25">EM610*(CC610/$CC$635)</f>
        <v>#VALUE!</v>
      </c>
      <c r="EN638" s="2409"/>
      <c r="EO638" s="2409"/>
      <c r="EP638" s="2409"/>
      <c r="EQ638" s="2409"/>
      <c r="ER638" s="2409" t="e">
        <f t="shared" ref="ER638:ER662" si="26">ER610*(CH610/$CH$635)</f>
        <v>#VALUE!</v>
      </c>
      <c r="ES638" s="2409"/>
      <c r="ET638" s="2409"/>
      <c r="EU638" s="2409"/>
      <c r="EV638" s="2409"/>
      <c r="EW638" s="2409" t="e">
        <f t="shared" ref="EW638:EW662" si="27">EW610*(CM610/$CM$635)</f>
        <v>#VALUE!</v>
      </c>
      <c r="EX638" s="2409"/>
      <c r="EY638" s="2409"/>
      <c r="EZ638" s="2409"/>
      <c r="FA638" s="2409"/>
    </row>
    <row r="639" spans="1:157" ht="12.75" customHeight="1">
      <c r="B639" s="84" t="s">
        <v>124</v>
      </c>
      <c r="C639" s="1973" t="s">
        <v>2589</v>
      </c>
      <c r="D639" s="1885"/>
      <c r="E639" s="1885"/>
      <c r="F639" s="1885"/>
      <c r="G639" s="1885"/>
      <c r="H639" s="1885"/>
      <c r="I639" s="1885"/>
      <c r="J639" s="1885"/>
      <c r="K639" s="1885"/>
      <c r="L639" s="1885"/>
      <c r="M639" s="1885"/>
      <c r="N639" s="2232"/>
      <c r="O639" s="2222"/>
      <c r="P639" s="2223"/>
      <c r="Q639" s="2224"/>
      <c r="R639" s="1968"/>
      <c r="S639" s="1969"/>
      <c r="T639" s="1970"/>
      <c r="U639" s="2238"/>
      <c r="V639" s="2239"/>
      <c r="W639" s="2240"/>
      <c r="X639" s="2203" t="s">
        <v>1344</v>
      </c>
      <c r="Y639" s="2233"/>
      <c r="Z639" s="2233"/>
      <c r="AA639" s="2233"/>
      <c r="AB639" s="2234"/>
      <c r="AC639" s="2006"/>
      <c r="AD639" s="2007"/>
      <c r="AE639" s="2008"/>
      <c r="AF639" s="2003"/>
      <c r="AG639" s="2004"/>
      <c r="AH639" s="2004"/>
      <c r="AI639" s="2004"/>
      <c r="AJ639" s="2005"/>
      <c r="AK639" s="2089"/>
      <c r="AL639" s="2090"/>
      <c r="AM639" s="2090"/>
      <c r="AN639" s="2091"/>
      <c r="AO639" s="1998">
        <f>AM566</f>
        <v>747762.25491082715</v>
      </c>
      <c r="AP639" s="1998"/>
      <c r="AQ639" s="1998"/>
      <c r="AR639" s="1998"/>
      <c r="AS639" s="1998"/>
      <c r="AT639" s="239"/>
      <c r="AU639" s="239"/>
      <c r="AV639" s="239"/>
      <c r="AW639" s="239"/>
      <c r="AX639" s="239"/>
      <c r="AY639" s="239"/>
      <c r="AZ639" s="61"/>
      <c r="BA639" s="58" t="s">
        <v>480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409" t="e">
        <f t="shared" si="22"/>
        <v>#VALUE!</v>
      </c>
      <c r="DY639" s="2409"/>
      <c r="DZ639" s="2409"/>
      <c r="EA639" s="2409"/>
      <c r="EB639" s="2409"/>
      <c r="EC639" s="2409">
        <f t="shared" si="23"/>
        <v>1262.9866666666667</v>
      </c>
      <c r="ED639" s="2409"/>
      <c r="EE639" s="2409"/>
      <c r="EF639" s="2409"/>
      <c r="EG639" s="2409"/>
      <c r="EH639" s="2409" t="e">
        <f t="shared" si="24"/>
        <v>#VALUE!</v>
      </c>
      <c r="EI639" s="2409"/>
      <c r="EJ639" s="2409"/>
      <c r="EK639" s="2409"/>
      <c r="EL639" s="2409"/>
      <c r="EM639" s="2409" t="e">
        <f t="shared" si="25"/>
        <v>#VALUE!</v>
      </c>
      <c r="EN639" s="2409"/>
      <c r="EO639" s="2409"/>
      <c r="EP639" s="2409"/>
      <c r="EQ639" s="2409"/>
      <c r="ER639" s="2409" t="e">
        <f t="shared" si="26"/>
        <v>#VALUE!</v>
      </c>
      <c r="ES639" s="2409"/>
      <c r="ET639" s="2409"/>
      <c r="EU639" s="2409"/>
      <c r="EV639" s="2409"/>
      <c r="EW639" s="2409" t="e">
        <f t="shared" si="27"/>
        <v>#VALUE!</v>
      </c>
      <c r="EX639" s="2409"/>
      <c r="EY639" s="2409"/>
      <c r="EZ639" s="2409"/>
      <c r="FA639" s="2409"/>
    </row>
    <row r="640" spans="1:157" ht="13.2">
      <c r="B640" s="84" t="s">
        <v>605</v>
      </c>
      <c r="C640" s="1973" t="s">
        <v>2579</v>
      </c>
      <c r="D640" s="1885"/>
      <c r="E640" s="1885"/>
      <c r="F640" s="1885"/>
      <c r="G640" s="1885"/>
      <c r="H640" s="1885"/>
      <c r="I640" s="1885"/>
      <c r="J640" s="1885"/>
      <c r="K640" s="1885"/>
      <c r="L640" s="1885"/>
      <c r="M640" s="1885"/>
      <c r="N640" s="2232"/>
      <c r="O640" s="2222"/>
      <c r="P640" s="2223"/>
      <c r="Q640" s="2224"/>
      <c r="R640" s="1968"/>
      <c r="S640" s="1969"/>
      <c r="T640" s="1970"/>
      <c r="U640" s="2238"/>
      <c r="V640" s="2239"/>
      <c r="W640" s="2240"/>
      <c r="X640" s="2203" t="s">
        <v>1344</v>
      </c>
      <c r="Y640" s="2233"/>
      <c r="Z640" s="2233"/>
      <c r="AA640" s="2233"/>
      <c r="AB640" s="2234"/>
      <c r="AC640" s="2006"/>
      <c r="AD640" s="2007"/>
      <c r="AE640" s="2008"/>
      <c r="AF640" s="2003"/>
      <c r="AG640" s="2004"/>
      <c r="AH640" s="2004"/>
      <c r="AI640" s="2004"/>
      <c r="AJ640" s="2005"/>
      <c r="AK640" s="2089"/>
      <c r="AL640" s="2090"/>
      <c r="AM640" s="2090"/>
      <c r="AN640" s="2091"/>
      <c r="AO640" s="1998">
        <v>100</v>
      </c>
      <c r="AP640" s="1998"/>
      <c r="AQ640" s="1998"/>
      <c r="AR640" s="1998"/>
      <c r="AS640" s="1998"/>
      <c r="AT640" s="239"/>
      <c r="AU640" s="239"/>
      <c r="AV640" s="239"/>
      <c r="AW640" s="239"/>
      <c r="AX640" s="239"/>
      <c r="AY640" s="239"/>
      <c r="AZ640" s="61"/>
      <c r="BA640" s="58" t="s">
        <v>1982</v>
      </c>
      <c r="BB640" s="61"/>
      <c r="BC640" s="61"/>
      <c r="BD640" s="61"/>
      <c r="BE640" s="61"/>
      <c r="BF640" s="61"/>
      <c r="BG640" s="61"/>
      <c r="BH640" s="61"/>
      <c r="BI640" s="61"/>
      <c r="BJ640" s="61"/>
      <c r="BK640" s="61"/>
      <c r="BL640" s="61"/>
      <c r="BM640" s="61"/>
      <c r="BN640" s="1868">
        <f>IF(J772="SRO/Studio",O772,0)</f>
        <v>0</v>
      </c>
      <c r="BO640" s="1869"/>
      <c r="BP640" s="1869"/>
      <c r="BQ640" s="1869"/>
      <c r="BR640" s="1870"/>
      <c r="BS640" s="1867">
        <f>IF(J772="1 Bedroom",O772,0)</f>
        <v>0</v>
      </c>
      <c r="BT640" s="1867"/>
      <c r="BU640" s="1867"/>
      <c r="BV640" s="1867"/>
      <c r="BW640" s="1867"/>
      <c r="BX640" s="1867">
        <f>IF(J772="2 Bedrooms",O772,0)</f>
        <v>1</v>
      </c>
      <c r="BY640" s="1867"/>
      <c r="BZ640" s="1867"/>
      <c r="CA640" s="1867"/>
      <c r="CB640" s="1867"/>
      <c r="CC640" s="1867">
        <f>IF(J772="3 Bedrooms",O772,0)</f>
        <v>0</v>
      </c>
      <c r="CD640" s="1867"/>
      <c r="CE640" s="1867"/>
      <c r="CF640" s="1867"/>
      <c r="CG640" s="1867"/>
      <c r="CH640" s="1867">
        <f>IF(J772="4 Bedrooms",O772,0)</f>
        <v>0</v>
      </c>
      <c r="CI640" s="1867"/>
      <c r="CJ640" s="1867"/>
      <c r="CK640" s="1867"/>
      <c r="CL640" s="1867"/>
      <c r="CM640" s="1867">
        <f>IF(J772="5 Bedrooms",O772,0)</f>
        <v>0</v>
      </c>
      <c r="CN640" s="1867"/>
      <c r="CO640" s="1867"/>
      <c r="CP640" s="1867"/>
      <c r="CQ640" s="1867"/>
      <c r="CR640" s="265"/>
      <c r="CS640" s="58"/>
      <c r="CT640" s="58"/>
      <c r="CU640" s="58"/>
      <c r="CV640" s="58"/>
      <c r="CW640" s="58"/>
      <c r="CX640" s="58"/>
      <c r="CY640" s="58"/>
      <c r="CZ640" s="58"/>
      <c r="DA640" s="58"/>
      <c r="DB640" s="58"/>
      <c r="DC640" s="58"/>
      <c r="DD640" s="58"/>
      <c r="DE640" s="58"/>
      <c r="DF640" s="58"/>
      <c r="DX640" s="2409" t="e">
        <f t="shared" si="22"/>
        <v>#VALUE!</v>
      </c>
      <c r="DY640" s="2409"/>
      <c r="DZ640" s="2409"/>
      <c r="EA640" s="2409"/>
      <c r="EB640" s="2409"/>
      <c r="EC640" s="2409" t="e">
        <f t="shared" si="23"/>
        <v>#VALUE!</v>
      </c>
      <c r="ED640" s="2409"/>
      <c r="EE640" s="2409"/>
      <c r="EF640" s="2409"/>
      <c r="EG640" s="2409"/>
      <c r="EH640" s="2409">
        <f t="shared" si="24"/>
        <v>1350.2864516129032</v>
      </c>
      <c r="EI640" s="2409"/>
      <c r="EJ640" s="2409"/>
      <c r="EK640" s="2409"/>
      <c r="EL640" s="2409"/>
      <c r="EM640" s="2409" t="e">
        <f t="shared" si="25"/>
        <v>#VALUE!</v>
      </c>
      <c r="EN640" s="2409"/>
      <c r="EO640" s="2409"/>
      <c r="EP640" s="2409"/>
      <c r="EQ640" s="2409"/>
      <c r="ER640" s="2409" t="e">
        <f t="shared" si="26"/>
        <v>#VALUE!</v>
      </c>
      <c r="ES640" s="2409"/>
      <c r="ET640" s="2409"/>
      <c r="EU640" s="2409"/>
      <c r="EV640" s="2409"/>
      <c r="EW640" s="2409" t="e">
        <f t="shared" si="27"/>
        <v>#VALUE!</v>
      </c>
      <c r="EX640" s="2409"/>
      <c r="EY640" s="2409"/>
      <c r="EZ640" s="2409"/>
      <c r="FA640" s="2409"/>
    </row>
    <row r="641" spans="1:157" ht="13.2">
      <c r="B641" s="84" t="s">
        <v>803</v>
      </c>
      <c r="C641" s="1885"/>
      <c r="D641" s="1885"/>
      <c r="E641" s="1885"/>
      <c r="F641" s="1885"/>
      <c r="G641" s="1885"/>
      <c r="H641" s="1885"/>
      <c r="I641" s="1885"/>
      <c r="J641" s="1885"/>
      <c r="K641" s="1885"/>
      <c r="L641" s="1885"/>
      <c r="M641" s="1885"/>
      <c r="N641" s="2232"/>
      <c r="O641" s="2222"/>
      <c r="P641" s="2223"/>
      <c r="Q641" s="2224"/>
      <c r="R641" s="1968"/>
      <c r="S641" s="1969"/>
      <c r="T641" s="1970"/>
      <c r="U641" s="2238"/>
      <c r="V641" s="2239"/>
      <c r="W641" s="2240"/>
      <c r="X641" s="2203" t="s">
        <v>1344</v>
      </c>
      <c r="Y641" s="2233"/>
      <c r="Z641" s="2233"/>
      <c r="AA641" s="2233"/>
      <c r="AB641" s="2234"/>
      <c r="AC641" s="2006"/>
      <c r="AD641" s="2007"/>
      <c r="AE641" s="2008"/>
      <c r="AF641" s="2003"/>
      <c r="AG641" s="2004"/>
      <c r="AH641" s="2004"/>
      <c r="AI641" s="2004"/>
      <c r="AJ641" s="2005"/>
      <c r="AK641" s="2089"/>
      <c r="AL641" s="2090"/>
      <c r="AM641" s="2090"/>
      <c r="AN641" s="2091"/>
      <c r="AO641" s="1998"/>
      <c r="AP641" s="1998"/>
      <c r="AQ641" s="1998"/>
      <c r="AR641" s="1998"/>
      <c r="AS641" s="1998"/>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1868">
        <f>IF(J773="SRO/Studio",O773,0)</f>
        <v>0</v>
      </c>
      <c r="BO641" s="1869"/>
      <c r="BP641" s="1869"/>
      <c r="BQ641" s="1869"/>
      <c r="BR641" s="1870"/>
      <c r="BS641" s="1867">
        <f>IF(J773="1 Bedroom",O773,0)</f>
        <v>0</v>
      </c>
      <c r="BT641" s="1867"/>
      <c r="BU641" s="1867"/>
      <c r="BV641" s="1867"/>
      <c r="BW641" s="1867"/>
      <c r="BX641" s="1867">
        <f>IF(J773="2 Bedrooms",O773,0)</f>
        <v>0</v>
      </c>
      <c r="BY641" s="1867"/>
      <c r="BZ641" s="1867"/>
      <c r="CA641" s="1867"/>
      <c r="CB641" s="1867"/>
      <c r="CC641" s="1867">
        <f>IF(J773="3 Bedrooms",O773,0)</f>
        <v>0</v>
      </c>
      <c r="CD641" s="1867"/>
      <c r="CE641" s="1867"/>
      <c r="CF641" s="1867"/>
      <c r="CG641" s="1867"/>
      <c r="CH641" s="1867">
        <f>IF(J773="4 Bedrooms",O773,0)</f>
        <v>0</v>
      </c>
      <c r="CI641" s="1867"/>
      <c r="CJ641" s="1867"/>
      <c r="CK641" s="1867"/>
      <c r="CL641" s="1867"/>
      <c r="CM641" s="1867">
        <f>IF(J773="5 Bedrooms",O773,0)</f>
        <v>0</v>
      </c>
      <c r="CN641" s="1867"/>
      <c r="CO641" s="1867"/>
      <c r="CP641" s="1867"/>
      <c r="CQ641" s="1867"/>
      <c r="CR641" s="265"/>
      <c r="CS641" s="58"/>
      <c r="CT641" s="58"/>
      <c r="CU641" s="58"/>
      <c r="CV641" s="58"/>
      <c r="CW641" s="58"/>
      <c r="CX641" s="58"/>
      <c r="CY641" s="58"/>
      <c r="CZ641" s="58"/>
      <c r="DA641" s="58"/>
      <c r="DB641" s="58"/>
      <c r="DC641" s="58"/>
      <c r="DD641" s="58"/>
      <c r="DE641" s="58"/>
      <c r="DF641" s="58"/>
      <c r="DX641" s="2409" t="e">
        <f t="shared" si="22"/>
        <v>#VALUE!</v>
      </c>
      <c r="DY641" s="2409"/>
      <c r="DZ641" s="2409"/>
      <c r="EA641" s="2409"/>
      <c r="EB641" s="2409"/>
      <c r="EC641" s="2409" t="e">
        <f t="shared" si="23"/>
        <v>#VALUE!</v>
      </c>
      <c r="ED641" s="2409"/>
      <c r="EE641" s="2409"/>
      <c r="EF641" s="2409"/>
      <c r="EG641" s="2409"/>
      <c r="EH641" s="2409" t="e">
        <f t="shared" si="24"/>
        <v>#VALUE!</v>
      </c>
      <c r="EI641" s="2409"/>
      <c r="EJ641" s="2409"/>
      <c r="EK641" s="2409"/>
      <c r="EL641" s="2409"/>
      <c r="EM641" s="2409">
        <f t="shared" si="25"/>
        <v>1243.2</v>
      </c>
      <c r="EN641" s="2409"/>
      <c r="EO641" s="2409"/>
      <c r="EP641" s="2409"/>
      <c r="EQ641" s="2409"/>
      <c r="ER641" s="2409" t="e">
        <f t="shared" si="26"/>
        <v>#VALUE!</v>
      </c>
      <c r="ES641" s="2409"/>
      <c r="ET641" s="2409"/>
      <c r="EU641" s="2409"/>
      <c r="EV641" s="2409"/>
      <c r="EW641" s="2409" t="e">
        <f t="shared" si="27"/>
        <v>#VALUE!</v>
      </c>
      <c r="EX641" s="2409"/>
      <c r="EY641" s="2409"/>
      <c r="EZ641" s="2409"/>
      <c r="FA641" s="2409"/>
    </row>
    <row r="642" spans="1:157" ht="13.2">
      <c r="B642" s="84" t="s">
        <v>608</v>
      </c>
      <c r="C642" s="1885"/>
      <c r="D642" s="1885"/>
      <c r="E642" s="1885"/>
      <c r="F642" s="1885"/>
      <c r="G642" s="1885"/>
      <c r="H642" s="1885"/>
      <c r="I642" s="1885"/>
      <c r="J642" s="1885"/>
      <c r="K642" s="1885"/>
      <c r="L642" s="1885"/>
      <c r="M642" s="1885"/>
      <c r="N642" s="2232"/>
      <c r="O642" s="2222"/>
      <c r="P642" s="2223"/>
      <c r="Q642" s="2224"/>
      <c r="R642" s="1968"/>
      <c r="S642" s="1969"/>
      <c r="T642" s="1970"/>
      <c r="U642" s="2238"/>
      <c r="V642" s="2239"/>
      <c r="W642" s="2240"/>
      <c r="X642" s="2203" t="s">
        <v>1344</v>
      </c>
      <c r="Y642" s="2233"/>
      <c r="Z642" s="2233"/>
      <c r="AA642" s="2233"/>
      <c r="AB642" s="2234"/>
      <c r="AC642" s="2006"/>
      <c r="AD642" s="2007"/>
      <c r="AE642" s="2008"/>
      <c r="AF642" s="2003"/>
      <c r="AG642" s="2004"/>
      <c r="AH642" s="2004"/>
      <c r="AI642" s="2004"/>
      <c r="AJ642" s="2005"/>
      <c r="AK642" s="2089"/>
      <c r="AL642" s="2090"/>
      <c r="AM642" s="2090"/>
      <c r="AN642" s="2091"/>
      <c r="AO642" s="1998"/>
      <c r="AP642" s="1998"/>
      <c r="AQ642" s="1998"/>
      <c r="AR642" s="1998"/>
      <c r="AS642" s="19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8">
        <f>IF(J774="SRO/Studio",O774,0)</f>
        <v>0</v>
      </c>
      <c r="BO642" s="1869"/>
      <c r="BP642" s="1869"/>
      <c r="BQ642" s="1869"/>
      <c r="BR642" s="1870"/>
      <c r="BS642" s="1867">
        <f>IF(J774="1 Bedroom",O774,0)</f>
        <v>0</v>
      </c>
      <c r="BT642" s="1867"/>
      <c r="BU642" s="1867"/>
      <c r="BV642" s="1867"/>
      <c r="BW642" s="1867"/>
      <c r="BX642" s="1867">
        <f>IF(J774="2 Bedrooms",O774,0)</f>
        <v>0</v>
      </c>
      <c r="BY642" s="1867"/>
      <c r="BZ642" s="1867"/>
      <c r="CA642" s="1867"/>
      <c r="CB642" s="1867"/>
      <c r="CC642" s="1867">
        <f>IF(J774="3 Bedrooms",O774,0)</f>
        <v>0</v>
      </c>
      <c r="CD642" s="1867"/>
      <c r="CE642" s="1867"/>
      <c r="CF642" s="1867"/>
      <c r="CG642" s="1867"/>
      <c r="CH642" s="1867">
        <f>IF(J774="4 Bedrooms",O774,0)</f>
        <v>0</v>
      </c>
      <c r="CI642" s="1867"/>
      <c r="CJ642" s="1867"/>
      <c r="CK642" s="1867"/>
      <c r="CL642" s="1867"/>
      <c r="CM642" s="1867">
        <f>IF(J774="5 Bedrooms",O774,0)</f>
        <v>0</v>
      </c>
      <c r="CN642" s="1867"/>
      <c r="CO642" s="1867"/>
      <c r="CP642" s="1867"/>
      <c r="CQ642" s="1867"/>
      <c r="CR642" s="1094"/>
      <c r="CV642" s="58"/>
      <c r="CW642" s="58"/>
      <c r="CX642" s="58"/>
      <c r="CY642" s="58"/>
      <c r="CZ642" s="58"/>
      <c r="DA642" s="58"/>
      <c r="DB642" s="58"/>
      <c r="DC642" s="58"/>
      <c r="DD642" s="58"/>
      <c r="DE642" s="58"/>
      <c r="DF642" s="58"/>
      <c r="DX642" s="2409" t="e">
        <f t="shared" si="22"/>
        <v>#VALUE!</v>
      </c>
      <c r="DY642" s="2409"/>
      <c r="DZ642" s="2409"/>
      <c r="EA642" s="2409"/>
      <c r="EB642" s="2409"/>
      <c r="EC642" s="2409" t="e">
        <f t="shared" si="23"/>
        <v>#VALUE!</v>
      </c>
      <c r="ED642" s="2409"/>
      <c r="EE642" s="2409"/>
      <c r="EF642" s="2409"/>
      <c r="EG642" s="2409"/>
      <c r="EH642" s="2409" t="e">
        <f t="shared" si="24"/>
        <v>#VALUE!</v>
      </c>
      <c r="EI642" s="2409"/>
      <c r="EJ642" s="2409"/>
      <c r="EK642" s="2409"/>
      <c r="EL642" s="2409"/>
      <c r="EM642" s="2409" t="e">
        <f t="shared" si="25"/>
        <v>#VALUE!</v>
      </c>
      <c r="EN642" s="2409"/>
      <c r="EO642" s="2409"/>
      <c r="EP642" s="2409"/>
      <c r="EQ642" s="2409"/>
      <c r="ER642" s="2409">
        <f t="shared" si="26"/>
        <v>1778.92</v>
      </c>
      <c r="ES642" s="2409"/>
      <c r="ET642" s="2409"/>
      <c r="EU642" s="2409"/>
      <c r="EV642" s="2409"/>
      <c r="EW642" s="2409" t="e">
        <f t="shared" si="27"/>
        <v>#VALUE!</v>
      </c>
      <c r="EX642" s="2409"/>
      <c r="EY642" s="2409"/>
      <c r="EZ642" s="2409"/>
      <c r="FA642" s="2409"/>
    </row>
    <row r="643" spans="1:157" ht="13.2">
      <c r="B643" s="84" t="s">
        <v>478</v>
      </c>
      <c r="C643" s="1885"/>
      <c r="D643" s="1885"/>
      <c r="E643" s="1885"/>
      <c r="F643" s="1885"/>
      <c r="G643" s="1885"/>
      <c r="H643" s="1885"/>
      <c r="I643" s="1885"/>
      <c r="J643" s="1885"/>
      <c r="K643" s="1885"/>
      <c r="L643" s="1885"/>
      <c r="M643" s="1885"/>
      <c r="N643" s="2232"/>
      <c r="O643" s="2222"/>
      <c r="P643" s="2223"/>
      <c r="Q643" s="2224"/>
      <c r="R643" s="1968"/>
      <c r="S643" s="1969"/>
      <c r="T643" s="1970"/>
      <c r="U643" s="2238"/>
      <c r="V643" s="2239"/>
      <c r="W643" s="2240"/>
      <c r="X643" s="2203" t="s">
        <v>1344</v>
      </c>
      <c r="Y643" s="2233"/>
      <c r="Z643" s="2233"/>
      <c r="AA643" s="2233"/>
      <c r="AB643" s="2234"/>
      <c r="AC643" s="2006"/>
      <c r="AD643" s="2007"/>
      <c r="AE643" s="2008"/>
      <c r="AF643" s="2003"/>
      <c r="AG643" s="2004"/>
      <c r="AH643" s="2004"/>
      <c r="AI643" s="2004"/>
      <c r="AJ643" s="2005"/>
      <c r="AK643" s="2089"/>
      <c r="AL643" s="2090"/>
      <c r="AM643" s="2090"/>
      <c r="AN643" s="2091"/>
      <c r="AO643" s="1998"/>
      <c r="AP643" s="1998"/>
      <c r="AQ643" s="1998"/>
      <c r="AR643" s="1998"/>
      <c r="AS643" s="19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8">
        <f>IF(J775="SRO/Studio",O775,0)</f>
        <v>0</v>
      </c>
      <c r="BO643" s="1869"/>
      <c r="BP643" s="1869"/>
      <c r="BQ643" s="1869"/>
      <c r="BR643" s="1870"/>
      <c r="BS643" s="1867">
        <f>IF(J775="1 Bedroom",O775,0)</f>
        <v>0</v>
      </c>
      <c r="BT643" s="1867"/>
      <c r="BU643" s="1867"/>
      <c r="BV643" s="1867"/>
      <c r="BW643" s="1867"/>
      <c r="BX643" s="1867">
        <f>IF(J775="2 Bedrooms",O775,0)</f>
        <v>0</v>
      </c>
      <c r="BY643" s="1867"/>
      <c r="BZ643" s="1867"/>
      <c r="CA643" s="1867"/>
      <c r="CB643" s="1867"/>
      <c r="CC643" s="1867">
        <f>IF(J775="3 Bedrooms",O775,0)</f>
        <v>0</v>
      </c>
      <c r="CD643" s="1867"/>
      <c r="CE643" s="1867"/>
      <c r="CF643" s="1867"/>
      <c r="CG643" s="1867"/>
      <c r="CH643" s="1867">
        <f>IF(J775="4 Bedrooms",O775,0)</f>
        <v>0</v>
      </c>
      <c r="CI643" s="1867"/>
      <c r="CJ643" s="1867"/>
      <c r="CK643" s="1867"/>
      <c r="CL643" s="1867"/>
      <c r="CM643" s="1867">
        <f>IF(J775="5 Bedrooms",O775,0)</f>
        <v>0</v>
      </c>
      <c r="CN643" s="1867"/>
      <c r="CO643" s="1867"/>
      <c r="CP643" s="1867"/>
      <c r="CQ643" s="1867"/>
      <c r="CV643" s="58"/>
      <c r="CW643" s="58"/>
      <c r="CX643" s="58"/>
      <c r="CY643" s="58"/>
      <c r="CZ643" s="58"/>
      <c r="DA643" s="58"/>
      <c r="DB643" s="58"/>
      <c r="DC643" s="58"/>
      <c r="DD643" s="58"/>
      <c r="DE643" s="58"/>
      <c r="DF643" s="58"/>
      <c r="DX643" s="2409" t="e">
        <f t="shared" si="22"/>
        <v>#VALUE!</v>
      </c>
      <c r="DY643" s="2409"/>
      <c r="DZ643" s="2409"/>
      <c r="EA643" s="2409"/>
      <c r="EB643" s="2409"/>
      <c r="EC643" s="2409" t="e">
        <f t="shared" si="23"/>
        <v>#VALUE!</v>
      </c>
      <c r="ED643" s="2409"/>
      <c r="EE643" s="2409"/>
      <c r="EF643" s="2409"/>
      <c r="EG643" s="2409"/>
      <c r="EH643" s="2409" t="e">
        <f t="shared" si="24"/>
        <v>#VALUE!</v>
      </c>
      <c r="EI643" s="2409"/>
      <c r="EJ643" s="2409"/>
      <c r="EK643" s="2409"/>
      <c r="EL643" s="2409"/>
      <c r="EM643" s="2409" t="e">
        <f t="shared" si="25"/>
        <v>#VALUE!</v>
      </c>
      <c r="EN643" s="2409"/>
      <c r="EO643" s="2409"/>
      <c r="EP643" s="2409"/>
      <c r="EQ643" s="2409"/>
      <c r="ER643" s="2409" t="e">
        <f t="shared" si="26"/>
        <v>#VALUE!</v>
      </c>
      <c r="ES643" s="2409"/>
      <c r="ET643" s="2409"/>
      <c r="EU643" s="2409"/>
      <c r="EV643" s="2409"/>
      <c r="EW643" s="2409">
        <f t="shared" si="27"/>
        <v>1907.76</v>
      </c>
      <c r="EX643" s="2409"/>
      <c r="EY643" s="2409"/>
      <c r="EZ643" s="2409"/>
      <c r="FA643" s="2409"/>
    </row>
    <row r="644" spans="1:157" ht="13.2">
      <c r="B644" s="84" t="s">
        <v>479</v>
      </c>
      <c r="C644" s="1885"/>
      <c r="D644" s="1885"/>
      <c r="E644" s="1885"/>
      <c r="F644" s="1885"/>
      <c r="G644" s="1885"/>
      <c r="H644" s="1885"/>
      <c r="I644" s="1885"/>
      <c r="J644" s="1885"/>
      <c r="K644" s="1885"/>
      <c r="L644" s="1885"/>
      <c r="M644" s="1885"/>
      <c r="N644" s="2232"/>
      <c r="O644" s="2222"/>
      <c r="P644" s="2223"/>
      <c r="Q644" s="2224"/>
      <c r="R644" s="1968"/>
      <c r="S644" s="1969"/>
      <c r="T644" s="1970"/>
      <c r="U644" s="2238"/>
      <c r="V644" s="2239"/>
      <c r="W644" s="2240"/>
      <c r="X644" s="2203" t="s">
        <v>1344</v>
      </c>
      <c r="Y644" s="2233"/>
      <c r="Z644" s="2233"/>
      <c r="AA644" s="2233"/>
      <c r="AB644" s="2234"/>
      <c r="AC644" s="2006"/>
      <c r="AD644" s="2007"/>
      <c r="AE644" s="2008"/>
      <c r="AF644" s="2003"/>
      <c r="AG644" s="2004"/>
      <c r="AH644" s="2004"/>
      <c r="AI644" s="2004"/>
      <c r="AJ644" s="2005"/>
      <c r="AK644" s="2089"/>
      <c r="AL644" s="2090"/>
      <c r="AM644" s="2090"/>
      <c r="AN644" s="2091"/>
      <c r="AO644" s="1998"/>
      <c r="AP644" s="1998"/>
      <c r="AQ644" s="1998"/>
      <c r="AR644" s="1998"/>
      <c r="AS644" s="19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871">
        <f>SUM(BN640:BR643)</f>
        <v>0</v>
      </c>
      <c r="BO644" s="1872"/>
      <c r="BP644" s="1872"/>
      <c r="BQ644" s="1872"/>
      <c r="BR644" s="1873"/>
      <c r="BS644" s="1864">
        <f>SUM(BS640:BW643)</f>
        <v>0</v>
      </c>
      <c r="BT644" s="1865"/>
      <c r="BU644" s="1865"/>
      <c r="BV644" s="1865"/>
      <c r="BW644" s="1866"/>
      <c r="BX644" s="1864">
        <f>SUM(BX640:CB643)</f>
        <v>1</v>
      </c>
      <c r="BY644" s="1865"/>
      <c r="BZ644" s="1865"/>
      <c r="CA644" s="1865"/>
      <c r="CB644" s="1866"/>
      <c r="CC644" s="1864">
        <f>SUM(CC640:CG643)</f>
        <v>0</v>
      </c>
      <c r="CD644" s="1865"/>
      <c r="CE644" s="1865"/>
      <c r="CF644" s="1865"/>
      <c r="CG644" s="1866"/>
      <c r="CH644" s="1864">
        <f>SUM(CH640:CL643)</f>
        <v>0</v>
      </c>
      <c r="CI644" s="1865"/>
      <c r="CJ644" s="1865"/>
      <c r="CK644" s="1865"/>
      <c r="CL644" s="1866"/>
      <c r="CM644" s="1864">
        <f>SUM(CM640:CQ643)</f>
        <v>0</v>
      </c>
      <c r="CN644" s="1865"/>
      <c r="CO644" s="1865"/>
      <c r="CP644" s="1865"/>
      <c r="CQ644" s="1866"/>
      <c r="CS644" s="920">
        <f>BN644+BS644+BX644+CC644+CH644+CM644</f>
        <v>1</v>
      </c>
      <c r="CT644" s="134" t="s">
        <v>2171</v>
      </c>
      <c r="CU644" s="58"/>
      <c r="CV644" s="58"/>
      <c r="CW644" s="58"/>
      <c r="CX644" s="58"/>
      <c r="CY644" s="58"/>
      <c r="CZ644" s="58"/>
      <c r="DA644" s="58"/>
      <c r="DB644" s="58"/>
      <c r="DC644" s="58"/>
      <c r="DD644" s="58"/>
      <c r="DE644" s="58"/>
      <c r="DF644" s="58"/>
      <c r="DX644" s="2409" t="e">
        <f t="shared" si="22"/>
        <v>#VALUE!</v>
      </c>
      <c r="DY644" s="2409"/>
      <c r="DZ644" s="2409"/>
      <c r="EA644" s="2409"/>
      <c r="EB644" s="2409"/>
      <c r="EC644" s="2409">
        <f t="shared" si="23"/>
        <v>55.55555555555555</v>
      </c>
      <c r="ED644" s="2409"/>
      <c r="EE644" s="2409"/>
      <c r="EF644" s="2409"/>
      <c r="EG644" s="2409"/>
      <c r="EH644" s="2409" t="e">
        <f t="shared" si="24"/>
        <v>#VALUE!</v>
      </c>
      <c r="EI644" s="2409"/>
      <c r="EJ644" s="2409"/>
      <c r="EK644" s="2409"/>
      <c r="EL644" s="2409"/>
      <c r="EM644" s="2409" t="e">
        <f t="shared" si="25"/>
        <v>#VALUE!</v>
      </c>
      <c r="EN644" s="2409"/>
      <c r="EO644" s="2409"/>
      <c r="EP644" s="2409"/>
      <c r="EQ644" s="2409"/>
      <c r="ER644" s="2409" t="e">
        <f t="shared" si="26"/>
        <v>#VALUE!</v>
      </c>
      <c r="ES644" s="2409"/>
      <c r="ET644" s="2409"/>
      <c r="EU644" s="2409"/>
      <c r="EV644" s="2409"/>
      <c r="EW644" s="2409" t="e">
        <f t="shared" si="27"/>
        <v>#VALUE!</v>
      </c>
      <c r="EX644" s="2409"/>
      <c r="EY644" s="2409"/>
      <c r="EZ644" s="2409"/>
      <c r="FA644" s="2409"/>
    </row>
    <row r="645" spans="1:157" ht="13.2">
      <c r="B645" s="84" t="s">
        <v>484</v>
      </c>
      <c r="C645" s="1885"/>
      <c r="D645" s="1885"/>
      <c r="E645" s="1885"/>
      <c r="F645" s="1885"/>
      <c r="G645" s="1885"/>
      <c r="H645" s="1885"/>
      <c r="I645" s="1885"/>
      <c r="J645" s="1885"/>
      <c r="K645" s="1885"/>
      <c r="L645" s="1885"/>
      <c r="M645" s="1885"/>
      <c r="N645" s="2232"/>
      <c r="O645" s="2222"/>
      <c r="P645" s="2223"/>
      <c r="Q645" s="2224"/>
      <c r="R645" s="1968"/>
      <c r="S645" s="1969"/>
      <c r="T645" s="1970"/>
      <c r="U645" s="2238"/>
      <c r="V645" s="2239"/>
      <c r="W645" s="2240"/>
      <c r="X645" s="2203" t="s">
        <v>1344</v>
      </c>
      <c r="Y645" s="2233"/>
      <c r="Z645" s="2233"/>
      <c r="AA645" s="2233"/>
      <c r="AB645" s="2234"/>
      <c r="AC645" s="2006"/>
      <c r="AD645" s="2007"/>
      <c r="AE645" s="2008"/>
      <c r="AF645" s="2003"/>
      <c r="AG645" s="2004"/>
      <c r="AH645" s="2004"/>
      <c r="AI645" s="2004"/>
      <c r="AJ645" s="2005"/>
      <c r="AK645" s="2089"/>
      <c r="AL645" s="2090"/>
      <c r="AM645" s="2090"/>
      <c r="AN645" s="2091"/>
      <c r="AO645" s="1998"/>
      <c r="AP645" s="1998"/>
      <c r="AQ645" s="1998"/>
      <c r="AR645" s="1998"/>
      <c r="AS645" s="19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2</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2</v>
      </c>
      <c r="CT645" s="134" t="s">
        <v>2173</v>
      </c>
      <c r="CU645" s="58"/>
      <c r="CV645" s="58"/>
      <c r="CW645" s="58"/>
      <c r="CX645" s="58"/>
      <c r="CY645" s="58"/>
      <c r="CZ645" s="58"/>
      <c r="DA645" s="58"/>
      <c r="DB645" s="58"/>
      <c r="DC645" s="58"/>
      <c r="DD645" s="58"/>
      <c r="DE645" s="58"/>
      <c r="DF645" s="58"/>
      <c r="DX645" s="2409" t="e">
        <f t="shared" si="22"/>
        <v>#VALUE!</v>
      </c>
      <c r="DY645" s="2409"/>
      <c r="DZ645" s="2409"/>
      <c r="EA645" s="2409"/>
      <c r="EB645" s="2409"/>
      <c r="EC645" s="2409" t="e">
        <f t="shared" si="23"/>
        <v>#VALUE!</v>
      </c>
      <c r="ED645" s="2409"/>
      <c r="EE645" s="2409"/>
      <c r="EF645" s="2409"/>
      <c r="EG645" s="2409"/>
      <c r="EH645" s="2409">
        <f t="shared" si="24"/>
        <v>115.54838709677419</v>
      </c>
      <c r="EI645" s="2409"/>
      <c r="EJ645" s="2409"/>
      <c r="EK645" s="2409"/>
      <c r="EL645" s="2409"/>
      <c r="EM645" s="2409" t="e">
        <f t="shared" si="25"/>
        <v>#VALUE!</v>
      </c>
      <c r="EN645" s="2409"/>
      <c r="EO645" s="2409"/>
      <c r="EP645" s="2409"/>
      <c r="EQ645" s="2409"/>
      <c r="ER645" s="2409" t="e">
        <f t="shared" si="26"/>
        <v>#VALUE!</v>
      </c>
      <c r="ES645" s="2409"/>
      <c r="ET645" s="2409"/>
      <c r="EU645" s="2409"/>
      <c r="EV645" s="2409"/>
      <c r="EW645" s="2409" t="e">
        <f t="shared" si="27"/>
        <v>#VALUE!</v>
      </c>
      <c r="EX645" s="2409"/>
      <c r="EY645" s="2409"/>
      <c r="EZ645" s="2409"/>
      <c r="FA645" s="2409"/>
    </row>
    <row r="646" spans="1:157" ht="13.2">
      <c r="B646" s="84" t="s">
        <v>670</v>
      </c>
      <c r="C646" s="1885"/>
      <c r="D646" s="1885"/>
      <c r="E646" s="1885"/>
      <c r="F646" s="1885"/>
      <c r="G646" s="1885"/>
      <c r="H646" s="1885"/>
      <c r="I646" s="1885"/>
      <c r="J646" s="1885"/>
      <c r="K646" s="1885"/>
      <c r="L646" s="1885"/>
      <c r="M646" s="1885"/>
      <c r="N646" s="2232"/>
      <c r="O646" s="2222"/>
      <c r="P646" s="2223"/>
      <c r="Q646" s="2224"/>
      <c r="R646" s="1968"/>
      <c r="S646" s="1969"/>
      <c r="T646" s="1970"/>
      <c r="U646" s="2238"/>
      <c r="V646" s="2239"/>
      <c r="W646" s="2240"/>
      <c r="X646" s="2203" t="s">
        <v>1344</v>
      </c>
      <c r="Y646" s="2233"/>
      <c r="Z646" s="2233"/>
      <c r="AA646" s="2233"/>
      <c r="AB646" s="2234"/>
      <c r="AC646" s="2006"/>
      <c r="AD646" s="2007"/>
      <c r="AE646" s="2008"/>
      <c r="AF646" s="2003"/>
      <c r="AG646" s="2004"/>
      <c r="AH646" s="2004"/>
      <c r="AI646" s="2004"/>
      <c r="AJ646" s="2005"/>
      <c r="AK646" s="2089"/>
      <c r="AL646" s="2090"/>
      <c r="AM646" s="2090"/>
      <c r="AN646" s="2091"/>
      <c r="AO646" s="1998"/>
      <c r="AP646" s="1998"/>
      <c r="AQ646" s="1998"/>
      <c r="AR646" s="1998"/>
      <c r="AS646" s="19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409" t="e">
        <f t="shared" si="22"/>
        <v>#VALUE!</v>
      </c>
      <c r="DY646" s="2409"/>
      <c r="DZ646" s="2409"/>
      <c r="EA646" s="2409"/>
      <c r="EB646" s="2409"/>
      <c r="EC646" s="2409" t="e">
        <f t="shared" si="23"/>
        <v>#VALUE!</v>
      </c>
      <c r="ED646" s="2409"/>
      <c r="EE646" s="2409"/>
      <c r="EF646" s="2409"/>
      <c r="EG646" s="2409"/>
      <c r="EH646" s="2409" t="e">
        <f t="shared" si="24"/>
        <v>#VALUE!</v>
      </c>
      <c r="EI646" s="2409"/>
      <c r="EJ646" s="2409"/>
      <c r="EK646" s="2409"/>
      <c r="EL646" s="2409"/>
      <c r="EM646" s="2409">
        <f t="shared" si="25"/>
        <v>345</v>
      </c>
      <c r="EN646" s="2409"/>
      <c r="EO646" s="2409"/>
      <c r="EP646" s="2409"/>
      <c r="EQ646" s="2409"/>
      <c r="ER646" s="2409" t="e">
        <f t="shared" si="26"/>
        <v>#VALUE!</v>
      </c>
      <c r="ES646" s="2409"/>
      <c r="ET646" s="2409"/>
      <c r="EU646" s="2409"/>
      <c r="EV646" s="2409"/>
      <c r="EW646" s="2409" t="e">
        <f t="shared" si="27"/>
        <v>#VALUE!</v>
      </c>
      <c r="EX646" s="2409"/>
      <c r="EY646" s="2409"/>
      <c r="EZ646" s="2409"/>
      <c r="FA646" s="2409"/>
    </row>
    <row r="647" spans="1:157" ht="13.2">
      <c r="B647" s="84" t="s">
        <v>367</v>
      </c>
      <c r="C647" s="1885"/>
      <c r="D647" s="1885"/>
      <c r="E647" s="1885"/>
      <c r="F647" s="1885"/>
      <c r="G647" s="1885"/>
      <c r="H647" s="1885"/>
      <c r="I647" s="1885"/>
      <c r="J647" s="1885"/>
      <c r="K647" s="1885"/>
      <c r="L647" s="1885"/>
      <c r="M647" s="1885"/>
      <c r="N647" s="2232"/>
      <c r="O647" s="2222"/>
      <c r="P647" s="2223"/>
      <c r="Q647" s="2224"/>
      <c r="R647" s="1968"/>
      <c r="S647" s="1969"/>
      <c r="T647" s="1970"/>
      <c r="U647" s="2238"/>
      <c r="V647" s="2239"/>
      <c r="W647" s="2240"/>
      <c r="X647" s="2203" t="s">
        <v>1344</v>
      </c>
      <c r="Y647" s="2233"/>
      <c r="Z647" s="2233"/>
      <c r="AA647" s="2233"/>
      <c r="AB647" s="2234"/>
      <c r="AC647" s="2006"/>
      <c r="AD647" s="2007"/>
      <c r="AE647" s="2008"/>
      <c r="AF647" s="2003"/>
      <c r="AG647" s="2004"/>
      <c r="AH647" s="2004"/>
      <c r="AI647" s="2004"/>
      <c r="AJ647" s="2005"/>
      <c r="AK647" s="2089"/>
      <c r="AL647" s="2090"/>
      <c r="AM647" s="2090"/>
      <c r="AN647" s="2091"/>
      <c r="AO647" s="1998"/>
      <c r="AP647" s="1998"/>
      <c r="AQ647" s="1998"/>
      <c r="AR647" s="1998"/>
      <c r="AS647" s="19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409" t="e">
        <f t="shared" si="22"/>
        <v>#VALUE!</v>
      </c>
      <c r="DY647" s="2409"/>
      <c r="DZ647" s="2409"/>
      <c r="EA647" s="2409"/>
      <c r="EB647" s="2409"/>
      <c r="EC647" s="2409" t="e">
        <f t="shared" si="23"/>
        <v>#VALUE!</v>
      </c>
      <c r="ED647" s="2409"/>
      <c r="EE647" s="2409"/>
      <c r="EF647" s="2409"/>
      <c r="EG647" s="2409"/>
      <c r="EH647" s="2409" t="e">
        <f t="shared" si="24"/>
        <v>#VALUE!</v>
      </c>
      <c r="EI647" s="2409"/>
      <c r="EJ647" s="2409"/>
      <c r="EK647" s="2409"/>
      <c r="EL647" s="2409"/>
      <c r="EM647" s="2409" t="e">
        <f t="shared" si="25"/>
        <v>#VALUE!</v>
      </c>
      <c r="EN647" s="2409"/>
      <c r="EO647" s="2409"/>
      <c r="EP647" s="2409"/>
      <c r="EQ647" s="2409"/>
      <c r="ER647" s="2409" t="e">
        <f t="shared" si="26"/>
        <v>#VALUE!</v>
      </c>
      <c r="ES647" s="2409"/>
      <c r="ET647" s="2409"/>
      <c r="EU647" s="2409"/>
      <c r="EV647" s="2409"/>
      <c r="EW647" s="2409" t="e">
        <f t="shared" si="27"/>
        <v>#VALUE!</v>
      </c>
      <c r="EX647" s="2409"/>
      <c r="EY647" s="2409"/>
      <c r="EZ647" s="2409"/>
      <c r="FA647" s="2409"/>
    </row>
    <row r="648" spans="1:157" ht="13.2">
      <c r="B648" s="84" t="s">
        <v>368</v>
      </c>
      <c r="C648" s="1885"/>
      <c r="D648" s="1885"/>
      <c r="E648" s="1885"/>
      <c r="F648" s="1885"/>
      <c r="G648" s="1885"/>
      <c r="H648" s="1885"/>
      <c r="I648" s="1885"/>
      <c r="J648" s="1885"/>
      <c r="K648" s="1885"/>
      <c r="L648" s="1885"/>
      <c r="M648" s="1885"/>
      <c r="N648" s="2232"/>
      <c r="O648" s="2222"/>
      <c r="P648" s="2223"/>
      <c r="Q648" s="2224"/>
      <c r="R648" s="1968"/>
      <c r="S648" s="1969"/>
      <c r="T648" s="1970"/>
      <c r="U648" s="2238"/>
      <c r="V648" s="2239"/>
      <c r="W648" s="2240"/>
      <c r="X648" s="2203" t="s">
        <v>1344</v>
      </c>
      <c r="Y648" s="2233"/>
      <c r="Z648" s="2233"/>
      <c r="AA648" s="2233"/>
      <c r="AB648" s="2234"/>
      <c r="AC648" s="2006"/>
      <c r="AD648" s="2007"/>
      <c r="AE648" s="2008"/>
      <c r="AF648" s="2003"/>
      <c r="AG648" s="2004"/>
      <c r="AH648" s="2004"/>
      <c r="AI648" s="2004"/>
      <c r="AJ648" s="2005"/>
      <c r="AK648" s="2089"/>
      <c r="AL648" s="2090"/>
      <c r="AM648" s="2090"/>
      <c r="AN648" s="2091"/>
      <c r="AO648" s="1998"/>
      <c r="AP648" s="1998"/>
      <c r="AQ648" s="1998"/>
      <c r="AR648" s="1998"/>
      <c r="AS648" s="19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8">
        <f t="shared" ref="BN648:BN657" si="28">IF(J786="SRO/Studio",O786,0)</f>
        <v>0</v>
      </c>
      <c r="BO648" s="1869"/>
      <c r="BP648" s="1869"/>
      <c r="BQ648" s="1869"/>
      <c r="BR648" s="1870"/>
      <c r="BS648" s="1867">
        <f t="shared" ref="BS648:BS657" si="29">IF(J786="1 Bedroom",O786,0)</f>
        <v>0</v>
      </c>
      <c r="BT648" s="1867"/>
      <c r="BU648" s="1867"/>
      <c r="BV648" s="1867"/>
      <c r="BW648" s="1867"/>
      <c r="BX648" s="1867">
        <f t="shared" ref="BX648:BX657" si="30">IF(J786="2 Bedrooms",O786,0)</f>
        <v>0</v>
      </c>
      <c r="BY648" s="1867"/>
      <c r="BZ648" s="1867"/>
      <c r="CA648" s="1867"/>
      <c r="CB648" s="1867"/>
      <c r="CC648" s="1867">
        <f t="shared" ref="CC648:CC657" si="31">IF(J786="3 Bedrooms",O786,0)</f>
        <v>0</v>
      </c>
      <c r="CD648" s="1867"/>
      <c r="CE648" s="1867"/>
      <c r="CF648" s="1867"/>
      <c r="CG648" s="1867"/>
      <c r="CH648" s="1867">
        <f t="shared" ref="CH648:CH657" si="32">IF(J786="4 Bedrooms",O786,0)</f>
        <v>0</v>
      </c>
      <c r="CI648" s="1867"/>
      <c r="CJ648" s="1867"/>
      <c r="CK648" s="1867"/>
      <c r="CL648" s="1867"/>
      <c r="CM648" s="1867">
        <f t="shared" ref="CM648:CM657" si="33">IF(J786="5 Bedrooms",O786,0)</f>
        <v>0</v>
      </c>
      <c r="CN648" s="1867"/>
      <c r="CO648" s="1867"/>
      <c r="CP648" s="1867"/>
      <c r="CQ648" s="1867"/>
      <c r="CR648" s="265"/>
      <c r="CS648" s="1868">
        <f>IF(AND(BN648&gt;=1,AH786&gt;=0.1,AH786&lt;=1),O786,0)</f>
        <v>0</v>
      </c>
      <c r="CT648" s="1869"/>
      <c r="CU648" s="1869"/>
      <c r="CV648" s="1869"/>
      <c r="CW648" s="1870"/>
      <c r="CX648" s="1868">
        <f>IF(AND(BS648&gt;=1,AH786&gt;=0.1,AH786&lt;=1),O786,0)</f>
        <v>0</v>
      </c>
      <c r="CY648" s="1869"/>
      <c r="CZ648" s="1869"/>
      <c r="DA648" s="1869"/>
      <c r="DB648" s="1870"/>
      <c r="DC648" s="1868">
        <f>IF(AND(BX648&gt;=1,AH786&gt;=0.1,AH786&lt;=1),O786,0)</f>
        <v>0</v>
      </c>
      <c r="DD648" s="1869"/>
      <c r="DE648" s="1869"/>
      <c r="DF648" s="1869"/>
      <c r="DG648" s="1870"/>
      <c r="DH648" s="1868">
        <f>IF(AND(CC648&gt;=1,AH786&gt;=0.1,AH786&lt;=1),O786,0)</f>
        <v>0</v>
      </c>
      <c r="DI648" s="1869"/>
      <c r="DJ648" s="1869"/>
      <c r="DK648" s="1869"/>
      <c r="DL648" s="1870"/>
      <c r="DM648" s="1868">
        <f>IF(AND(CH648&gt;=1,AH786&gt;=0.1,AH786&lt;=1),O786,0)</f>
        <v>0</v>
      </c>
      <c r="DN648" s="1869"/>
      <c r="DO648" s="1869"/>
      <c r="DP648" s="1869"/>
      <c r="DQ648" s="1870"/>
      <c r="DR648" s="1868">
        <f>IF(AND(CM648&gt;=1,AH786&gt;=0.1,AH786&lt;=1),O786,0)</f>
        <v>0</v>
      </c>
      <c r="DS648" s="1869"/>
      <c r="DT648" s="1869"/>
      <c r="DU648" s="1869"/>
      <c r="DV648" s="1870"/>
      <c r="DX648" s="2409" t="e">
        <f t="shared" si="22"/>
        <v>#VALUE!</v>
      </c>
      <c r="DY648" s="2409"/>
      <c r="DZ648" s="2409"/>
      <c r="EA648" s="2409"/>
      <c r="EB648" s="2409"/>
      <c r="EC648" s="2409" t="e">
        <f t="shared" si="23"/>
        <v>#VALUE!</v>
      </c>
      <c r="ED648" s="2409"/>
      <c r="EE648" s="2409"/>
      <c r="EF648" s="2409"/>
      <c r="EG648" s="2409"/>
      <c r="EH648" s="2409" t="e">
        <f t="shared" si="24"/>
        <v>#VALUE!</v>
      </c>
      <c r="EI648" s="2409"/>
      <c r="EJ648" s="2409"/>
      <c r="EK648" s="2409"/>
      <c r="EL648" s="2409"/>
      <c r="EM648" s="2409" t="e">
        <f t="shared" si="25"/>
        <v>#VALUE!</v>
      </c>
      <c r="EN648" s="2409"/>
      <c r="EO648" s="2409"/>
      <c r="EP648" s="2409"/>
      <c r="EQ648" s="2409"/>
      <c r="ER648" s="2409" t="e">
        <f t="shared" si="26"/>
        <v>#VALUE!</v>
      </c>
      <c r="ES648" s="2409"/>
      <c r="ET648" s="2409"/>
      <c r="EU648" s="2409"/>
      <c r="EV648" s="2409"/>
      <c r="EW648" s="2409" t="e">
        <f t="shared" si="27"/>
        <v>#VALUE!</v>
      </c>
      <c r="EX648" s="2409"/>
      <c r="EY648" s="2409"/>
      <c r="EZ648" s="2409"/>
      <c r="FA648" s="2409"/>
    </row>
    <row r="649" spans="1:157" ht="13.2">
      <c r="B649" s="2000" t="s">
        <v>133</v>
      </c>
      <c r="C649" s="2001"/>
      <c r="D649" s="2001"/>
      <c r="E649" s="2001"/>
      <c r="F649" s="2001"/>
      <c r="G649" s="2001"/>
      <c r="H649" s="2001"/>
      <c r="I649" s="2001"/>
      <c r="J649" s="2001"/>
      <c r="K649" s="2001"/>
      <c r="L649" s="2001"/>
      <c r="M649" s="2001"/>
      <c r="N649" s="2001"/>
      <c r="O649" s="2001"/>
      <c r="P649" s="2001"/>
      <c r="Q649" s="2001"/>
      <c r="R649" s="2001"/>
      <c r="S649" s="2001"/>
      <c r="T649" s="2001"/>
      <c r="U649" s="2001"/>
      <c r="V649" s="2001"/>
      <c r="W649" s="2001"/>
      <c r="X649" s="2001"/>
      <c r="Y649" s="2001"/>
      <c r="Z649" s="2001"/>
      <c r="AA649" s="2001"/>
      <c r="AB649" s="2001"/>
      <c r="AC649" s="2001"/>
      <c r="AD649" s="2001"/>
      <c r="AE649" s="2001"/>
      <c r="AF649" s="2001"/>
      <c r="AG649" s="2001"/>
      <c r="AH649" s="2001"/>
      <c r="AI649" s="2001"/>
      <c r="AJ649" s="2001"/>
      <c r="AK649" s="2001"/>
      <c r="AL649" s="2001"/>
      <c r="AM649" s="2001"/>
      <c r="AN649" s="2002"/>
      <c r="AO649" s="2012">
        <f>SUM(AO637:AR648)</f>
        <v>37000875.254910827</v>
      </c>
      <c r="AP649" s="2013"/>
      <c r="AQ649" s="2013"/>
      <c r="AR649" s="2013"/>
      <c r="AS649" s="2014"/>
      <c r="AZ649" s="58"/>
      <c r="BA649" s="58"/>
      <c r="BB649" s="58"/>
      <c r="BC649" s="58"/>
      <c r="BD649" s="58"/>
      <c r="BE649" s="58"/>
      <c r="BF649" s="58"/>
      <c r="BG649" s="58"/>
      <c r="BH649" s="58"/>
      <c r="BI649" s="58"/>
      <c r="BJ649" s="58"/>
      <c r="BK649" s="58"/>
      <c r="BL649" s="58"/>
      <c r="BM649" s="58"/>
      <c r="BN649" s="1868">
        <f t="shared" si="28"/>
        <v>0</v>
      </c>
      <c r="BO649" s="1869"/>
      <c r="BP649" s="1869"/>
      <c r="BQ649" s="1869"/>
      <c r="BR649" s="1870"/>
      <c r="BS649" s="1867">
        <f t="shared" si="29"/>
        <v>0</v>
      </c>
      <c r="BT649" s="1867"/>
      <c r="BU649" s="1867"/>
      <c r="BV649" s="1867"/>
      <c r="BW649" s="1867"/>
      <c r="BX649" s="1867">
        <f t="shared" si="30"/>
        <v>0</v>
      </c>
      <c r="BY649" s="1867"/>
      <c r="BZ649" s="1867"/>
      <c r="CA649" s="1867"/>
      <c r="CB649" s="1867"/>
      <c r="CC649" s="1867">
        <f t="shared" si="31"/>
        <v>0</v>
      </c>
      <c r="CD649" s="1867"/>
      <c r="CE649" s="1867"/>
      <c r="CF649" s="1867"/>
      <c r="CG649" s="1867"/>
      <c r="CH649" s="1867">
        <f t="shared" si="32"/>
        <v>0</v>
      </c>
      <c r="CI649" s="1867"/>
      <c r="CJ649" s="1867"/>
      <c r="CK649" s="1867"/>
      <c r="CL649" s="1867"/>
      <c r="CM649" s="1867">
        <f t="shared" si="33"/>
        <v>0</v>
      </c>
      <c r="CN649" s="1867"/>
      <c r="CO649" s="1867"/>
      <c r="CP649" s="1867"/>
      <c r="CQ649" s="1867"/>
      <c r="CR649" s="265"/>
      <c r="CS649" s="1868">
        <f t="shared" ref="CS649:CS657" si="34">IF(AND(BN649&gt;=1,AH787&gt;=0.1,AH787&lt;=1),O787,0)</f>
        <v>0</v>
      </c>
      <c r="CT649" s="1869"/>
      <c r="CU649" s="1869"/>
      <c r="CV649" s="1869"/>
      <c r="CW649" s="1870"/>
      <c r="CX649" s="1868">
        <f t="shared" ref="CX649:CX657" si="35">IF(AND(BS649&gt;=1,AH787&gt;=0.1,AH787&lt;=1),O787,0)</f>
        <v>0</v>
      </c>
      <c r="CY649" s="1869"/>
      <c r="CZ649" s="1869"/>
      <c r="DA649" s="1869"/>
      <c r="DB649" s="1870"/>
      <c r="DC649" s="1868">
        <f t="shared" ref="DC649:DC657" si="36">IF(AND(BX649&gt;=1,AH787&gt;=0.1,AH787&lt;=1),O787,0)</f>
        <v>0</v>
      </c>
      <c r="DD649" s="1869"/>
      <c r="DE649" s="1869"/>
      <c r="DF649" s="1869"/>
      <c r="DG649" s="1870"/>
      <c r="DH649" s="1868">
        <f t="shared" ref="DH649:DH657" si="37">IF(AND(CC649&gt;=1,AH787&gt;=0.1,AH787&lt;=1),O787,0)</f>
        <v>0</v>
      </c>
      <c r="DI649" s="1869"/>
      <c r="DJ649" s="1869"/>
      <c r="DK649" s="1869"/>
      <c r="DL649" s="1870"/>
      <c r="DM649" s="1868">
        <f t="shared" ref="DM649:DM657" si="38">IF(AND(CH649&gt;=1,AH787&gt;=0.1,AH787&lt;=1),O787,0)</f>
        <v>0</v>
      </c>
      <c r="DN649" s="1869"/>
      <c r="DO649" s="1869"/>
      <c r="DP649" s="1869"/>
      <c r="DQ649" s="1870"/>
      <c r="DR649" s="1868">
        <f t="shared" ref="DR649:DR657" si="39">IF(AND(CM649&gt;=1,AH787&gt;=0.1,AH787&lt;=1),O787,0)</f>
        <v>0</v>
      </c>
      <c r="DS649" s="1869"/>
      <c r="DT649" s="1869"/>
      <c r="DU649" s="1869"/>
      <c r="DV649" s="1870"/>
      <c r="DX649" s="2409" t="e">
        <f t="shared" si="22"/>
        <v>#VALUE!</v>
      </c>
      <c r="DY649" s="2409"/>
      <c r="DZ649" s="2409"/>
      <c r="EA649" s="2409"/>
      <c r="EB649" s="2409"/>
      <c r="EC649" s="2409" t="e">
        <f t="shared" si="23"/>
        <v>#VALUE!</v>
      </c>
      <c r="ED649" s="2409"/>
      <c r="EE649" s="2409"/>
      <c r="EF649" s="2409"/>
      <c r="EG649" s="2409"/>
      <c r="EH649" s="2409" t="e">
        <f t="shared" si="24"/>
        <v>#VALUE!</v>
      </c>
      <c r="EI649" s="2409"/>
      <c r="EJ649" s="2409"/>
      <c r="EK649" s="2409"/>
      <c r="EL649" s="2409"/>
      <c r="EM649" s="2409" t="e">
        <f t="shared" si="25"/>
        <v>#VALUE!</v>
      </c>
      <c r="EN649" s="2409"/>
      <c r="EO649" s="2409"/>
      <c r="EP649" s="2409"/>
      <c r="EQ649" s="2409"/>
      <c r="ER649" s="2409" t="e">
        <f t="shared" si="26"/>
        <v>#VALUE!</v>
      </c>
      <c r="ES649" s="2409"/>
      <c r="ET649" s="2409"/>
      <c r="EU649" s="2409"/>
      <c r="EV649" s="2409"/>
      <c r="EW649" s="2409" t="e">
        <f t="shared" si="27"/>
        <v>#VALUE!</v>
      </c>
      <c r="EX649" s="2409"/>
      <c r="EY649" s="2409"/>
      <c r="EZ649" s="2409"/>
      <c r="FA649" s="2409"/>
    </row>
    <row r="650" spans="1:157" ht="12.75" customHeight="1">
      <c r="B650" s="2000" t="s">
        <v>272</v>
      </c>
      <c r="C650" s="2001"/>
      <c r="D650" s="2001"/>
      <c r="E650" s="2001"/>
      <c r="F650" s="2001"/>
      <c r="G650" s="2001"/>
      <c r="H650" s="2001"/>
      <c r="I650" s="2001"/>
      <c r="J650" s="2001"/>
      <c r="K650" s="2001"/>
      <c r="L650" s="2001"/>
      <c r="M650" s="2001"/>
      <c r="N650" s="2001"/>
      <c r="O650" s="2001"/>
      <c r="P650" s="2001"/>
      <c r="Q650" s="2001"/>
      <c r="R650" s="2001"/>
      <c r="S650" s="2001"/>
      <c r="T650" s="2001"/>
      <c r="U650" s="2001"/>
      <c r="V650" s="2001"/>
      <c r="W650" s="2001"/>
      <c r="X650" s="2001"/>
      <c r="Y650" s="2001"/>
      <c r="Z650" s="2001"/>
      <c r="AA650" s="2001"/>
      <c r="AB650" s="2001"/>
      <c r="AC650" s="2001"/>
      <c r="AD650" s="2001"/>
      <c r="AE650" s="2001"/>
      <c r="AF650" s="2001"/>
      <c r="AG650" s="2001"/>
      <c r="AH650" s="2001"/>
      <c r="AI650" s="2001"/>
      <c r="AJ650" s="2001"/>
      <c r="AK650" s="2001"/>
      <c r="AL650" s="2001"/>
      <c r="AM650" s="2001"/>
      <c r="AN650" s="2002"/>
      <c r="AO650" s="1887">
        <f>'[10]4%'!$E$20-'[10]4%'!$E$117</f>
        <v>31883017.346007615</v>
      </c>
      <c r="AP650" s="1888"/>
      <c r="AQ650" s="1888"/>
      <c r="AR650" s="1888"/>
      <c r="AS650" s="1889"/>
      <c r="AZ650" s="61"/>
      <c r="BA650" s="61"/>
      <c r="BB650" s="61"/>
      <c r="BC650" s="61"/>
      <c r="BD650" s="61"/>
      <c r="BE650" s="61"/>
      <c r="BF650" s="61"/>
      <c r="BG650" s="61"/>
      <c r="BH650" s="61"/>
      <c r="BI650" s="61"/>
      <c r="BJ650" s="61"/>
      <c r="BK650" s="61"/>
      <c r="BL650" s="61"/>
      <c r="BM650" s="61"/>
      <c r="BN650" s="1868">
        <f t="shared" si="28"/>
        <v>0</v>
      </c>
      <c r="BO650" s="1869"/>
      <c r="BP650" s="1869"/>
      <c r="BQ650" s="1869"/>
      <c r="BR650" s="1870"/>
      <c r="BS650" s="1867">
        <f t="shared" si="29"/>
        <v>0</v>
      </c>
      <c r="BT650" s="1867"/>
      <c r="BU650" s="1867"/>
      <c r="BV650" s="1867"/>
      <c r="BW650" s="1867"/>
      <c r="BX650" s="1867">
        <f t="shared" si="30"/>
        <v>0</v>
      </c>
      <c r="BY650" s="1867"/>
      <c r="BZ650" s="1867"/>
      <c r="CA650" s="1867"/>
      <c r="CB650" s="1867"/>
      <c r="CC650" s="1867">
        <f t="shared" si="31"/>
        <v>0</v>
      </c>
      <c r="CD650" s="1867"/>
      <c r="CE650" s="1867"/>
      <c r="CF650" s="1867"/>
      <c r="CG650" s="1867"/>
      <c r="CH650" s="1867">
        <f t="shared" si="32"/>
        <v>0</v>
      </c>
      <c r="CI650" s="1867"/>
      <c r="CJ650" s="1867"/>
      <c r="CK650" s="1867"/>
      <c r="CL650" s="1867"/>
      <c r="CM650" s="1867">
        <f t="shared" si="33"/>
        <v>0</v>
      </c>
      <c r="CN650" s="1867"/>
      <c r="CO650" s="1867"/>
      <c r="CP650" s="1867"/>
      <c r="CQ650" s="1867"/>
      <c r="CR650" s="265"/>
      <c r="CS650" s="1868">
        <f t="shared" si="34"/>
        <v>0</v>
      </c>
      <c r="CT650" s="1869"/>
      <c r="CU650" s="1869"/>
      <c r="CV650" s="1869"/>
      <c r="CW650" s="1870"/>
      <c r="CX650" s="1868">
        <f t="shared" si="35"/>
        <v>0</v>
      </c>
      <c r="CY650" s="1869"/>
      <c r="CZ650" s="1869"/>
      <c r="DA650" s="1869"/>
      <c r="DB650" s="1870"/>
      <c r="DC650" s="1868">
        <f t="shared" si="36"/>
        <v>0</v>
      </c>
      <c r="DD650" s="1869"/>
      <c r="DE650" s="1869"/>
      <c r="DF650" s="1869"/>
      <c r="DG650" s="1870"/>
      <c r="DH650" s="1868">
        <f t="shared" si="37"/>
        <v>0</v>
      </c>
      <c r="DI650" s="1869"/>
      <c r="DJ650" s="1869"/>
      <c r="DK650" s="1869"/>
      <c r="DL650" s="1870"/>
      <c r="DM650" s="1868">
        <f t="shared" si="38"/>
        <v>0</v>
      </c>
      <c r="DN650" s="1869"/>
      <c r="DO650" s="1869"/>
      <c r="DP650" s="1869"/>
      <c r="DQ650" s="1870"/>
      <c r="DR650" s="1868">
        <f t="shared" si="39"/>
        <v>0</v>
      </c>
      <c r="DS650" s="1869"/>
      <c r="DT650" s="1869"/>
      <c r="DU650" s="1869"/>
      <c r="DV650" s="1870"/>
      <c r="DX650" s="2409" t="e">
        <f t="shared" si="22"/>
        <v>#VALUE!</v>
      </c>
      <c r="DY650" s="2409"/>
      <c r="DZ650" s="2409"/>
      <c r="EA650" s="2409"/>
      <c r="EB650" s="2409"/>
      <c r="EC650" s="2409" t="e">
        <f t="shared" si="23"/>
        <v>#VALUE!</v>
      </c>
      <c r="ED650" s="2409"/>
      <c r="EE650" s="2409"/>
      <c r="EF650" s="2409"/>
      <c r="EG650" s="2409"/>
      <c r="EH650" s="2409" t="e">
        <f t="shared" si="24"/>
        <v>#VALUE!</v>
      </c>
      <c r="EI650" s="2409"/>
      <c r="EJ650" s="2409"/>
      <c r="EK650" s="2409"/>
      <c r="EL650" s="2409"/>
      <c r="EM650" s="2409" t="e">
        <f t="shared" si="25"/>
        <v>#VALUE!</v>
      </c>
      <c r="EN650" s="2409"/>
      <c r="EO650" s="2409"/>
      <c r="EP650" s="2409"/>
      <c r="EQ650" s="2409"/>
      <c r="ER650" s="2409" t="e">
        <f t="shared" si="26"/>
        <v>#VALUE!</v>
      </c>
      <c r="ES650" s="2409"/>
      <c r="ET650" s="2409"/>
      <c r="EU650" s="2409"/>
      <c r="EV650" s="2409"/>
      <c r="EW650" s="2409" t="e">
        <f t="shared" si="27"/>
        <v>#VALUE!</v>
      </c>
      <c r="EX650" s="2409"/>
      <c r="EY650" s="2409"/>
      <c r="EZ650" s="2409"/>
      <c r="FA650" s="2409"/>
    </row>
    <row r="651" spans="1:157" ht="12.75" customHeight="1">
      <c r="B651" s="2095" t="s">
        <v>273</v>
      </c>
      <c r="C651" s="2020"/>
      <c r="D651" s="2020"/>
      <c r="E651" s="2020"/>
      <c r="F651" s="2020"/>
      <c r="G651" s="2020"/>
      <c r="H651" s="2020"/>
      <c r="I651" s="2020"/>
      <c r="J651" s="2020"/>
      <c r="K651" s="2020"/>
      <c r="L651" s="2020"/>
      <c r="M651" s="2020"/>
      <c r="N651" s="2020"/>
      <c r="O651" s="2020"/>
      <c r="P651" s="2020"/>
      <c r="Q651" s="2020"/>
      <c r="R651" s="2020"/>
      <c r="S651" s="2020"/>
      <c r="T651" s="2020"/>
      <c r="U651" s="2020"/>
      <c r="V651" s="2020"/>
      <c r="W651" s="2020"/>
      <c r="X651" s="2020"/>
      <c r="Y651" s="2020"/>
      <c r="Z651" s="2020"/>
      <c r="AA651" s="2020"/>
      <c r="AB651" s="2020"/>
      <c r="AC651" s="2020"/>
      <c r="AD651" s="2020"/>
      <c r="AE651" s="2020"/>
      <c r="AF651" s="2020"/>
      <c r="AG651" s="2020"/>
      <c r="AH651" s="2020"/>
      <c r="AI651" s="2020"/>
      <c r="AJ651" s="2020"/>
      <c r="AK651" s="2020"/>
      <c r="AL651" s="2020"/>
      <c r="AM651" s="2020"/>
      <c r="AN651" s="2096"/>
      <c r="AO651" s="2012">
        <f>AO649+AO650</f>
        <v>68883892.600918442</v>
      </c>
      <c r="AP651" s="2013"/>
      <c r="AQ651" s="2013"/>
      <c r="AR651" s="2013"/>
      <c r="AS651" s="2014"/>
      <c r="AZ651" s="61"/>
      <c r="BA651" s="61"/>
      <c r="BB651" s="61"/>
      <c r="BC651" s="61"/>
      <c r="BD651" s="61"/>
      <c r="BE651" s="61"/>
      <c r="BF651" s="61"/>
      <c r="BG651" s="61"/>
      <c r="BH651" s="61"/>
      <c r="BI651" s="61"/>
      <c r="BJ651" s="61"/>
      <c r="BK651" s="61"/>
      <c r="BL651" s="61"/>
      <c r="BM651" s="61"/>
      <c r="BN651" s="1868">
        <f t="shared" si="28"/>
        <v>0</v>
      </c>
      <c r="BO651" s="1869"/>
      <c r="BP651" s="1869"/>
      <c r="BQ651" s="1869"/>
      <c r="BR651" s="1870"/>
      <c r="BS651" s="1867">
        <f t="shared" si="29"/>
        <v>0</v>
      </c>
      <c r="BT651" s="1867"/>
      <c r="BU651" s="1867"/>
      <c r="BV651" s="1867"/>
      <c r="BW651" s="1867"/>
      <c r="BX651" s="1867">
        <f t="shared" si="30"/>
        <v>0</v>
      </c>
      <c r="BY651" s="1867"/>
      <c r="BZ651" s="1867"/>
      <c r="CA651" s="1867"/>
      <c r="CB651" s="1867"/>
      <c r="CC651" s="1867">
        <f t="shared" si="31"/>
        <v>0</v>
      </c>
      <c r="CD651" s="1867"/>
      <c r="CE651" s="1867"/>
      <c r="CF651" s="1867"/>
      <c r="CG651" s="1867"/>
      <c r="CH651" s="1867">
        <f t="shared" si="32"/>
        <v>0</v>
      </c>
      <c r="CI651" s="1867"/>
      <c r="CJ651" s="1867"/>
      <c r="CK651" s="1867"/>
      <c r="CL651" s="1867"/>
      <c r="CM651" s="1867">
        <f t="shared" si="33"/>
        <v>0</v>
      </c>
      <c r="CN651" s="1867"/>
      <c r="CO651" s="1867"/>
      <c r="CP651" s="1867"/>
      <c r="CQ651" s="1867"/>
      <c r="CR651" s="265"/>
      <c r="CS651" s="1868">
        <f t="shared" si="34"/>
        <v>0</v>
      </c>
      <c r="CT651" s="1869"/>
      <c r="CU651" s="1869"/>
      <c r="CV651" s="1869"/>
      <c r="CW651" s="1870"/>
      <c r="CX651" s="1868">
        <f t="shared" si="35"/>
        <v>0</v>
      </c>
      <c r="CY651" s="1869"/>
      <c r="CZ651" s="1869"/>
      <c r="DA651" s="1869"/>
      <c r="DB651" s="1870"/>
      <c r="DC651" s="1868">
        <f t="shared" si="36"/>
        <v>0</v>
      </c>
      <c r="DD651" s="1869"/>
      <c r="DE651" s="1869"/>
      <c r="DF651" s="1869"/>
      <c r="DG651" s="1870"/>
      <c r="DH651" s="1868">
        <f t="shared" si="37"/>
        <v>0</v>
      </c>
      <c r="DI651" s="1869"/>
      <c r="DJ651" s="1869"/>
      <c r="DK651" s="1869"/>
      <c r="DL651" s="1870"/>
      <c r="DM651" s="1868">
        <f t="shared" si="38"/>
        <v>0</v>
      </c>
      <c r="DN651" s="1869"/>
      <c r="DO651" s="1869"/>
      <c r="DP651" s="1869"/>
      <c r="DQ651" s="1870"/>
      <c r="DR651" s="1868">
        <f t="shared" si="39"/>
        <v>0</v>
      </c>
      <c r="DS651" s="1869"/>
      <c r="DT651" s="1869"/>
      <c r="DU651" s="1869"/>
      <c r="DV651" s="1870"/>
      <c r="DX651" s="2409" t="e">
        <f t="shared" si="22"/>
        <v>#VALUE!</v>
      </c>
      <c r="DY651" s="2409"/>
      <c r="DZ651" s="2409"/>
      <c r="EA651" s="2409"/>
      <c r="EB651" s="2409"/>
      <c r="EC651" s="2409" t="e">
        <f t="shared" si="23"/>
        <v>#VALUE!</v>
      </c>
      <c r="ED651" s="2409"/>
      <c r="EE651" s="2409"/>
      <c r="EF651" s="2409"/>
      <c r="EG651" s="2409"/>
      <c r="EH651" s="2409" t="e">
        <f t="shared" si="24"/>
        <v>#VALUE!</v>
      </c>
      <c r="EI651" s="2409"/>
      <c r="EJ651" s="2409"/>
      <c r="EK651" s="2409"/>
      <c r="EL651" s="2409"/>
      <c r="EM651" s="2409" t="e">
        <f t="shared" si="25"/>
        <v>#VALUE!</v>
      </c>
      <c r="EN651" s="2409"/>
      <c r="EO651" s="2409"/>
      <c r="EP651" s="2409"/>
      <c r="EQ651" s="2409"/>
      <c r="ER651" s="2409" t="e">
        <f t="shared" si="26"/>
        <v>#VALUE!</v>
      </c>
      <c r="ES651" s="2409"/>
      <c r="ET651" s="2409"/>
      <c r="EU651" s="2409"/>
      <c r="EV651" s="2409"/>
      <c r="EW651" s="2409" t="e">
        <f t="shared" si="27"/>
        <v>#VALUE!</v>
      </c>
      <c r="EX651" s="2409"/>
      <c r="EY651" s="2409"/>
      <c r="EZ651" s="2409"/>
      <c r="FA651" s="2409"/>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8">
        <f t="shared" si="28"/>
        <v>0</v>
      </c>
      <c r="BO652" s="1869"/>
      <c r="BP652" s="1869"/>
      <c r="BQ652" s="1869"/>
      <c r="BR652" s="1870"/>
      <c r="BS652" s="1867">
        <f t="shared" si="29"/>
        <v>0</v>
      </c>
      <c r="BT652" s="1867"/>
      <c r="BU652" s="1867"/>
      <c r="BV652" s="1867"/>
      <c r="BW652" s="1867"/>
      <c r="BX652" s="1867">
        <f t="shared" si="30"/>
        <v>0</v>
      </c>
      <c r="BY652" s="1867"/>
      <c r="BZ652" s="1867"/>
      <c r="CA652" s="1867"/>
      <c r="CB652" s="1867"/>
      <c r="CC652" s="1867">
        <f t="shared" si="31"/>
        <v>0</v>
      </c>
      <c r="CD652" s="1867"/>
      <c r="CE652" s="1867"/>
      <c r="CF652" s="1867"/>
      <c r="CG652" s="1867"/>
      <c r="CH652" s="1867">
        <f t="shared" si="32"/>
        <v>0</v>
      </c>
      <c r="CI652" s="1867"/>
      <c r="CJ652" s="1867"/>
      <c r="CK652" s="1867"/>
      <c r="CL652" s="1867"/>
      <c r="CM652" s="1867">
        <f t="shared" si="33"/>
        <v>0</v>
      </c>
      <c r="CN652" s="1867"/>
      <c r="CO652" s="1867"/>
      <c r="CP652" s="1867"/>
      <c r="CQ652" s="1867"/>
      <c r="CR652" s="265"/>
      <c r="CS652" s="1868">
        <f t="shared" si="34"/>
        <v>0</v>
      </c>
      <c r="CT652" s="1869"/>
      <c r="CU652" s="1869"/>
      <c r="CV652" s="1869"/>
      <c r="CW652" s="1870"/>
      <c r="CX652" s="1868">
        <f t="shared" si="35"/>
        <v>0</v>
      </c>
      <c r="CY652" s="1869"/>
      <c r="CZ652" s="1869"/>
      <c r="DA652" s="1869"/>
      <c r="DB652" s="1870"/>
      <c r="DC652" s="1868">
        <f t="shared" si="36"/>
        <v>0</v>
      </c>
      <c r="DD652" s="1869"/>
      <c r="DE652" s="1869"/>
      <c r="DF652" s="1869"/>
      <c r="DG652" s="1870"/>
      <c r="DH652" s="1868">
        <f t="shared" si="37"/>
        <v>0</v>
      </c>
      <c r="DI652" s="1869"/>
      <c r="DJ652" s="1869"/>
      <c r="DK652" s="1869"/>
      <c r="DL652" s="1870"/>
      <c r="DM652" s="1868">
        <f t="shared" si="38"/>
        <v>0</v>
      </c>
      <c r="DN652" s="1869"/>
      <c r="DO652" s="1869"/>
      <c r="DP652" s="1869"/>
      <c r="DQ652" s="1870"/>
      <c r="DR652" s="1868">
        <f t="shared" si="39"/>
        <v>0</v>
      </c>
      <c r="DS652" s="1869"/>
      <c r="DT652" s="1869"/>
      <c r="DU652" s="1869"/>
      <c r="DV652" s="1870"/>
      <c r="DX652" s="2409" t="e">
        <f t="shared" si="22"/>
        <v>#VALUE!</v>
      </c>
      <c r="DY652" s="2409"/>
      <c r="DZ652" s="2409"/>
      <c r="EA652" s="2409"/>
      <c r="EB652" s="2409"/>
      <c r="EC652" s="2409" t="e">
        <f t="shared" si="23"/>
        <v>#VALUE!</v>
      </c>
      <c r="ED652" s="2409"/>
      <c r="EE652" s="2409"/>
      <c r="EF652" s="2409"/>
      <c r="EG652" s="2409"/>
      <c r="EH652" s="2409" t="e">
        <f t="shared" si="24"/>
        <v>#VALUE!</v>
      </c>
      <c r="EI652" s="2409"/>
      <c r="EJ652" s="2409"/>
      <c r="EK652" s="2409"/>
      <c r="EL652" s="2409"/>
      <c r="EM652" s="2409" t="e">
        <f t="shared" si="25"/>
        <v>#VALUE!</v>
      </c>
      <c r="EN652" s="2409"/>
      <c r="EO652" s="2409"/>
      <c r="EP652" s="2409"/>
      <c r="EQ652" s="2409"/>
      <c r="ER652" s="2409" t="e">
        <f t="shared" si="26"/>
        <v>#VALUE!</v>
      </c>
      <c r="ES652" s="2409"/>
      <c r="ET652" s="2409"/>
      <c r="EU652" s="2409"/>
      <c r="EV652" s="2409"/>
      <c r="EW652" s="2409" t="e">
        <f t="shared" si="27"/>
        <v>#VALUE!</v>
      </c>
      <c r="EX652" s="2409"/>
      <c r="EY652" s="2409"/>
      <c r="EZ652" s="2409"/>
      <c r="FA652" s="2409"/>
    </row>
    <row r="653" spans="1:157" ht="13.2">
      <c r="A653" s="87" t="s">
        <v>117</v>
      </c>
      <c r="B653" s="12" t="s">
        <v>486</v>
      </c>
      <c r="G653" s="1895" t="str">
        <f>C637</f>
        <v>SF OCII</v>
      </c>
      <c r="H653" s="1895"/>
      <c r="I653" s="1895"/>
      <c r="J653" s="1895"/>
      <c r="K653" s="1895"/>
      <c r="L653" s="1895"/>
      <c r="M653" s="1895"/>
      <c r="N653" s="1895"/>
      <c r="O653" s="1895"/>
      <c r="P653" s="1895"/>
      <c r="Q653" s="1895"/>
      <c r="R653" s="1895"/>
      <c r="S653" s="14"/>
      <c r="T653" s="87" t="s">
        <v>118</v>
      </c>
      <c r="U653" s="12" t="s">
        <v>486</v>
      </c>
      <c r="Z653" s="1895" t="str">
        <f>C638</f>
        <v>FHLB AHP</v>
      </c>
      <c r="AA653" s="1895"/>
      <c r="AB653" s="1895"/>
      <c r="AC653" s="1895"/>
      <c r="AD653" s="1895"/>
      <c r="AE653" s="1895"/>
      <c r="AF653" s="1895"/>
      <c r="AG653" s="1895"/>
      <c r="AH653" s="1895"/>
      <c r="AI653" s="1895"/>
      <c r="AJ653" s="1895"/>
      <c r="AK653" s="1895"/>
      <c r="AZ653" s="61"/>
      <c r="BA653" s="61"/>
      <c r="BB653" s="61"/>
      <c r="BC653" s="61"/>
      <c r="BD653" s="61"/>
      <c r="BE653" s="61"/>
      <c r="BF653" s="61"/>
      <c r="BG653" s="61"/>
      <c r="BH653" s="61"/>
      <c r="BI653" s="61"/>
      <c r="BJ653" s="61"/>
      <c r="BK653" s="61"/>
      <c r="BL653" s="61"/>
      <c r="BM653" s="61"/>
      <c r="BN653" s="1868">
        <f t="shared" si="28"/>
        <v>0</v>
      </c>
      <c r="BO653" s="1869"/>
      <c r="BP653" s="1869"/>
      <c r="BQ653" s="1869"/>
      <c r="BR653" s="1870"/>
      <c r="BS653" s="1867">
        <f t="shared" si="29"/>
        <v>0</v>
      </c>
      <c r="BT653" s="1867"/>
      <c r="BU653" s="1867"/>
      <c r="BV653" s="1867"/>
      <c r="BW653" s="1867"/>
      <c r="BX653" s="1867">
        <f t="shared" si="30"/>
        <v>0</v>
      </c>
      <c r="BY653" s="1867"/>
      <c r="BZ653" s="1867"/>
      <c r="CA653" s="1867"/>
      <c r="CB653" s="1867"/>
      <c r="CC653" s="1867">
        <f t="shared" si="31"/>
        <v>0</v>
      </c>
      <c r="CD653" s="1867"/>
      <c r="CE653" s="1867"/>
      <c r="CF653" s="1867"/>
      <c r="CG653" s="1867"/>
      <c r="CH653" s="1867">
        <f t="shared" si="32"/>
        <v>0</v>
      </c>
      <c r="CI653" s="1867"/>
      <c r="CJ653" s="1867"/>
      <c r="CK653" s="1867"/>
      <c r="CL653" s="1867"/>
      <c r="CM653" s="1867">
        <f t="shared" si="33"/>
        <v>0</v>
      </c>
      <c r="CN653" s="1867"/>
      <c r="CO653" s="1867"/>
      <c r="CP653" s="1867"/>
      <c r="CQ653" s="1867"/>
      <c r="CR653" s="265"/>
      <c r="CS653" s="1868">
        <f t="shared" si="34"/>
        <v>0</v>
      </c>
      <c r="CT653" s="1869"/>
      <c r="CU653" s="1869"/>
      <c r="CV653" s="1869"/>
      <c r="CW653" s="1870"/>
      <c r="CX653" s="1868">
        <f t="shared" si="35"/>
        <v>0</v>
      </c>
      <c r="CY653" s="1869"/>
      <c r="CZ653" s="1869"/>
      <c r="DA653" s="1869"/>
      <c r="DB653" s="1870"/>
      <c r="DC653" s="1868">
        <f t="shared" si="36"/>
        <v>0</v>
      </c>
      <c r="DD653" s="1869"/>
      <c r="DE653" s="1869"/>
      <c r="DF653" s="1869"/>
      <c r="DG653" s="1870"/>
      <c r="DH653" s="1868">
        <f t="shared" si="37"/>
        <v>0</v>
      </c>
      <c r="DI653" s="1869"/>
      <c r="DJ653" s="1869"/>
      <c r="DK653" s="1869"/>
      <c r="DL653" s="1870"/>
      <c r="DM653" s="1868">
        <f t="shared" si="38"/>
        <v>0</v>
      </c>
      <c r="DN653" s="1869"/>
      <c r="DO653" s="1869"/>
      <c r="DP653" s="1869"/>
      <c r="DQ653" s="1870"/>
      <c r="DR653" s="1868">
        <f t="shared" si="39"/>
        <v>0</v>
      </c>
      <c r="DS653" s="1869"/>
      <c r="DT653" s="1869"/>
      <c r="DU653" s="1869"/>
      <c r="DV653" s="1870"/>
      <c r="DX653" s="2409" t="e">
        <f t="shared" si="22"/>
        <v>#VALUE!</v>
      </c>
      <c r="DY653" s="2409"/>
      <c r="DZ653" s="2409"/>
      <c r="EA653" s="2409"/>
      <c r="EB653" s="2409"/>
      <c r="EC653" s="2409" t="e">
        <f t="shared" si="23"/>
        <v>#VALUE!</v>
      </c>
      <c r="ED653" s="2409"/>
      <c r="EE653" s="2409"/>
      <c r="EF653" s="2409"/>
      <c r="EG653" s="2409"/>
      <c r="EH653" s="2409" t="e">
        <f t="shared" si="24"/>
        <v>#VALUE!</v>
      </c>
      <c r="EI653" s="2409"/>
      <c r="EJ653" s="2409"/>
      <c r="EK653" s="2409"/>
      <c r="EL653" s="2409"/>
      <c r="EM653" s="2409" t="e">
        <f t="shared" si="25"/>
        <v>#VALUE!</v>
      </c>
      <c r="EN653" s="2409"/>
      <c r="EO653" s="2409"/>
      <c r="EP653" s="2409"/>
      <c r="EQ653" s="2409"/>
      <c r="ER653" s="2409" t="e">
        <f t="shared" si="26"/>
        <v>#VALUE!</v>
      </c>
      <c r="ES653" s="2409"/>
      <c r="ET653" s="2409"/>
      <c r="EU653" s="2409"/>
      <c r="EV653" s="2409"/>
      <c r="EW653" s="2409" t="e">
        <f t="shared" si="27"/>
        <v>#VALUE!</v>
      </c>
      <c r="EX653" s="2409"/>
      <c r="EY653" s="2409"/>
      <c r="EZ653" s="2409"/>
      <c r="FA653" s="2409"/>
    </row>
    <row r="654" spans="1:157" ht="13.2">
      <c r="A654" s="35"/>
      <c r="B654" s="12" t="s">
        <v>90</v>
      </c>
      <c r="G654" s="1894" t="s">
        <v>2591</v>
      </c>
      <c r="H654" s="1894"/>
      <c r="I654" s="1894"/>
      <c r="J654" s="1894"/>
      <c r="K654" s="1894"/>
      <c r="L654" s="1894"/>
      <c r="M654" s="1894"/>
      <c r="N654" s="1894"/>
      <c r="O654" s="1894"/>
      <c r="P654" s="1894"/>
      <c r="Q654" s="1894"/>
      <c r="R654" s="1894"/>
      <c r="S654" s="14"/>
      <c r="T654" s="35"/>
      <c r="U654" s="12" t="s">
        <v>90</v>
      </c>
      <c r="Z654" s="1894" t="s">
        <v>2590</v>
      </c>
      <c r="AA654" s="1894"/>
      <c r="AB654" s="1894"/>
      <c r="AC654" s="1894"/>
      <c r="AD654" s="1894"/>
      <c r="AE654" s="1894"/>
      <c r="AF654" s="1894"/>
      <c r="AG654" s="1894"/>
      <c r="AH654" s="1894"/>
      <c r="AI654" s="1894"/>
      <c r="AJ654" s="1894"/>
      <c r="AK654" s="1894"/>
      <c r="AZ654" s="61"/>
      <c r="BA654" s="61"/>
      <c r="BB654" s="61"/>
      <c r="BC654" s="61"/>
      <c r="BD654" s="61"/>
      <c r="BE654" s="61"/>
      <c r="BF654" s="61"/>
      <c r="BG654" s="61"/>
      <c r="BH654" s="61"/>
      <c r="BI654" s="61"/>
      <c r="BJ654" s="61"/>
      <c r="BK654" s="61"/>
      <c r="BL654" s="61"/>
      <c r="BM654" s="61"/>
      <c r="BN654" s="1868">
        <f t="shared" si="28"/>
        <v>0</v>
      </c>
      <c r="BO654" s="1869"/>
      <c r="BP654" s="1869"/>
      <c r="BQ654" s="1869"/>
      <c r="BR654" s="1870"/>
      <c r="BS654" s="1867">
        <f t="shared" si="29"/>
        <v>0</v>
      </c>
      <c r="BT654" s="1867"/>
      <c r="BU654" s="1867"/>
      <c r="BV654" s="1867"/>
      <c r="BW654" s="1867"/>
      <c r="BX654" s="1867">
        <f t="shared" si="30"/>
        <v>0</v>
      </c>
      <c r="BY654" s="1867"/>
      <c r="BZ654" s="1867"/>
      <c r="CA654" s="1867"/>
      <c r="CB654" s="1867"/>
      <c r="CC654" s="1867">
        <f t="shared" si="31"/>
        <v>0</v>
      </c>
      <c r="CD654" s="1867"/>
      <c r="CE654" s="1867"/>
      <c r="CF654" s="1867"/>
      <c r="CG654" s="1867"/>
      <c r="CH654" s="1867">
        <f t="shared" si="32"/>
        <v>0</v>
      </c>
      <c r="CI654" s="1867"/>
      <c r="CJ654" s="1867"/>
      <c r="CK654" s="1867"/>
      <c r="CL654" s="1867"/>
      <c r="CM654" s="1867">
        <f t="shared" si="33"/>
        <v>0</v>
      </c>
      <c r="CN654" s="1867"/>
      <c r="CO654" s="1867"/>
      <c r="CP654" s="1867"/>
      <c r="CQ654" s="1867"/>
      <c r="CR654" s="265"/>
      <c r="CS654" s="1868">
        <f t="shared" si="34"/>
        <v>0</v>
      </c>
      <c r="CT654" s="1869"/>
      <c r="CU654" s="1869"/>
      <c r="CV654" s="1869"/>
      <c r="CW654" s="1870"/>
      <c r="CX654" s="1868">
        <f t="shared" si="35"/>
        <v>0</v>
      </c>
      <c r="CY654" s="1869"/>
      <c r="CZ654" s="1869"/>
      <c r="DA654" s="1869"/>
      <c r="DB654" s="1870"/>
      <c r="DC654" s="1868">
        <f t="shared" si="36"/>
        <v>0</v>
      </c>
      <c r="DD654" s="1869"/>
      <c r="DE654" s="1869"/>
      <c r="DF654" s="1869"/>
      <c r="DG654" s="1870"/>
      <c r="DH654" s="1868">
        <f t="shared" si="37"/>
        <v>0</v>
      </c>
      <c r="DI654" s="1869"/>
      <c r="DJ654" s="1869"/>
      <c r="DK654" s="1869"/>
      <c r="DL654" s="1870"/>
      <c r="DM654" s="1868">
        <f t="shared" si="38"/>
        <v>0</v>
      </c>
      <c r="DN654" s="1869"/>
      <c r="DO654" s="1869"/>
      <c r="DP654" s="1869"/>
      <c r="DQ654" s="1870"/>
      <c r="DR654" s="1868">
        <f t="shared" si="39"/>
        <v>0</v>
      </c>
      <c r="DS654" s="1869"/>
      <c r="DT654" s="1869"/>
      <c r="DU654" s="1869"/>
      <c r="DV654" s="1870"/>
      <c r="DX654" s="2409" t="e">
        <f t="shared" si="22"/>
        <v>#VALUE!</v>
      </c>
      <c r="DY654" s="2409"/>
      <c r="DZ654" s="2409"/>
      <c r="EA654" s="2409"/>
      <c r="EB654" s="2409"/>
      <c r="EC654" s="2409" t="e">
        <f t="shared" si="23"/>
        <v>#VALUE!</v>
      </c>
      <c r="ED654" s="2409"/>
      <c r="EE654" s="2409"/>
      <c r="EF654" s="2409"/>
      <c r="EG654" s="2409"/>
      <c r="EH654" s="2409" t="e">
        <f t="shared" si="24"/>
        <v>#VALUE!</v>
      </c>
      <c r="EI654" s="2409"/>
      <c r="EJ654" s="2409"/>
      <c r="EK654" s="2409"/>
      <c r="EL654" s="2409"/>
      <c r="EM654" s="2409" t="e">
        <f t="shared" si="25"/>
        <v>#VALUE!</v>
      </c>
      <c r="EN654" s="2409"/>
      <c r="EO654" s="2409"/>
      <c r="EP654" s="2409"/>
      <c r="EQ654" s="2409"/>
      <c r="ER654" s="2409" t="e">
        <f t="shared" si="26"/>
        <v>#VALUE!</v>
      </c>
      <c r="ES654" s="2409"/>
      <c r="ET654" s="2409"/>
      <c r="EU654" s="2409"/>
      <c r="EV654" s="2409"/>
      <c r="EW654" s="2409" t="e">
        <f t="shared" si="27"/>
        <v>#VALUE!</v>
      </c>
      <c r="EX654" s="2409"/>
      <c r="EY654" s="2409"/>
      <c r="EZ654" s="2409"/>
      <c r="FA654" s="2409"/>
    </row>
    <row r="655" spans="1:157" ht="13.2">
      <c r="A655" s="35"/>
      <c r="B655" s="12" t="s">
        <v>604</v>
      </c>
      <c r="G655" s="1894" t="s">
        <v>2512</v>
      </c>
      <c r="H655" s="1894"/>
      <c r="I655" s="1894"/>
      <c r="J655" s="1894"/>
      <c r="K655" s="1894"/>
      <c r="L655" s="1894"/>
      <c r="M655" s="1894"/>
      <c r="N655" s="1894"/>
      <c r="O655" s="1894"/>
      <c r="P655" s="1894"/>
      <c r="Q655" s="1894"/>
      <c r="R655" s="1894"/>
      <c r="S655" s="88"/>
      <c r="T655" s="35"/>
      <c r="U655" s="12" t="s">
        <v>604</v>
      </c>
      <c r="Z655" s="1944"/>
      <c r="AA655" s="1944"/>
      <c r="AB655" s="1944"/>
      <c r="AC655" s="1944"/>
      <c r="AD655" s="1944"/>
      <c r="AE655" s="1944"/>
      <c r="AF655" s="1944"/>
      <c r="AG655" s="1944"/>
      <c r="AH655" s="1944"/>
      <c r="AI655" s="1944"/>
      <c r="AJ655" s="1944"/>
      <c r="AK655" s="1944"/>
      <c r="AZ655" s="61"/>
      <c r="BA655" s="61"/>
      <c r="BB655" s="61"/>
      <c r="BC655" s="61"/>
      <c r="BD655" s="61"/>
      <c r="BE655" s="61"/>
      <c r="BF655" s="61"/>
      <c r="BG655" s="61"/>
      <c r="BH655" s="61"/>
      <c r="BI655" s="61"/>
      <c r="BJ655" s="61"/>
      <c r="BK655" s="61"/>
      <c r="BL655" s="61"/>
      <c r="BM655" s="61"/>
      <c r="BN655" s="1868">
        <f t="shared" si="28"/>
        <v>0</v>
      </c>
      <c r="BO655" s="1869"/>
      <c r="BP655" s="1869"/>
      <c r="BQ655" s="1869"/>
      <c r="BR655" s="1870"/>
      <c r="BS655" s="1867">
        <f t="shared" si="29"/>
        <v>0</v>
      </c>
      <c r="BT655" s="1867"/>
      <c r="BU655" s="1867"/>
      <c r="BV655" s="1867"/>
      <c r="BW655" s="1867"/>
      <c r="BX655" s="1867">
        <f t="shared" si="30"/>
        <v>0</v>
      </c>
      <c r="BY655" s="1867"/>
      <c r="BZ655" s="1867"/>
      <c r="CA655" s="1867"/>
      <c r="CB655" s="1867"/>
      <c r="CC655" s="1867">
        <f t="shared" si="31"/>
        <v>0</v>
      </c>
      <c r="CD655" s="1867"/>
      <c r="CE655" s="1867"/>
      <c r="CF655" s="1867"/>
      <c r="CG655" s="1867"/>
      <c r="CH655" s="1867">
        <f t="shared" si="32"/>
        <v>0</v>
      </c>
      <c r="CI655" s="1867"/>
      <c r="CJ655" s="1867"/>
      <c r="CK655" s="1867"/>
      <c r="CL655" s="1867"/>
      <c r="CM655" s="1867">
        <f t="shared" si="33"/>
        <v>0</v>
      </c>
      <c r="CN655" s="1867"/>
      <c r="CO655" s="1867"/>
      <c r="CP655" s="1867"/>
      <c r="CQ655" s="1867"/>
      <c r="CR655" s="265"/>
      <c r="CS655" s="1868">
        <f t="shared" si="34"/>
        <v>0</v>
      </c>
      <c r="CT655" s="1869"/>
      <c r="CU655" s="1869"/>
      <c r="CV655" s="1869"/>
      <c r="CW655" s="1870"/>
      <c r="CX655" s="1868">
        <f t="shared" si="35"/>
        <v>0</v>
      </c>
      <c r="CY655" s="1869"/>
      <c r="CZ655" s="1869"/>
      <c r="DA655" s="1869"/>
      <c r="DB655" s="1870"/>
      <c r="DC655" s="1868">
        <f t="shared" si="36"/>
        <v>0</v>
      </c>
      <c r="DD655" s="1869"/>
      <c r="DE655" s="1869"/>
      <c r="DF655" s="1869"/>
      <c r="DG655" s="1870"/>
      <c r="DH655" s="1868">
        <f t="shared" si="37"/>
        <v>0</v>
      </c>
      <c r="DI655" s="1869"/>
      <c r="DJ655" s="1869"/>
      <c r="DK655" s="1869"/>
      <c r="DL655" s="1870"/>
      <c r="DM655" s="1868">
        <f t="shared" si="38"/>
        <v>0</v>
      </c>
      <c r="DN655" s="1869"/>
      <c r="DO655" s="1869"/>
      <c r="DP655" s="1869"/>
      <c r="DQ655" s="1870"/>
      <c r="DR655" s="1868">
        <f t="shared" si="39"/>
        <v>0</v>
      </c>
      <c r="DS655" s="1869"/>
      <c r="DT655" s="1869"/>
      <c r="DU655" s="1869"/>
      <c r="DV655" s="1870"/>
      <c r="DX655" s="2409" t="e">
        <f t="shared" si="22"/>
        <v>#VALUE!</v>
      </c>
      <c r="DY655" s="2409"/>
      <c r="DZ655" s="2409"/>
      <c r="EA655" s="2409"/>
      <c r="EB655" s="2409"/>
      <c r="EC655" s="2409" t="e">
        <f t="shared" si="23"/>
        <v>#VALUE!</v>
      </c>
      <c r="ED655" s="2409"/>
      <c r="EE655" s="2409"/>
      <c r="EF655" s="2409"/>
      <c r="EG655" s="2409"/>
      <c r="EH655" s="2409" t="e">
        <f t="shared" si="24"/>
        <v>#VALUE!</v>
      </c>
      <c r="EI655" s="2409"/>
      <c r="EJ655" s="2409"/>
      <c r="EK655" s="2409"/>
      <c r="EL655" s="2409"/>
      <c r="EM655" s="2409" t="e">
        <f t="shared" si="25"/>
        <v>#VALUE!</v>
      </c>
      <c r="EN655" s="2409"/>
      <c r="EO655" s="2409"/>
      <c r="EP655" s="2409"/>
      <c r="EQ655" s="2409"/>
      <c r="ER655" s="2409" t="e">
        <f t="shared" si="26"/>
        <v>#VALUE!</v>
      </c>
      <c r="ES655" s="2409"/>
      <c r="ET655" s="2409"/>
      <c r="EU655" s="2409"/>
      <c r="EV655" s="2409"/>
      <c r="EW655" s="2409" t="e">
        <f t="shared" si="27"/>
        <v>#VALUE!</v>
      </c>
      <c r="EX655" s="2409"/>
      <c r="EY655" s="2409"/>
      <c r="EZ655" s="2409"/>
      <c r="FA655" s="2409"/>
    </row>
    <row r="656" spans="1:157" ht="13.2">
      <c r="A656" s="35"/>
      <c r="B656" s="12" t="s">
        <v>17</v>
      </c>
      <c r="G656" s="1894" t="s">
        <v>2570</v>
      </c>
      <c r="H656" s="1894"/>
      <c r="I656" s="1894"/>
      <c r="J656" s="1894"/>
      <c r="K656" s="1894"/>
      <c r="L656" s="1894"/>
      <c r="M656" s="1894"/>
      <c r="N656" s="1894"/>
      <c r="O656" s="1894"/>
      <c r="P656" s="1894"/>
      <c r="Q656" s="1894"/>
      <c r="R656" s="1894"/>
      <c r="S656" s="14"/>
      <c r="T656" s="35"/>
      <c r="U656" s="12" t="s">
        <v>17</v>
      </c>
      <c r="Z656" s="1944"/>
      <c r="AA656" s="1944"/>
      <c r="AB656" s="1944"/>
      <c r="AC656" s="1944"/>
      <c r="AD656" s="1944"/>
      <c r="AE656" s="1944"/>
      <c r="AF656" s="1944"/>
      <c r="AG656" s="1944"/>
      <c r="AH656" s="1944"/>
      <c r="AI656" s="1944"/>
      <c r="AJ656" s="1944"/>
      <c r="AK656" s="1944"/>
      <c r="AZ656" s="61"/>
      <c r="BA656" s="61"/>
      <c r="BB656" s="61"/>
      <c r="BC656" s="61"/>
      <c r="BD656" s="61"/>
      <c r="BE656" s="61"/>
      <c r="BF656" s="61"/>
      <c r="BG656" s="61"/>
      <c r="BH656" s="61"/>
      <c r="BI656" s="61"/>
      <c r="BJ656" s="61"/>
      <c r="BK656" s="61"/>
      <c r="BL656" s="61"/>
      <c r="BM656" s="61"/>
      <c r="BN656" s="1868">
        <f t="shared" si="28"/>
        <v>0</v>
      </c>
      <c r="BO656" s="1869"/>
      <c r="BP656" s="1869"/>
      <c r="BQ656" s="1869"/>
      <c r="BR656" s="1870"/>
      <c r="BS656" s="1867">
        <f t="shared" si="29"/>
        <v>0</v>
      </c>
      <c r="BT656" s="1867"/>
      <c r="BU656" s="1867"/>
      <c r="BV656" s="1867"/>
      <c r="BW656" s="1867"/>
      <c r="BX656" s="1867">
        <f t="shared" si="30"/>
        <v>0</v>
      </c>
      <c r="BY656" s="1867"/>
      <c r="BZ656" s="1867"/>
      <c r="CA656" s="1867"/>
      <c r="CB656" s="1867"/>
      <c r="CC656" s="1867">
        <f t="shared" si="31"/>
        <v>0</v>
      </c>
      <c r="CD656" s="1867"/>
      <c r="CE656" s="1867"/>
      <c r="CF656" s="1867"/>
      <c r="CG656" s="1867"/>
      <c r="CH656" s="1867">
        <f t="shared" si="32"/>
        <v>0</v>
      </c>
      <c r="CI656" s="1867"/>
      <c r="CJ656" s="1867"/>
      <c r="CK656" s="1867"/>
      <c r="CL656" s="1867"/>
      <c r="CM656" s="1867">
        <f t="shared" si="33"/>
        <v>0</v>
      </c>
      <c r="CN656" s="1867"/>
      <c r="CO656" s="1867"/>
      <c r="CP656" s="1867"/>
      <c r="CQ656" s="1867"/>
      <c r="CR656" s="265"/>
      <c r="CS656" s="1868">
        <f t="shared" si="34"/>
        <v>0</v>
      </c>
      <c r="CT656" s="1869"/>
      <c r="CU656" s="1869"/>
      <c r="CV656" s="1869"/>
      <c r="CW656" s="1870"/>
      <c r="CX656" s="1868">
        <f t="shared" si="35"/>
        <v>0</v>
      </c>
      <c r="CY656" s="1869"/>
      <c r="CZ656" s="1869"/>
      <c r="DA656" s="1869"/>
      <c r="DB656" s="1870"/>
      <c r="DC656" s="1868">
        <f t="shared" si="36"/>
        <v>0</v>
      </c>
      <c r="DD656" s="1869"/>
      <c r="DE656" s="1869"/>
      <c r="DF656" s="1869"/>
      <c r="DG656" s="1870"/>
      <c r="DH656" s="1868">
        <f t="shared" si="37"/>
        <v>0</v>
      </c>
      <c r="DI656" s="1869"/>
      <c r="DJ656" s="1869"/>
      <c r="DK656" s="1869"/>
      <c r="DL656" s="1870"/>
      <c r="DM656" s="1868">
        <f t="shared" si="38"/>
        <v>0</v>
      </c>
      <c r="DN656" s="1869"/>
      <c r="DO656" s="1869"/>
      <c r="DP656" s="1869"/>
      <c r="DQ656" s="1870"/>
      <c r="DR656" s="1868">
        <f t="shared" si="39"/>
        <v>0</v>
      </c>
      <c r="DS656" s="1869"/>
      <c r="DT656" s="1869"/>
      <c r="DU656" s="1869"/>
      <c r="DV656" s="1870"/>
      <c r="DX656" s="2409" t="e">
        <f t="shared" si="22"/>
        <v>#VALUE!</v>
      </c>
      <c r="DY656" s="2409"/>
      <c r="DZ656" s="2409"/>
      <c r="EA656" s="2409"/>
      <c r="EB656" s="2409"/>
      <c r="EC656" s="2409" t="e">
        <f t="shared" si="23"/>
        <v>#VALUE!</v>
      </c>
      <c r="ED656" s="2409"/>
      <c r="EE656" s="2409"/>
      <c r="EF656" s="2409"/>
      <c r="EG656" s="2409"/>
      <c r="EH656" s="2409" t="e">
        <f t="shared" si="24"/>
        <v>#VALUE!</v>
      </c>
      <c r="EI656" s="2409"/>
      <c r="EJ656" s="2409"/>
      <c r="EK656" s="2409"/>
      <c r="EL656" s="2409"/>
      <c r="EM656" s="2409" t="e">
        <f t="shared" si="25"/>
        <v>#VALUE!</v>
      </c>
      <c r="EN656" s="2409"/>
      <c r="EO656" s="2409"/>
      <c r="EP656" s="2409"/>
      <c r="EQ656" s="2409"/>
      <c r="ER656" s="2409" t="e">
        <f t="shared" si="26"/>
        <v>#VALUE!</v>
      </c>
      <c r="ES656" s="2409"/>
      <c r="ET656" s="2409"/>
      <c r="EU656" s="2409"/>
      <c r="EV656" s="2409"/>
      <c r="EW656" s="2409" t="e">
        <f t="shared" si="27"/>
        <v>#VALUE!</v>
      </c>
      <c r="EX656" s="2409"/>
      <c r="EY656" s="2409"/>
      <c r="EZ656" s="2409"/>
      <c r="FA656" s="2409"/>
    </row>
    <row r="657" spans="1:157" ht="13.2">
      <c r="A657" s="35"/>
      <c r="B657" s="12" t="s">
        <v>321</v>
      </c>
      <c r="G657" s="1975" t="s">
        <v>2571</v>
      </c>
      <c r="H657" s="1919"/>
      <c r="I657" s="1919"/>
      <c r="J657" s="1919"/>
      <c r="K657" s="1919"/>
      <c r="L657" s="1919"/>
      <c r="O657" s="137" t="s">
        <v>211</v>
      </c>
      <c r="P657" s="1885"/>
      <c r="Q657" s="1885"/>
      <c r="R657" s="1885"/>
      <c r="S657" s="16"/>
      <c r="T657" s="35"/>
      <c r="U657" s="12" t="s">
        <v>321</v>
      </c>
      <c r="Z657" s="1919"/>
      <c r="AA657" s="1919"/>
      <c r="AB657" s="1919"/>
      <c r="AC657" s="1919"/>
      <c r="AD657" s="1919"/>
      <c r="AE657" s="1919"/>
      <c r="AH657" s="137" t="s">
        <v>211</v>
      </c>
      <c r="AI657" s="1885"/>
      <c r="AJ657" s="1885"/>
      <c r="AK657" s="1885"/>
      <c r="AZ657" s="61"/>
      <c r="BA657" s="61"/>
      <c r="BB657" s="61"/>
      <c r="BC657" s="61"/>
      <c r="BD657" s="61"/>
      <c r="BE657" s="61"/>
      <c r="BF657" s="61"/>
      <c r="BG657" s="61"/>
      <c r="BH657" s="61"/>
      <c r="BI657" s="61"/>
      <c r="BJ657" s="61"/>
      <c r="BK657" s="61"/>
      <c r="BL657" s="61"/>
      <c r="BM657" s="61"/>
      <c r="BN657" s="1868">
        <f t="shared" si="28"/>
        <v>0</v>
      </c>
      <c r="BO657" s="1869"/>
      <c r="BP657" s="1869"/>
      <c r="BQ657" s="1869"/>
      <c r="BR657" s="1870"/>
      <c r="BS657" s="1867">
        <f t="shared" si="29"/>
        <v>0</v>
      </c>
      <c r="BT657" s="1867"/>
      <c r="BU657" s="1867"/>
      <c r="BV657" s="1867"/>
      <c r="BW657" s="1867"/>
      <c r="BX657" s="1867">
        <f t="shared" si="30"/>
        <v>0</v>
      </c>
      <c r="BY657" s="1867"/>
      <c r="BZ657" s="1867"/>
      <c r="CA657" s="1867"/>
      <c r="CB657" s="1867"/>
      <c r="CC657" s="1867">
        <f t="shared" si="31"/>
        <v>0</v>
      </c>
      <c r="CD657" s="1867"/>
      <c r="CE657" s="1867"/>
      <c r="CF657" s="1867"/>
      <c r="CG657" s="1867"/>
      <c r="CH657" s="1867">
        <f t="shared" si="32"/>
        <v>0</v>
      </c>
      <c r="CI657" s="1867"/>
      <c r="CJ657" s="1867"/>
      <c r="CK657" s="1867"/>
      <c r="CL657" s="1867"/>
      <c r="CM657" s="1867">
        <f t="shared" si="33"/>
        <v>0</v>
      </c>
      <c r="CN657" s="1867"/>
      <c r="CO657" s="1867"/>
      <c r="CP657" s="1867"/>
      <c r="CQ657" s="1867"/>
      <c r="CR657" s="265"/>
      <c r="CS657" s="1868">
        <f t="shared" si="34"/>
        <v>0</v>
      </c>
      <c r="CT657" s="1869"/>
      <c r="CU657" s="1869"/>
      <c r="CV657" s="1869"/>
      <c r="CW657" s="1870"/>
      <c r="CX657" s="1868">
        <f t="shared" si="35"/>
        <v>0</v>
      </c>
      <c r="CY657" s="1869"/>
      <c r="CZ657" s="1869"/>
      <c r="DA657" s="1869"/>
      <c r="DB657" s="1870"/>
      <c r="DC657" s="1868">
        <f t="shared" si="36"/>
        <v>0</v>
      </c>
      <c r="DD657" s="1869"/>
      <c r="DE657" s="1869"/>
      <c r="DF657" s="1869"/>
      <c r="DG657" s="1870"/>
      <c r="DH657" s="1868">
        <f t="shared" si="37"/>
        <v>0</v>
      </c>
      <c r="DI657" s="1869"/>
      <c r="DJ657" s="1869"/>
      <c r="DK657" s="1869"/>
      <c r="DL657" s="1870"/>
      <c r="DM657" s="1868">
        <f t="shared" si="38"/>
        <v>0</v>
      </c>
      <c r="DN657" s="1869"/>
      <c r="DO657" s="1869"/>
      <c r="DP657" s="1869"/>
      <c r="DQ657" s="1870"/>
      <c r="DR657" s="1868">
        <f t="shared" si="39"/>
        <v>0</v>
      </c>
      <c r="DS657" s="1869"/>
      <c r="DT657" s="1869"/>
      <c r="DU657" s="1869"/>
      <c r="DV657" s="1870"/>
      <c r="DX657" s="2409" t="e">
        <f t="shared" si="22"/>
        <v>#VALUE!</v>
      </c>
      <c r="DY657" s="2409"/>
      <c r="DZ657" s="2409"/>
      <c r="EA657" s="2409"/>
      <c r="EB657" s="2409"/>
      <c r="EC657" s="2409" t="e">
        <f t="shared" si="23"/>
        <v>#VALUE!</v>
      </c>
      <c r="ED657" s="2409"/>
      <c r="EE657" s="2409"/>
      <c r="EF657" s="2409"/>
      <c r="EG657" s="2409"/>
      <c r="EH657" s="2409" t="e">
        <f t="shared" si="24"/>
        <v>#VALUE!</v>
      </c>
      <c r="EI657" s="2409"/>
      <c r="EJ657" s="2409"/>
      <c r="EK657" s="2409"/>
      <c r="EL657" s="2409"/>
      <c r="EM657" s="2409" t="e">
        <f t="shared" si="25"/>
        <v>#VALUE!</v>
      </c>
      <c r="EN657" s="2409"/>
      <c r="EO657" s="2409"/>
      <c r="EP657" s="2409"/>
      <c r="EQ657" s="2409"/>
      <c r="ER657" s="2409" t="e">
        <f t="shared" si="26"/>
        <v>#VALUE!</v>
      </c>
      <c r="ES657" s="2409"/>
      <c r="ET657" s="2409"/>
      <c r="EU657" s="2409"/>
      <c r="EV657" s="2409"/>
      <c r="EW657" s="2409" t="e">
        <f t="shared" si="27"/>
        <v>#VALUE!</v>
      </c>
      <c r="EX657" s="2409"/>
      <c r="EY657" s="2409"/>
      <c r="EZ657" s="2409"/>
      <c r="FA657" s="2409"/>
    </row>
    <row r="658" spans="1:157" ht="13.2">
      <c r="A658" s="35"/>
      <c r="B658" s="12" t="s">
        <v>18</v>
      </c>
      <c r="H658" s="1894" t="s">
        <v>2592</v>
      </c>
      <c r="I658" s="1894"/>
      <c r="J658" s="1894"/>
      <c r="K658" s="1894"/>
      <c r="L658" s="1894"/>
      <c r="M658" s="1894"/>
      <c r="N658" s="1894"/>
      <c r="O658" s="1894"/>
      <c r="P658" s="1894"/>
      <c r="Q658" s="1894"/>
      <c r="R658" s="1894"/>
      <c r="S658" s="14"/>
      <c r="T658" s="35"/>
      <c r="U658" s="12" t="s">
        <v>18</v>
      </c>
      <c r="AA658" s="1894"/>
      <c r="AB658" s="1894"/>
      <c r="AC658" s="1894"/>
      <c r="AD658" s="1894"/>
      <c r="AE658" s="1894"/>
      <c r="AF658" s="1894"/>
      <c r="AG658" s="1894"/>
      <c r="AH658" s="1894"/>
      <c r="AI658" s="1894"/>
      <c r="AJ658" s="1894"/>
      <c r="AK658" s="1894"/>
      <c r="AZ658" s="61"/>
      <c r="BA658" s="61"/>
      <c r="BB658" s="61"/>
      <c r="BC658" s="61"/>
      <c r="BD658" s="61"/>
      <c r="BE658" s="61"/>
      <c r="BF658" s="61"/>
      <c r="BG658" s="61"/>
      <c r="BH658" s="61"/>
      <c r="BI658" s="61"/>
      <c r="BJ658" s="61"/>
      <c r="BK658" s="61"/>
      <c r="BL658" s="61"/>
      <c r="BM658" s="61"/>
      <c r="BN658" s="1871">
        <f>SUM(BN648:BR657)</f>
        <v>0</v>
      </c>
      <c r="BO658" s="1872"/>
      <c r="BP658" s="1872"/>
      <c r="BQ658" s="1872"/>
      <c r="BR658" s="1873"/>
      <c r="BS658" s="1864">
        <f>SUM(BS648:BW657)</f>
        <v>0</v>
      </c>
      <c r="BT658" s="1865"/>
      <c r="BU658" s="1865"/>
      <c r="BV658" s="1865"/>
      <c r="BW658" s="1866"/>
      <c r="BX658" s="1864">
        <f>SUM(BX648:CB657)</f>
        <v>0</v>
      </c>
      <c r="BY658" s="1865"/>
      <c r="BZ658" s="1865"/>
      <c r="CA658" s="1865"/>
      <c r="CB658" s="1866"/>
      <c r="CC658" s="1864">
        <f>SUM(CC648:CG657)</f>
        <v>0</v>
      </c>
      <c r="CD658" s="1865"/>
      <c r="CE658" s="1865"/>
      <c r="CF658" s="1865"/>
      <c r="CG658" s="1866"/>
      <c r="CH658" s="1864">
        <f>SUM(CH648:CL657)</f>
        <v>0</v>
      </c>
      <c r="CI658" s="1865"/>
      <c r="CJ658" s="1865"/>
      <c r="CK658" s="1865"/>
      <c r="CL658" s="1866"/>
      <c r="CM658" s="1864">
        <f>SUM(CM648:CQ657)</f>
        <v>0</v>
      </c>
      <c r="CN658" s="1865"/>
      <c r="CO658" s="1865"/>
      <c r="CP658" s="1865"/>
      <c r="CQ658" s="1866"/>
      <c r="CR658" s="1094"/>
      <c r="CS658" s="2416">
        <f>SUM(CS648:CW657)</f>
        <v>0</v>
      </c>
      <c r="CT658" s="2416"/>
      <c r="CU658" s="2416"/>
      <c r="CV658" s="2416"/>
      <c r="CW658" s="2416"/>
      <c r="CX658" s="2416">
        <f>SUM(CX648:DB657)</f>
        <v>0</v>
      </c>
      <c r="CY658" s="2416"/>
      <c r="CZ658" s="2416"/>
      <c r="DA658" s="2416"/>
      <c r="DB658" s="2416"/>
      <c r="DC658" s="2416">
        <f>SUM(DC648:DG657)</f>
        <v>0</v>
      </c>
      <c r="DD658" s="2416"/>
      <c r="DE658" s="2416"/>
      <c r="DF658" s="2416"/>
      <c r="DG658" s="2416"/>
      <c r="DH658" s="2416">
        <f>SUM(DH648:DL657)</f>
        <v>0</v>
      </c>
      <c r="DI658" s="2416"/>
      <c r="DJ658" s="2416"/>
      <c r="DK658" s="2416"/>
      <c r="DL658" s="2416"/>
      <c r="DM658" s="2416">
        <f>SUM(DM648:DQ657)</f>
        <v>0</v>
      </c>
      <c r="DN658" s="2416"/>
      <c r="DO658" s="2416"/>
      <c r="DP658" s="2416"/>
      <c r="DQ658" s="2416"/>
      <c r="DR658" s="2416">
        <f>SUM(DR648:DV657)</f>
        <v>0</v>
      </c>
      <c r="DS658" s="2416"/>
      <c r="DT658" s="2416"/>
      <c r="DU658" s="2416"/>
      <c r="DV658" s="2416"/>
      <c r="DX658" s="2409" t="e">
        <f t="shared" si="22"/>
        <v>#VALUE!</v>
      </c>
      <c r="DY658" s="2409"/>
      <c r="DZ658" s="2409"/>
      <c r="EA658" s="2409"/>
      <c r="EB658" s="2409"/>
      <c r="EC658" s="2409" t="e">
        <f t="shared" si="23"/>
        <v>#VALUE!</v>
      </c>
      <c r="ED658" s="2409"/>
      <c r="EE658" s="2409"/>
      <c r="EF658" s="2409"/>
      <c r="EG658" s="2409"/>
      <c r="EH658" s="2409" t="e">
        <f t="shared" si="24"/>
        <v>#VALUE!</v>
      </c>
      <c r="EI658" s="2409"/>
      <c r="EJ658" s="2409"/>
      <c r="EK658" s="2409"/>
      <c r="EL658" s="2409"/>
      <c r="EM658" s="2409" t="e">
        <f t="shared" si="25"/>
        <v>#VALUE!</v>
      </c>
      <c r="EN658" s="2409"/>
      <c r="EO658" s="2409"/>
      <c r="EP658" s="2409"/>
      <c r="EQ658" s="2409"/>
      <c r="ER658" s="2409" t="e">
        <f t="shared" si="26"/>
        <v>#VALUE!</v>
      </c>
      <c r="ES658" s="2409"/>
      <c r="ET658" s="2409"/>
      <c r="EU658" s="2409"/>
      <c r="EV658" s="2409"/>
      <c r="EW658" s="2409" t="e">
        <f t="shared" si="27"/>
        <v>#VALUE!</v>
      </c>
      <c r="EX658" s="2409"/>
      <c r="EY658" s="2409"/>
      <c r="EZ658" s="2409"/>
      <c r="FA658" s="2409"/>
    </row>
    <row r="659" spans="1:157" ht="13.2">
      <c r="A659" s="35"/>
      <c r="B659" s="12" t="s">
        <v>20</v>
      </c>
      <c r="N659" s="1893" t="s">
        <v>568</v>
      </c>
      <c r="O659" s="1893"/>
      <c r="T659" s="35"/>
      <c r="U659" s="12" t="s">
        <v>20</v>
      </c>
      <c r="AG659" s="1893" t="s">
        <v>693</v>
      </c>
      <c r="AH659" s="1893"/>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409" t="e">
        <f t="shared" si="22"/>
        <v>#VALUE!</v>
      </c>
      <c r="DY659" s="2409"/>
      <c r="DZ659" s="2409"/>
      <c r="EA659" s="2409"/>
      <c r="EB659" s="2409"/>
      <c r="EC659" s="2409" t="e">
        <f t="shared" si="23"/>
        <v>#VALUE!</v>
      </c>
      <c r="ED659" s="2409"/>
      <c r="EE659" s="2409"/>
      <c r="EF659" s="2409"/>
      <c r="EG659" s="2409"/>
      <c r="EH659" s="2409" t="e">
        <f t="shared" si="24"/>
        <v>#VALUE!</v>
      </c>
      <c r="EI659" s="2409"/>
      <c r="EJ659" s="2409"/>
      <c r="EK659" s="2409"/>
      <c r="EL659" s="2409"/>
      <c r="EM659" s="2409" t="e">
        <f t="shared" si="25"/>
        <v>#VALUE!</v>
      </c>
      <c r="EN659" s="2409"/>
      <c r="EO659" s="2409"/>
      <c r="EP659" s="2409"/>
      <c r="EQ659" s="2409"/>
      <c r="ER659" s="2409" t="e">
        <f t="shared" si="26"/>
        <v>#VALUE!</v>
      </c>
      <c r="ES659" s="2409"/>
      <c r="ET659" s="2409"/>
      <c r="EU659" s="2409"/>
      <c r="EV659" s="2409"/>
      <c r="EW659" s="2409" t="e">
        <f t="shared" si="27"/>
        <v>#VALUE!</v>
      </c>
      <c r="EX659" s="2409"/>
      <c r="EY659" s="2409"/>
      <c r="EZ659" s="2409"/>
      <c r="FA659" s="2409"/>
    </row>
    <row r="660" spans="1:157" ht="13.2">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2170</v>
      </c>
      <c r="CU660" s="58"/>
      <c r="CV660" s="58"/>
      <c r="CW660" s="58"/>
      <c r="CX660" s="58"/>
      <c r="CY660" s="58"/>
      <c r="CZ660" s="58"/>
      <c r="DA660" s="58"/>
      <c r="DB660" s="58"/>
      <c r="DC660" s="58"/>
      <c r="DD660" s="58"/>
      <c r="DE660" s="58"/>
      <c r="DF660" s="58"/>
      <c r="DQ660" s="136" t="s">
        <v>2182</v>
      </c>
      <c r="DR660" s="2409">
        <f>SUM(CS658:DV658)</f>
        <v>0</v>
      </c>
      <c r="DS660" s="2409"/>
      <c r="DT660" s="2409"/>
      <c r="DU660" s="2409"/>
      <c r="DV660" s="2409"/>
      <c r="DX660" s="2409" t="e">
        <f t="shared" si="22"/>
        <v>#VALUE!</v>
      </c>
      <c r="DY660" s="2409"/>
      <c r="DZ660" s="2409"/>
      <c r="EA660" s="2409"/>
      <c r="EB660" s="2409"/>
      <c r="EC660" s="2409" t="e">
        <f t="shared" si="23"/>
        <v>#VALUE!</v>
      </c>
      <c r="ED660" s="2409"/>
      <c r="EE660" s="2409"/>
      <c r="EF660" s="2409"/>
      <c r="EG660" s="2409"/>
      <c r="EH660" s="2409" t="e">
        <f t="shared" si="24"/>
        <v>#VALUE!</v>
      </c>
      <c r="EI660" s="2409"/>
      <c r="EJ660" s="2409"/>
      <c r="EK660" s="2409"/>
      <c r="EL660" s="2409"/>
      <c r="EM660" s="2409" t="e">
        <f t="shared" si="25"/>
        <v>#VALUE!</v>
      </c>
      <c r="EN660" s="2409"/>
      <c r="EO660" s="2409"/>
      <c r="EP660" s="2409"/>
      <c r="EQ660" s="2409"/>
      <c r="ER660" s="2409" t="e">
        <f t="shared" si="26"/>
        <v>#VALUE!</v>
      </c>
      <c r="ES660" s="2409"/>
      <c r="ET660" s="2409"/>
      <c r="EU660" s="2409"/>
      <c r="EV660" s="2409"/>
      <c r="EW660" s="2409" t="e">
        <f t="shared" si="27"/>
        <v>#VALUE!</v>
      </c>
      <c r="EX660" s="2409"/>
      <c r="EY660" s="2409"/>
      <c r="EZ660" s="2409"/>
      <c r="FA660" s="2409"/>
    </row>
    <row r="661" spans="1:157" ht="13.2">
      <c r="A661" s="87" t="s">
        <v>124</v>
      </c>
      <c r="B661" s="12" t="s">
        <v>486</v>
      </c>
      <c r="G661" s="1895" t="str">
        <f>C639</f>
        <v xml:space="preserve">Accrued Interest on Soft Loans											</v>
      </c>
      <c r="H661" s="1895"/>
      <c r="I661" s="1895"/>
      <c r="J661" s="1895"/>
      <c r="K661" s="1895"/>
      <c r="L661" s="1895"/>
      <c r="M661" s="1895"/>
      <c r="N661" s="1895"/>
      <c r="O661" s="1895"/>
      <c r="P661" s="1895"/>
      <c r="Q661" s="1895"/>
      <c r="R661" s="1895"/>
      <c r="T661" s="87" t="s">
        <v>605</v>
      </c>
      <c r="U661" s="12" t="s">
        <v>486</v>
      </c>
      <c r="Z661" s="1895" t="str">
        <f>C640</f>
        <v>GP Capital</v>
      </c>
      <c r="AA661" s="1895"/>
      <c r="AB661" s="1895"/>
      <c r="AC661" s="1895"/>
      <c r="AD661" s="1895"/>
      <c r="AE661" s="1895"/>
      <c r="AF661" s="1895"/>
      <c r="AG661" s="1895"/>
      <c r="AH661" s="1895"/>
      <c r="AI661" s="1895"/>
      <c r="AJ661" s="1895"/>
      <c r="AK661" s="1895"/>
      <c r="AZ661" s="61"/>
      <c r="BA661" s="61"/>
      <c r="BB661" s="61"/>
      <c r="BC661" s="61"/>
      <c r="BD661" s="61"/>
      <c r="BE661" s="61"/>
      <c r="BF661" s="61"/>
      <c r="BG661" s="61"/>
      <c r="BH661" s="61"/>
      <c r="BI661" s="61"/>
      <c r="BJ661" s="61"/>
      <c r="BK661" s="61"/>
      <c r="BL661" s="61"/>
      <c r="BM661" s="61"/>
      <c r="CR661" s="177"/>
      <c r="CS661" s="920">
        <f>BR659+BW659+CB659+CG659+CL659+CQ659</f>
        <v>0</v>
      </c>
      <c r="CT661" s="134" t="s">
        <v>1831</v>
      </c>
      <c r="CU661" s="58"/>
      <c r="CV661" s="58"/>
      <c r="CW661" s="58"/>
      <c r="CX661" s="58"/>
      <c r="CY661" s="58"/>
      <c r="CZ661" s="58"/>
      <c r="DA661" s="58"/>
      <c r="DB661" s="58"/>
      <c r="DC661" s="58"/>
      <c r="DD661" s="58"/>
      <c r="DE661" s="58"/>
      <c r="DF661" s="58"/>
      <c r="DX661" s="2409" t="e">
        <f t="shared" si="22"/>
        <v>#VALUE!</v>
      </c>
      <c r="DY661" s="2409"/>
      <c r="DZ661" s="2409"/>
      <c r="EA661" s="2409"/>
      <c r="EB661" s="2409"/>
      <c r="EC661" s="2409" t="e">
        <f t="shared" si="23"/>
        <v>#VALUE!</v>
      </c>
      <c r="ED661" s="2409"/>
      <c r="EE661" s="2409"/>
      <c r="EF661" s="2409"/>
      <c r="EG661" s="2409"/>
      <c r="EH661" s="2409" t="e">
        <f t="shared" si="24"/>
        <v>#VALUE!</v>
      </c>
      <c r="EI661" s="2409"/>
      <c r="EJ661" s="2409"/>
      <c r="EK661" s="2409"/>
      <c r="EL661" s="2409"/>
      <c r="EM661" s="2409" t="e">
        <f t="shared" si="25"/>
        <v>#VALUE!</v>
      </c>
      <c r="EN661" s="2409"/>
      <c r="EO661" s="2409"/>
      <c r="EP661" s="2409"/>
      <c r="EQ661" s="2409"/>
      <c r="ER661" s="2409" t="e">
        <f t="shared" si="26"/>
        <v>#VALUE!</v>
      </c>
      <c r="ES661" s="2409"/>
      <c r="ET661" s="2409"/>
      <c r="EU661" s="2409"/>
      <c r="EV661" s="2409"/>
      <c r="EW661" s="2409" t="e">
        <f t="shared" si="27"/>
        <v>#VALUE!</v>
      </c>
      <c r="EX661" s="2409"/>
      <c r="EY661" s="2409"/>
      <c r="EZ661" s="2409"/>
      <c r="FA661" s="2409"/>
    </row>
    <row r="662" spans="1:157" ht="13.2">
      <c r="A662" s="35"/>
      <c r="B662" s="12" t="s">
        <v>90</v>
      </c>
      <c r="G662" s="1894" t="s">
        <v>2568</v>
      </c>
      <c r="H662" s="1894"/>
      <c r="I662" s="1894"/>
      <c r="J662" s="1894"/>
      <c r="K662" s="1894"/>
      <c r="L662" s="1894"/>
      <c r="M662" s="1894"/>
      <c r="N662" s="1894"/>
      <c r="O662" s="1894"/>
      <c r="P662" s="1894"/>
      <c r="Q662" s="1894"/>
      <c r="R662" s="1894"/>
      <c r="T662" s="35"/>
      <c r="U662" s="12" t="s">
        <v>90</v>
      </c>
      <c r="Z662" s="1894" t="s">
        <v>2593</v>
      </c>
      <c r="AA662" s="1894"/>
      <c r="AB662" s="1894"/>
      <c r="AC662" s="1894"/>
      <c r="AD662" s="1894"/>
      <c r="AE662" s="1894"/>
      <c r="AF662" s="1894"/>
      <c r="AG662" s="1894"/>
      <c r="AH662" s="1894"/>
      <c r="AI662" s="1894"/>
      <c r="AJ662" s="1894"/>
      <c r="AK662" s="189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409" t="e">
        <f t="shared" si="22"/>
        <v>#VALUE!</v>
      </c>
      <c r="DY662" s="2409"/>
      <c r="DZ662" s="2409"/>
      <c r="EA662" s="2409"/>
      <c r="EB662" s="2409"/>
      <c r="EC662" s="2409" t="e">
        <f t="shared" si="23"/>
        <v>#VALUE!</v>
      </c>
      <c r="ED662" s="2409"/>
      <c r="EE662" s="2409"/>
      <c r="EF662" s="2409"/>
      <c r="EG662" s="2409"/>
      <c r="EH662" s="2409" t="e">
        <f t="shared" si="24"/>
        <v>#VALUE!</v>
      </c>
      <c r="EI662" s="2409"/>
      <c r="EJ662" s="2409"/>
      <c r="EK662" s="2409"/>
      <c r="EL662" s="2409"/>
      <c r="EM662" s="2409" t="e">
        <f t="shared" si="25"/>
        <v>#VALUE!</v>
      </c>
      <c r="EN662" s="2409"/>
      <c r="EO662" s="2409"/>
      <c r="EP662" s="2409"/>
      <c r="EQ662" s="2409"/>
      <c r="ER662" s="2409" t="e">
        <f t="shared" si="26"/>
        <v>#VALUE!</v>
      </c>
      <c r="ES662" s="2409"/>
      <c r="ET662" s="2409"/>
      <c r="EU662" s="2409"/>
      <c r="EV662" s="2409"/>
      <c r="EW662" s="2409" t="e">
        <f t="shared" si="27"/>
        <v>#VALUE!</v>
      </c>
      <c r="EX662" s="2409"/>
      <c r="EY662" s="2409"/>
      <c r="EZ662" s="2409"/>
      <c r="FA662" s="2409"/>
    </row>
    <row r="663" spans="1:157" ht="13.2">
      <c r="A663" s="35"/>
      <c r="B663" s="12" t="s">
        <v>604</v>
      </c>
      <c r="G663" s="1894" t="s">
        <v>2512</v>
      </c>
      <c r="H663" s="1894"/>
      <c r="I663" s="1894"/>
      <c r="J663" s="1894"/>
      <c r="K663" s="1894"/>
      <c r="L663" s="1894"/>
      <c r="M663" s="1894"/>
      <c r="N663" s="1894"/>
      <c r="O663" s="1894"/>
      <c r="P663" s="1894"/>
      <c r="Q663" s="1894"/>
      <c r="R663" s="1894"/>
      <c r="T663" s="35"/>
      <c r="U663" s="12" t="s">
        <v>604</v>
      </c>
      <c r="Z663" s="1944" t="s">
        <v>2484</v>
      </c>
      <c r="AA663" s="1944"/>
      <c r="AB663" s="1944"/>
      <c r="AC663" s="1944"/>
      <c r="AD663" s="1944"/>
      <c r="AE663" s="1944"/>
      <c r="AF663" s="1944"/>
      <c r="AG663" s="1944"/>
      <c r="AH663" s="1944"/>
      <c r="AI663" s="1944"/>
      <c r="AJ663" s="1944"/>
      <c r="AK663" s="1944"/>
      <c r="AZ663" s="61"/>
      <c r="BA663" s="61"/>
      <c r="BB663" s="61"/>
      <c r="BC663" s="61"/>
      <c r="BD663" s="61"/>
      <c r="BE663" s="61"/>
      <c r="BF663" s="61"/>
      <c r="BG663" s="61"/>
      <c r="BH663" s="61"/>
      <c r="BI663" s="61"/>
      <c r="BJ663" s="61"/>
      <c r="BK663" s="61"/>
      <c r="BL663" s="61"/>
      <c r="BM663" s="61"/>
      <c r="BN663" s="1864">
        <f>BN635+BN644+BN658</f>
        <v>4</v>
      </c>
      <c r="BO663" s="1865"/>
      <c r="BP663" s="1865"/>
      <c r="BQ663" s="1865"/>
      <c r="BR663" s="1866"/>
      <c r="BS663" s="1864">
        <f>BS635+BS644+BS658</f>
        <v>18</v>
      </c>
      <c r="BT663" s="1865"/>
      <c r="BU663" s="1865"/>
      <c r="BV663" s="1865"/>
      <c r="BW663" s="1866"/>
      <c r="BX663" s="1864">
        <f>BX635+BX644+BX658</f>
        <v>32</v>
      </c>
      <c r="BY663" s="1865"/>
      <c r="BZ663" s="1865"/>
      <c r="CA663" s="1865"/>
      <c r="CB663" s="1866"/>
      <c r="CC663" s="1864">
        <f>CC635+CC644+CC658</f>
        <v>16</v>
      </c>
      <c r="CD663" s="1865"/>
      <c r="CE663" s="1865"/>
      <c r="CF663" s="1865"/>
      <c r="CG663" s="1866"/>
      <c r="CH663" s="1864">
        <f>CH635+CH644+CH658</f>
        <v>2</v>
      </c>
      <c r="CI663" s="1865"/>
      <c r="CJ663" s="1865"/>
      <c r="CK663" s="1865"/>
      <c r="CL663" s="1866"/>
      <c r="CM663" s="1874">
        <f>CM658+CM644+CM635</f>
        <v>1</v>
      </c>
      <c r="CN663" s="2021"/>
      <c r="CO663" s="2021"/>
      <c r="CP663" s="2021"/>
      <c r="CQ663" s="1875"/>
      <c r="CR663" s="177"/>
      <c r="CS663" s="920">
        <f>CS637+CS661</f>
        <v>145</v>
      </c>
      <c r="CT663" s="134" t="s">
        <v>2175</v>
      </c>
      <c r="CU663" s="58"/>
      <c r="CV663" s="58"/>
      <c r="CW663" s="58"/>
      <c r="CX663" s="58"/>
      <c r="CY663" s="58"/>
      <c r="CZ663" s="58"/>
      <c r="DA663" s="58"/>
      <c r="DB663" s="58"/>
      <c r="DC663" s="58"/>
      <c r="DD663" s="58"/>
      <c r="DE663" s="58"/>
      <c r="DF663" s="58"/>
      <c r="DX663" s="2409">
        <f>SUMIF(DX638:EB662,"&gt;0")</f>
        <v>1171.1200000000001</v>
      </c>
      <c r="DY663" s="2409"/>
      <c r="DZ663" s="2409"/>
      <c r="EA663" s="2409"/>
      <c r="EB663" s="2409"/>
      <c r="EC663" s="2409">
        <f>SUMIF(EC638:EG662,"&gt;0")</f>
        <v>1318.5422222222223</v>
      </c>
      <c r="ED663" s="2409"/>
      <c r="EE663" s="2409"/>
      <c r="EF663" s="2409"/>
      <c r="EG663" s="2409"/>
      <c r="EH663" s="2409">
        <f>SUMIF(EH638:EL662,"&gt;0")</f>
        <v>1465.8348387096773</v>
      </c>
      <c r="EI663" s="2409"/>
      <c r="EJ663" s="2409"/>
      <c r="EK663" s="2409"/>
      <c r="EL663" s="2409"/>
      <c r="EM663" s="2409">
        <f>SUMIF(EM638:EQ662,"&gt;0")</f>
        <v>1588.2</v>
      </c>
      <c r="EN663" s="2409"/>
      <c r="EO663" s="2409"/>
      <c r="EP663" s="2409"/>
      <c r="EQ663" s="2409"/>
      <c r="ER663" s="2409">
        <f>SUMIF(ER638:EV662,"&gt;0")</f>
        <v>1778.92</v>
      </c>
      <c r="ES663" s="2409"/>
      <c r="ET663" s="2409"/>
      <c r="EU663" s="2409"/>
      <c r="EV663" s="2409"/>
      <c r="EW663" s="2409">
        <f>SUMIF(EW638:FA662,"&gt;0")</f>
        <v>1907.76</v>
      </c>
      <c r="EX663" s="2409"/>
      <c r="EY663" s="2409"/>
      <c r="EZ663" s="2409"/>
      <c r="FA663" s="2409"/>
    </row>
    <row r="664" spans="1:157" ht="13.2">
      <c r="A664" s="35"/>
      <c r="B664" s="12" t="s">
        <v>17</v>
      </c>
      <c r="G664" s="1894" t="s">
        <v>2570</v>
      </c>
      <c r="H664" s="1894"/>
      <c r="I664" s="1894"/>
      <c r="J664" s="1894"/>
      <c r="K664" s="1894"/>
      <c r="L664" s="1894"/>
      <c r="M664" s="1894"/>
      <c r="N664" s="1894"/>
      <c r="O664" s="1894"/>
      <c r="P664" s="1894"/>
      <c r="Q664" s="1894"/>
      <c r="R664" s="1894"/>
      <c r="T664" s="35"/>
      <c r="U664" s="12" t="s">
        <v>17</v>
      </c>
      <c r="Z664" s="1944" t="s">
        <v>2485</v>
      </c>
      <c r="AA664" s="1944"/>
      <c r="AB664" s="1944"/>
      <c r="AC664" s="1944"/>
      <c r="AD664" s="1944"/>
      <c r="AE664" s="1944"/>
      <c r="AF664" s="1944"/>
      <c r="AG664" s="1944"/>
      <c r="AH664" s="1944"/>
      <c r="AI664" s="1944"/>
      <c r="AJ664" s="1944"/>
      <c r="AK664" s="19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1975" t="s">
        <v>2571</v>
      </c>
      <c r="H665" s="1919"/>
      <c r="I665" s="1919"/>
      <c r="J665" s="1919"/>
      <c r="K665" s="1919"/>
      <c r="L665" s="1919"/>
      <c r="O665" s="137" t="s">
        <v>211</v>
      </c>
      <c r="P665" s="1885"/>
      <c r="Q665" s="1885"/>
      <c r="R665" s="1885"/>
      <c r="T665" s="35"/>
      <c r="U665" s="12" t="s">
        <v>321</v>
      </c>
      <c r="Z665" s="1975" t="s">
        <v>2486</v>
      </c>
      <c r="AA665" s="1919"/>
      <c r="AB665" s="1919"/>
      <c r="AC665" s="1919"/>
      <c r="AD665" s="1919"/>
      <c r="AE665" s="1919"/>
      <c r="AH665" s="137" t="s">
        <v>211</v>
      </c>
      <c r="AI665" s="1885"/>
      <c r="AJ665" s="1885"/>
      <c r="AK665" s="188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1894" t="s">
        <v>2581</v>
      </c>
      <c r="I666" s="1894"/>
      <c r="J666" s="1894"/>
      <c r="K666" s="1894"/>
      <c r="L666" s="1894"/>
      <c r="M666" s="1894"/>
      <c r="N666" s="1894"/>
      <c r="O666" s="1894"/>
      <c r="P666" s="1894"/>
      <c r="Q666" s="1894"/>
      <c r="R666" s="1894"/>
      <c r="T666" s="35"/>
      <c r="U666" s="12" t="s">
        <v>18</v>
      </c>
      <c r="AA666" s="1894" t="s">
        <v>2579</v>
      </c>
      <c r="AB666" s="1894"/>
      <c r="AC666" s="1894"/>
      <c r="AD666" s="1894"/>
      <c r="AE666" s="1894"/>
      <c r="AF666" s="1894"/>
      <c r="AG666" s="1894"/>
      <c r="AH666" s="1894"/>
      <c r="AI666" s="1894"/>
      <c r="AJ666" s="1894"/>
      <c r="AK666" s="1894"/>
      <c r="AZ666" s="58"/>
      <c r="BA666" s="58"/>
      <c r="BB666" s="58"/>
      <c r="BC666" s="58"/>
      <c r="BD666" s="58"/>
      <c r="BE666" s="58"/>
      <c r="BF666" s="58"/>
      <c r="BG666" s="58"/>
      <c r="BH666" s="58"/>
      <c r="BI666" s="58"/>
      <c r="BJ666" s="58"/>
      <c r="BK666" s="58"/>
      <c r="BL666" s="58"/>
      <c r="BM666" s="58"/>
      <c r="BN666" s="58"/>
      <c r="BO666" s="58"/>
      <c r="BP666" s="306" t="s">
        <v>2373</v>
      </c>
      <c r="BQ666" s="307"/>
      <c r="BR666" s="307"/>
      <c r="BS666" s="307"/>
      <c r="BT666" s="307"/>
      <c r="BU666" s="307"/>
      <c r="BV666" s="307"/>
      <c r="BW666" s="58"/>
      <c r="BX666" s="306" t="s">
        <v>2376</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1893" t="s">
        <v>568</v>
      </c>
      <c r="O667" s="1893"/>
      <c r="T667" s="35"/>
      <c r="U667" s="12" t="s">
        <v>20</v>
      </c>
      <c r="AG667" s="1893" t="s">
        <v>568</v>
      </c>
      <c r="AH667" s="1893"/>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2377</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803</v>
      </c>
      <c r="B669" s="12" t="s">
        <v>486</v>
      </c>
      <c r="G669" s="1895">
        <f>C641</f>
        <v>0</v>
      </c>
      <c r="H669" s="1895"/>
      <c r="I669" s="1895"/>
      <c r="J669" s="1895"/>
      <c r="K669" s="1895"/>
      <c r="L669" s="1895"/>
      <c r="M669" s="1895"/>
      <c r="N669" s="1895"/>
      <c r="O669" s="1895"/>
      <c r="P669" s="1895"/>
      <c r="Q669" s="1895"/>
      <c r="R669" s="1895"/>
      <c r="T669" s="87" t="s">
        <v>608</v>
      </c>
      <c r="U669" s="12" t="s">
        <v>486</v>
      </c>
      <c r="Z669" s="1895">
        <f>C642</f>
        <v>0</v>
      </c>
      <c r="AA669" s="1895"/>
      <c r="AB669" s="1895"/>
      <c r="AC669" s="1895"/>
      <c r="AD669" s="1895"/>
      <c r="AE669" s="1895"/>
      <c r="AF669" s="1895"/>
      <c r="AG669" s="1895"/>
      <c r="AH669" s="1895"/>
      <c r="AI669" s="1895"/>
      <c r="AJ669" s="1895"/>
      <c r="AK669" s="1895"/>
      <c r="AZ669" s="58"/>
      <c r="BA669" s="310" t="s">
        <v>673</v>
      </c>
      <c r="BB669" s="58"/>
      <c r="BC669" s="58"/>
      <c r="BD669" s="58"/>
      <c r="BE669" s="58"/>
      <c r="BF669" s="379"/>
      <c r="BG669" s="334" t="s">
        <v>944</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894"/>
      <c r="H670" s="1894"/>
      <c r="I670" s="1894"/>
      <c r="J670" s="1894"/>
      <c r="K670" s="1894"/>
      <c r="L670" s="1894"/>
      <c r="M670" s="1894"/>
      <c r="N670" s="1894"/>
      <c r="O670" s="1894"/>
      <c r="P670" s="1894"/>
      <c r="Q670" s="1894"/>
      <c r="R670" s="1894"/>
      <c r="T670" s="35"/>
      <c r="U670" s="12" t="s">
        <v>90</v>
      </c>
      <c r="Z670" s="1894"/>
      <c r="AA670" s="1894"/>
      <c r="AB670" s="1894"/>
      <c r="AC670" s="1894"/>
      <c r="AD670" s="1894"/>
      <c r="AE670" s="1894"/>
      <c r="AF670" s="1894"/>
      <c r="AG670" s="1894"/>
      <c r="AH670" s="1894"/>
      <c r="AI670" s="1894"/>
      <c r="AJ670" s="1894"/>
      <c r="AK670" s="1894"/>
      <c r="AZ670" s="58"/>
      <c r="BA670" s="443">
        <f t="shared" ref="BA670:BA694" si="40">IF($G728=0,"N/A",VLOOKUP($T$189,TC_Rent,(MATCH($B728,bedrooms,FALSE))))</f>
        <v>3262</v>
      </c>
      <c r="BB670" s="58"/>
      <c r="BC670" s="58"/>
      <c r="BD670" s="58"/>
      <c r="BE670" s="58"/>
      <c r="BF670" s="379"/>
      <c r="BG670" s="451" t="s">
        <v>945</v>
      </c>
      <c r="BH670" s="456" t="s">
        <v>946</v>
      </c>
      <c r="BI670" s="455" t="s">
        <v>947</v>
      </c>
      <c r="BJ670" s="58"/>
      <c r="BK670" s="58"/>
      <c r="BL670" s="58"/>
      <c r="BM670" s="58"/>
      <c r="BN670" s="58"/>
      <c r="BO670" s="58"/>
      <c r="BP670" s="534" t="s">
        <v>499</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604</v>
      </c>
      <c r="G671" s="1894"/>
      <c r="H671" s="1894"/>
      <c r="I671" s="1894"/>
      <c r="J671" s="1894"/>
      <c r="K671" s="1894"/>
      <c r="L671" s="1894"/>
      <c r="M671" s="1894"/>
      <c r="N671" s="1894"/>
      <c r="O671" s="1894"/>
      <c r="P671" s="1894"/>
      <c r="Q671" s="1894"/>
      <c r="R671" s="1894"/>
      <c r="T671" s="35"/>
      <c r="U671" s="12" t="s">
        <v>604</v>
      </c>
      <c r="Z671" s="1944"/>
      <c r="AA671" s="1944"/>
      <c r="AB671" s="1944"/>
      <c r="AC671" s="1944"/>
      <c r="AD671" s="1944"/>
      <c r="AE671" s="1944"/>
      <c r="AF671" s="1944"/>
      <c r="AG671" s="1944"/>
      <c r="AH671" s="1944"/>
      <c r="AI671" s="1944"/>
      <c r="AJ671" s="1944"/>
      <c r="AK671" s="1944"/>
      <c r="AZ671" s="58"/>
      <c r="BA671" s="443">
        <f t="shared" si="40"/>
        <v>3496</v>
      </c>
      <c r="BB671" s="58"/>
      <c r="BC671" s="58"/>
      <c r="BD671" s="58"/>
      <c r="BE671" s="58"/>
      <c r="BF671" s="379"/>
      <c r="BG671" s="453">
        <f t="shared" ref="BG671:BG695" si="41">G728</f>
        <v>4</v>
      </c>
      <c r="BH671" s="457">
        <f>BG671/$BG$696</f>
        <v>5.5555555555555552E-2</v>
      </c>
      <c r="BI671" s="458">
        <f t="shared" ref="BI671:BI695" si="42">IF(BH671=0," ",BH671*AC728)</f>
        <v>2.2222222222222223E-2</v>
      </c>
      <c r="BJ671" s="58"/>
      <c r="BK671" s="58"/>
      <c r="BL671" s="58"/>
      <c r="BM671" s="58"/>
      <c r="BN671" s="58"/>
      <c r="BO671" s="58"/>
      <c r="BP671" s="535" t="s">
        <v>500</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894"/>
      <c r="H672" s="1894"/>
      <c r="I672" s="1894"/>
      <c r="J672" s="1894"/>
      <c r="K672" s="1894"/>
      <c r="L672" s="1894"/>
      <c r="M672" s="1894"/>
      <c r="N672" s="1894"/>
      <c r="O672" s="1894"/>
      <c r="P672" s="1894"/>
      <c r="Q672" s="1894"/>
      <c r="R672" s="1894"/>
      <c r="T672" s="35"/>
      <c r="U672" s="12" t="s">
        <v>17</v>
      </c>
      <c r="Z672" s="1944"/>
      <c r="AA672" s="1944"/>
      <c r="AB672" s="1944"/>
      <c r="AC672" s="1944"/>
      <c r="AD672" s="1944"/>
      <c r="AE672" s="1944"/>
      <c r="AF672" s="1944"/>
      <c r="AG672" s="1944"/>
      <c r="AH672" s="1944"/>
      <c r="AI672" s="1944"/>
      <c r="AJ672" s="1944"/>
      <c r="AK672" s="1944"/>
      <c r="AZ672" s="58"/>
      <c r="BA672" s="443">
        <f t="shared" si="40"/>
        <v>4194</v>
      </c>
      <c r="BB672" s="58"/>
      <c r="BC672" s="58"/>
      <c r="BD672" s="58"/>
      <c r="BE672" s="58"/>
      <c r="BF672" s="379"/>
      <c r="BG672" s="454">
        <f t="shared" si="41"/>
        <v>17</v>
      </c>
      <c r="BH672" s="457">
        <f t="shared" ref="BH672:BH695" si="43">BG672/$BG$696</f>
        <v>0.2361111111111111</v>
      </c>
      <c r="BI672" s="458">
        <f t="shared" si="42"/>
        <v>9.4444444444444442E-2</v>
      </c>
      <c r="BJ672" s="58"/>
      <c r="BK672" s="58"/>
      <c r="BL672" s="58"/>
      <c r="BM672" s="58"/>
      <c r="BN672" s="58"/>
      <c r="BO672" s="58"/>
      <c r="BP672" s="535" t="s">
        <v>501</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321</v>
      </c>
      <c r="G673" s="1919"/>
      <c r="H673" s="1919"/>
      <c r="I673" s="1919"/>
      <c r="J673" s="1919"/>
      <c r="K673" s="1919"/>
      <c r="L673" s="1919"/>
      <c r="O673" s="137" t="s">
        <v>211</v>
      </c>
      <c r="P673" s="1885"/>
      <c r="Q673" s="1885"/>
      <c r="R673" s="1885"/>
      <c r="T673" s="35"/>
      <c r="U673" s="12" t="s">
        <v>321</v>
      </c>
      <c r="Z673" s="1919"/>
      <c r="AA673" s="1919"/>
      <c r="AB673" s="1919"/>
      <c r="AC673" s="1919"/>
      <c r="AD673" s="1919"/>
      <c r="AE673" s="1919"/>
      <c r="AH673" s="137" t="s">
        <v>211</v>
      </c>
      <c r="AI673" s="1885"/>
      <c r="AJ673" s="1885"/>
      <c r="AK673" s="1885"/>
      <c r="AZ673" s="58"/>
      <c r="BA673" s="443">
        <f t="shared" si="40"/>
        <v>4846</v>
      </c>
      <c r="BB673" s="58"/>
      <c r="BC673" s="58"/>
      <c r="BD673" s="58"/>
      <c r="BE673" s="58"/>
      <c r="BF673" s="379"/>
      <c r="BG673" s="454">
        <f t="shared" si="41"/>
        <v>28</v>
      </c>
      <c r="BH673" s="457">
        <f t="shared" si="43"/>
        <v>0.3888888888888889</v>
      </c>
      <c r="BI673" s="458">
        <f t="shared" si="42"/>
        <v>0.15555555555555556</v>
      </c>
      <c r="BJ673" s="58"/>
      <c r="BK673" s="58"/>
      <c r="BL673" s="58"/>
      <c r="BM673" s="58"/>
      <c r="BN673" s="58"/>
      <c r="BO673" s="58"/>
      <c r="BP673" s="535" t="s">
        <v>502</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894"/>
      <c r="I674" s="1894"/>
      <c r="J674" s="1894"/>
      <c r="K674" s="1894"/>
      <c r="L674" s="1894"/>
      <c r="M674" s="1894"/>
      <c r="N674" s="1894"/>
      <c r="O674" s="1894"/>
      <c r="P674" s="1894"/>
      <c r="Q674" s="1894"/>
      <c r="R674" s="1894"/>
      <c r="T674" s="35"/>
      <c r="U674" s="12" t="s">
        <v>18</v>
      </c>
      <c r="AA674" s="1894"/>
      <c r="AB674" s="1894"/>
      <c r="AC674" s="1894"/>
      <c r="AD674" s="1894"/>
      <c r="AE674" s="1894"/>
      <c r="AF674" s="1894"/>
      <c r="AG674" s="1894"/>
      <c r="AH674" s="1894"/>
      <c r="AI674" s="1894"/>
      <c r="AJ674" s="1894"/>
      <c r="AK674" s="1894"/>
      <c r="AZ674" s="58"/>
      <c r="BA674" s="443">
        <f t="shared" si="40"/>
        <v>5406</v>
      </c>
      <c r="BB674" s="58"/>
      <c r="BC674" s="58"/>
      <c r="BD674" s="58"/>
      <c r="BE674" s="58"/>
      <c r="BF674" s="379"/>
      <c r="BG674" s="454">
        <f t="shared" si="41"/>
        <v>12</v>
      </c>
      <c r="BH674" s="457">
        <f t="shared" si="43"/>
        <v>0.16666666666666666</v>
      </c>
      <c r="BI674" s="458">
        <f t="shared" si="42"/>
        <v>6.6666666666666666E-2</v>
      </c>
      <c r="BJ674" s="58"/>
      <c r="BK674" s="58"/>
      <c r="BL674" s="58"/>
      <c r="BM674" s="58"/>
      <c r="BN674" s="58"/>
      <c r="BO674" s="58"/>
      <c r="BP674" s="535" t="s">
        <v>503</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893" t="s">
        <v>693</v>
      </c>
      <c r="O675" s="1893"/>
      <c r="T675" s="35"/>
      <c r="U675" s="12" t="s">
        <v>20</v>
      </c>
      <c r="AG675" s="1893" t="s">
        <v>693</v>
      </c>
      <c r="AH675" s="1893"/>
      <c r="AZ675" s="58"/>
      <c r="BA675" s="443">
        <f t="shared" si="40"/>
        <v>5966</v>
      </c>
      <c r="BB675" s="58"/>
      <c r="BC675" s="58"/>
      <c r="BD675" s="58"/>
      <c r="BE675" s="58"/>
      <c r="BF675" s="379"/>
      <c r="BG675" s="454">
        <f t="shared" si="41"/>
        <v>2</v>
      </c>
      <c r="BH675" s="457">
        <f t="shared" si="43"/>
        <v>2.7777777777777776E-2</v>
      </c>
      <c r="BI675" s="458">
        <f t="shared" si="42"/>
        <v>1.1111111111111112E-2</v>
      </c>
      <c r="BJ675" s="58"/>
      <c r="BK675" s="58"/>
      <c r="BL675" s="58"/>
      <c r="BM675" s="58"/>
      <c r="BN675" s="58"/>
      <c r="BO675" s="58"/>
      <c r="BP675" s="535" t="s">
        <v>504</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3496</v>
      </c>
      <c r="BB676" s="58"/>
      <c r="BC676" s="58"/>
      <c r="BD676" s="58"/>
      <c r="BE676" s="58"/>
      <c r="BF676" s="379"/>
      <c r="BG676" s="454">
        <f t="shared" si="41"/>
        <v>1</v>
      </c>
      <c r="BH676" s="457">
        <f t="shared" si="43"/>
        <v>1.3888888888888888E-2</v>
      </c>
      <c r="BI676" s="458">
        <f t="shared" si="42"/>
        <v>5.5555555555555558E-3</v>
      </c>
      <c r="BJ676" s="58"/>
      <c r="BK676" s="58"/>
      <c r="BL676" s="58"/>
      <c r="BM676" s="58"/>
      <c r="BN676" s="58"/>
      <c r="BO676" s="58"/>
      <c r="BP676" s="535" t="s">
        <v>505</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478</v>
      </c>
      <c r="B677" s="12" t="s">
        <v>486</v>
      </c>
      <c r="G677" s="1895">
        <f>C643</f>
        <v>0</v>
      </c>
      <c r="H677" s="1895"/>
      <c r="I677" s="1895"/>
      <c r="J677" s="1895"/>
      <c r="K677" s="1895"/>
      <c r="L677" s="1895"/>
      <c r="M677" s="1895"/>
      <c r="N677" s="1895"/>
      <c r="O677" s="1895"/>
      <c r="P677" s="1895"/>
      <c r="Q677" s="1895"/>
      <c r="R677" s="1895"/>
      <c r="T677" s="87" t="s">
        <v>479</v>
      </c>
      <c r="U677" s="12" t="s">
        <v>486</v>
      </c>
      <c r="Z677" s="1895">
        <f>C644</f>
        <v>0</v>
      </c>
      <c r="AA677" s="1895"/>
      <c r="AB677" s="1895"/>
      <c r="AC677" s="1895"/>
      <c r="AD677" s="1895"/>
      <c r="AE677" s="1895"/>
      <c r="AF677" s="1895"/>
      <c r="AG677" s="1895"/>
      <c r="AH677" s="1895"/>
      <c r="AI677" s="1895"/>
      <c r="AJ677" s="1895"/>
      <c r="AK677" s="1895"/>
      <c r="AZ677" s="58"/>
      <c r="BA677" s="443">
        <f t="shared" si="40"/>
        <v>4194</v>
      </c>
      <c r="BB677" s="58"/>
      <c r="BC677" s="58"/>
      <c r="BD677" s="58"/>
      <c r="BE677" s="58"/>
      <c r="BF677" s="379"/>
      <c r="BG677" s="454">
        <f t="shared" si="41"/>
        <v>1</v>
      </c>
      <c r="BH677" s="457">
        <f t="shared" si="43"/>
        <v>1.3888888888888888E-2</v>
      </c>
      <c r="BI677" s="458">
        <f t="shared" si="42"/>
        <v>4.1666666666666666E-3</v>
      </c>
      <c r="BJ677" s="58"/>
      <c r="BK677" s="58"/>
      <c r="BL677" s="58"/>
      <c r="BM677" s="58"/>
      <c r="BN677" s="58"/>
      <c r="BO677" s="58"/>
      <c r="BP677" s="535" t="s">
        <v>506</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894"/>
      <c r="H678" s="1894"/>
      <c r="I678" s="1894"/>
      <c r="J678" s="1894"/>
      <c r="K678" s="1894"/>
      <c r="L678" s="1894"/>
      <c r="M678" s="1894"/>
      <c r="N678" s="1894"/>
      <c r="O678" s="1894"/>
      <c r="P678" s="1894"/>
      <c r="Q678" s="1894"/>
      <c r="R678" s="1894"/>
      <c r="T678" s="35"/>
      <c r="U678" s="12" t="s">
        <v>90</v>
      </c>
      <c r="Z678" s="1894"/>
      <c r="AA678" s="1894"/>
      <c r="AB678" s="1894"/>
      <c r="AC678" s="1894"/>
      <c r="AD678" s="1894"/>
      <c r="AE678" s="1894"/>
      <c r="AF678" s="1894"/>
      <c r="AG678" s="1894"/>
      <c r="AH678" s="1894"/>
      <c r="AI678" s="1894"/>
      <c r="AJ678" s="1894"/>
      <c r="AK678" s="1894"/>
      <c r="AZ678" s="58"/>
      <c r="BA678" s="443">
        <f t="shared" si="40"/>
        <v>4846</v>
      </c>
      <c r="BB678" s="58"/>
      <c r="BC678" s="58"/>
      <c r="BD678" s="58"/>
      <c r="BE678" s="58"/>
      <c r="BF678" s="379"/>
      <c r="BG678" s="454">
        <f t="shared" si="41"/>
        <v>3</v>
      </c>
      <c r="BH678" s="457">
        <f t="shared" si="43"/>
        <v>4.1666666666666664E-2</v>
      </c>
      <c r="BI678" s="458">
        <f t="shared" si="42"/>
        <v>1.2499999999999999E-2</v>
      </c>
      <c r="BJ678" s="58"/>
      <c r="BK678" s="58"/>
      <c r="BL678" s="58"/>
      <c r="BM678" s="58"/>
      <c r="BN678" s="58"/>
      <c r="BO678" s="58"/>
      <c r="BP678" s="535" t="s">
        <v>507</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604</v>
      </c>
      <c r="G679" s="1894"/>
      <c r="H679" s="1894"/>
      <c r="I679" s="1894"/>
      <c r="J679" s="1894"/>
      <c r="K679" s="1894"/>
      <c r="L679" s="1894"/>
      <c r="M679" s="1894"/>
      <c r="N679" s="1894"/>
      <c r="O679" s="1894"/>
      <c r="P679" s="1894"/>
      <c r="Q679" s="1894"/>
      <c r="R679" s="1894"/>
      <c r="T679" s="35"/>
      <c r="U679" s="12" t="s">
        <v>604</v>
      </c>
      <c r="Z679" s="1944"/>
      <c r="AA679" s="1944"/>
      <c r="AB679" s="1944"/>
      <c r="AC679" s="1944"/>
      <c r="AD679" s="1944"/>
      <c r="AE679" s="1944"/>
      <c r="AF679" s="1944"/>
      <c r="AG679" s="1944"/>
      <c r="AH679" s="1944"/>
      <c r="AI679" s="1944"/>
      <c r="AJ679" s="1944"/>
      <c r="AK679" s="1944"/>
      <c r="AZ679" s="58"/>
      <c r="BA679" s="443" t="str">
        <f t="shared" si="40"/>
        <v>N/A</v>
      </c>
      <c r="BB679" s="58"/>
      <c r="BC679" s="58"/>
      <c r="BD679" s="58"/>
      <c r="BE679" s="58"/>
      <c r="BF679" s="379"/>
      <c r="BG679" s="454">
        <f t="shared" si="41"/>
        <v>4</v>
      </c>
      <c r="BH679" s="457">
        <f t="shared" si="43"/>
        <v>5.5555555555555552E-2</v>
      </c>
      <c r="BI679" s="458">
        <f t="shared" si="42"/>
        <v>1.6666666666666666E-2</v>
      </c>
      <c r="BJ679" s="58"/>
      <c r="BK679" s="58"/>
      <c r="BL679" s="58"/>
      <c r="BM679" s="58"/>
      <c r="BN679" s="58"/>
      <c r="BO679" s="58"/>
      <c r="BP679" s="535" t="s">
        <v>508</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894"/>
      <c r="H680" s="1894"/>
      <c r="I680" s="1894"/>
      <c r="J680" s="1894"/>
      <c r="K680" s="1894"/>
      <c r="L680" s="1894"/>
      <c r="M680" s="1894"/>
      <c r="N680" s="1894"/>
      <c r="O680" s="1894"/>
      <c r="P680" s="1894"/>
      <c r="Q680" s="1894"/>
      <c r="R680" s="1894"/>
      <c r="T680" s="35"/>
      <c r="U680" s="12" t="s">
        <v>17</v>
      </c>
      <c r="Z680" s="1944"/>
      <c r="AA680" s="1944"/>
      <c r="AB680" s="1944"/>
      <c r="AC680" s="1944"/>
      <c r="AD680" s="1944"/>
      <c r="AE680" s="1944"/>
      <c r="AF680" s="1944"/>
      <c r="AG680" s="1944"/>
      <c r="AH680" s="1944"/>
      <c r="AI680" s="1944"/>
      <c r="AJ680" s="1944"/>
      <c r="AK680" s="1944"/>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509</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321</v>
      </c>
      <c r="G681" s="1919"/>
      <c r="H681" s="1919"/>
      <c r="I681" s="1919"/>
      <c r="J681" s="1919"/>
      <c r="K681" s="1919"/>
      <c r="L681" s="1919"/>
      <c r="O681" s="137" t="s">
        <v>211</v>
      </c>
      <c r="P681" s="1885"/>
      <c r="Q681" s="1885"/>
      <c r="R681" s="1885"/>
      <c r="T681" s="35"/>
      <c r="U681" s="12" t="s">
        <v>321</v>
      </c>
      <c r="Z681" s="1919"/>
      <c r="AA681" s="1919"/>
      <c r="AB681" s="1919"/>
      <c r="AC681" s="1919"/>
      <c r="AD681" s="1919"/>
      <c r="AE681" s="1919"/>
      <c r="AH681" s="137" t="s">
        <v>211</v>
      </c>
      <c r="AI681" s="1885"/>
      <c r="AJ681" s="1885"/>
      <c r="AK681" s="1885"/>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510</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894"/>
      <c r="I682" s="1894"/>
      <c r="J682" s="1894"/>
      <c r="K682" s="1894"/>
      <c r="L682" s="1894"/>
      <c r="M682" s="1894"/>
      <c r="N682" s="1894"/>
      <c r="O682" s="1894"/>
      <c r="P682" s="1894"/>
      <c r="Q682" s="1894"/>
      <c r="R682" s="1894"/>
      <c r="T682" s="35"/>
      <c r="U682" s="12" t="s">
        <v>18</v>
      </c>
      <c r="AA682" s="1894"/>
      <c r="AB682" s="1894"/>
      <c r="AC682" s="1894"/>
      <c r="AD682" s="1894"/>
      <c r="AE682" s="1894"/>
      <c r="AF682" s="1894"/>
      <c r="AG682" s="1894"/>
      <c r="AH682" s="1894"/>
      <c r="AI682" s="1894"/>
      <c r="AJ682" s="1894"/>
      <c r="AK682" s="1894"/>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511</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893" t="s">
        <v>693</v>
      </c>
      <c r="O683" s="1893"/>
      <c r="T683" s="35"/>
      <c r="U683" s="12" t="s">
        <v>20</v>
      </c>
      <c r="AG683" s="1893" t="s">
        <v>693</v>
      </c>
      <c r="AH683" s="1893"/>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512</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513</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484</v>
      </c>
      <c r="B685" s="12" t="s">
        <v>486</v>
      </c>
      <c r="G685" s="1895">
        <f>C645</f>
        <v>0</v>
      </c>
      <c r="H685" s="1895"/>
      <c r="I685" s="1895"/>
      <c r="J685" s="1895"/>
      <c r="K685" s="1895"/>
      <c r="L685" s="1895"/>
      <c r="M685" s="1895"/>
      <c r="N685" s="1895"/>
      <c r="O685" s="1895"/>
      <c r="P685" s="1895"/>
      <c r="Q685" s="1895"/>
      <c r="R685" s="1895"/>
      <c r="T685" s="87" t="s">
        <v>670</v>
      </c>
      <c r="U685" s="12" t="s">
        <v>486</v>
      </c>
      <c r="Z685" s="1895">
        <f>C646</f>
        <v>0</v>
      </c>
      <c r="AA685" s="1895"/>
      <c r="AB685" s="1895"/>
      <c r="AC685" s="1895"/>
      <c r="AD685" s="1895"/>
      <c r="AE685" s="1895"/>
      <c r="AF685" s="1895"/>
      <c r="AG685" s="1895"/>
      <c r="AH685" s="1895"/>
      <c r="AI685" s="1895"/>
      <c r="AJ685" s="1895"/>
      <c r="AK685" s="1895"/>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514</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894"/>
      <c r="H686" s="1894"/>
      <c r="I686" s="1894"/>
      <c r="J686" s="1894"/>
      <c r="K686" s="1894"/>
      <c r="L686" s="1894"/>
      <c r="M686" s="1894"/>
      <c r="N686" s="1894"/>
      <c r="O686" s="1894"/>
      <c r="P686" s="1894"/>
      <c r="Q686" s="1894"/>
      <c r="R686" s="1894"/>
      <c r="T686" s="35"/>
      <c r="U686" s="12" t="s">
        <v>90</v>
      </c>
      <c r="Z686" s="1894"/>
      <c r="AA686" s="1894"/>
      <c r="AB686" s="1894"/>
      <c r="AC686" s="1894"/>
      <c r="AD686" s="1894"/>
      <c r="AE686" s="1894"/>
      <c r="AF686" s="1894"/>
      <c r="AG686" s="1894"/>
      <c r="AH686" s="1894"/>
      <c r="AI686" s="1894"/>
      <c r="AJ686" s="1894"/>
      <c r="AK686" s="1894"/>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515</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604</v>
      </c>
      <c r="G687" s="1894"/>
      <c r="H687" s="1894"/>
      <c r="I687" s="1894"/>
      <c r="J687" s="1894"/>
      <c r="K687" s="1894"/>
      <c r="L687" s="1894"/>
      <c r="M687" s="1894"/>
      <c r="N687" s="1894"/>
      <c r="O687" s="1894"/>
      <c r="P687" s="1894"/>
      <c r="Q687" s="1894"/>
      <c r="R687" s="1894"/>
      <c r="T687" s="35"/>
      <c r="U687" s="12" t="s">
        <v>604</v>
      </c>
      <c r="Z687" s="1944"/>
      <c r="AA687" s="1944"/>
      <c r="AB687" s="1944"/>
      <c r="AC687" s="1944"/>
      <c r="AD687" s="1944"/>
      <c r="AE687" s="1944"/>
      <c r="AF687" s="1944"/>
      <c r="AG687" s="1944"/>
      <c r="AH687" s="1944"/>
      <c r="AI687" s="1944"/>
      <c r="AJ687" s="1944"/>
      <c r="AK687" s="194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516</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894"/>
      <c r="H688" s="1894"/>
      <c r="I688" s="1894"/>
      <c r="J688" s="1894"/>
      <c r="K688" s="1894"/>
      <c r="L688" s="1894"/>
      <c r="M688" s="1894"/>
      <c r="N688" s="1894"/>
      <c r="O688" s="1894"/>
      <c r="P688" s="1894"/>
      <c r="Q688" s="1894"/>
      <c r="R688" s="1894"/>
      <c r="T688" s="35"/>
      <c r="U688" s="12" t="s">
        <v>17</v>
      </c>
      <c r="Z688" s="1944"/>
      <c r="AA688" s="1944"/>
      <c r="AB688" s="1944"/>
      <c r="AC688" s="1944"/>
      <c r="AD688" s="1944"/>
      <c r="AE688" s="1944"/>
      <c r="AF688" s="1944"/>
      <c r="AG688" s="1944"/>
      <c r="AH688" s="1944"/>
      <c r="AI688" s="1944"/>
      <c r="AJ688" s="1944"/>
      <c r="AK688" s="194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517</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321</v>
      </c>
      <c r="G689" s="1919"/>
      <c r="H689" s="1919"/>
      <c r="I689" s="1919"/>
      <c r="J689" s="1919"/>
      <c r="K689" s="1919"/>
      <c r="L689" s="1919"/>
      <c r="O689" s="137" t="s">
        <v>211</v>
      </c>
      <c r="P689" s="1885"/>
      <c r="Q689" s="1885"/>
      <c r="R689" s="1885"/>
      <c r="T689" s="35"/>
      <c r="U689" s="12" t="s">
        <v>321</v>
      </c>
      <c r="Z689" s="1919"/>
      <c r="AA689" s="1919"/>
      <c r="AB689" s="1919"/>
      <c r="AC689" s="1919"/>
      <c r="AD689" s="1919"/>
      <c r="AE689" s="1919"/>
      <c r="AH689" s="137" t="s">
        <v>211</v>
      </c>
      <c r="AI689" s="1885"/>
      <c r="AJ689" s="1885"/>
      <c r="AK689" s="1885"/>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518</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894"/>
      <c r="I690" s="1894"/>
      <c r="J690" s="1894"/>
      <c r="K690" s="1894"/>
      <c r="L690" s="1894"/>
      <c r="M690" s="1894"/>
      <c r="N690" s="1894"/>
      <c r="O690" s="1894"/>
      <c r="P690" s="1894"/>
      <c r="Q690" s="1894"/>
      <c r="R690" s="1894"/>
      <c r="T690" s="35"/>
      <c r="U690" s="12" t="s">
        <v>18</v>
      </c>
      <c r="AA690" s="1894"/>
      <c r="AB690" s="1894"/>
      <c r="AC690" s="1894"/>
      <c r="AD690" s="1894"/>
      <c r="AE690" s="1894"/>
      <c r="AF690" s="1894"/>
      <c r="AG690" s="1894"/>
      <c r="AH690" s="1894"/>
      <c r="AI690" s="1894"/>
      <c r="AJ690" s="1894"/>
      <c r="AK690" s="1894"/>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519</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893" t="s">
        <v>693</v>
      </c>
      <c r="O691" s="1893"/>
      <c r="T691" s="35"/>
      <c r="U691" s="12" t="s">
        <v>20</v>
      </c>
      <c r="AG691" s="1893" t="s">
        <v>693</v>
      </c>
      <c r="AH691" s="189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367</v>
      </c>
      <c r="B693" s="12" t="s">
        <v>486</v>
      </c>
      <c r="G693" s="1895">
        <f>C647</f>
        <v>0</v>
      </c>
      <c r="H693" s="1895"/>
      <c r="I693" s="1895"/>
      <c r="J693" s="1895"/>
      <c r="K693" s="1895"/>
      <c r="L693" s="1895"/>
      <c r="M693" s="1895"/>
      <c r="N693" s="1895"/>
      <c r="O693" s="1895"/>
      <c r="P693" s="1895"/>
      <c r="Q693" s="1895"/>
      <c r="R693" s="1895"/>
      <c r="T693" s="87" t="s">
        <v>368</v>
      </c>
      <c r="U693" s="12" t="s">
        <v>486</v>
      </c>
      <c r="Z693" s="1895">
        <f>C648</f>
        <v>0</v>
      </c>
      <c r="AA693" s="1895"/>
      <c r="AB693" s="1895"/>
      <c r="AC693" s="1895"/>
      <c r="AD693" s="1895"/>
      <c r="AE693" s="1895"/>
      <c r="AF693" s="1895"/>
      <c r="AG693" s="1895"/>
      <c r="AH693" s="1895"/>
      <c r="AI693" s="1895"/>
      <c r="AJ693" s="1895"/>
      <c r="AK693" s="1895"/>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894"/>
      <c r="H694" s="1894"/>
      <c r="I694" s="1894"/>
      <c r="J694" s="1894"/>
      <c r="K694" s="1894"/>
      <c r="L694" s="1894"/>
      <c r="M694" s="1894"/>
      <c r="N694" s="1894"/>
      <c r="O694" s="1894"/>
      <c r="P694" s="1894"/>
      <c r="Q694" s="1894"/>
      <c r="R694" s="1894"/>
      <c r="T694" s="35"/>
      <c r="U694" s="12" t="s">
        <v>90</v>
      </c>
      <c r="Z694" s="1894"/>
      <c r="AA694" s="1894"/>
      <c r="AB694" s="1894"/>
      <c r="AC694" s="1894"/>
      <c r="AD694" s="1894"/>
      <c r="AE694" s="1894"/>
      <c r="AF694" s="1894"/>
      <c r="AG694" s="1894"/>
      <c r="AH694" s="1894"/>
      <c r="AI694" s="1894"/>
      <c r="AJ694" s="1894"/>
      <c r="AK694" s="1894"/>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604</v>
      </c>
      <c r="G695" s="1894"/>
      <c r="H695" s="1894"/>
      <c r="I695" s="1894"/>
      <c r="J695" s="1894"/>
      <c r="K695" s="1894"/>
      <c r="L695" s="1894"/>
      <c r="M695" s="1894"/>
      <c r="N695" s="1894"/>
      <c r="O695" s="1894"/>
      <c r="P695" s="1894"/>
      <c r="Q695" s="1894"/>
      <c r="R695" s="1894"/>
      <c r="U695" s="12" t="s">
        <v>604</v>
      </c>
      <c r="Z695" s="1944"/>
      <c r="AA695" s="1944"/>
      <c r="AB695" s="1944"/>
      <c r="AC695" s="1944"/>
      <c r="AD695" s="1944"/>
      <c r="AE695" s="1944"/>
      <c r="AF695" s="1944"/>
      <c r="AG695" s="1944"/>
      <c r="AH695" s="1944"/>
      <c r="AI695" s="1944"/>
      <c r="AJ695" s="1944"/>
      <c r="AK695" s="1944"/>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894"/>
      <c r="H696" s="1894"/>
      <c r="I696" s="1894"/>
      <c r="J696" s="1894"/>
      <c r="K696" s="1894"/>
      <c r="L696" s="1894"/>
      <c r="M696" s="1894"/>
      <c r="N696" s="1894"/>
      <c r="O696" s="1894"/>
      <c r="P696" s="1894"/>
      <c r="Q696" s="1894"/>
      <c r="R696" s="1894"/>
      <c r="U696" s="12" t="s">
        <v>17</v>
      </c>
      <c r="Z696" s="1944"/>
      <c r="AA696" s="1944"/>
      <c r="AB696" s="1944"/>
      <c r="AC696" s="1944"/>
      <c r="AD696" s="1944"/>
      <c r="AE696" s="1944"/>
      <c r="AF696" s="1944"/>
      <c r="AG696" s="1944"/>
      <c r="AH696" s="1944"/>
      <c r="AI696" s="1944"/>
      <c r="AJ696" s="1944"/>
      <c r="AK696" s="1944"/>
      <c r="AZ696" s="58"/>
      <c r="BA696" s="58"/>
      <c r="BB696" s="58"/>
      <c r="BC696" s="58"/>
      <c r="BD696" s="58"/>
      <c r="BF696" s="450" t="s">
        <v>948</v>
      </c>
      <c r="BG696" s="459">
        <f>SUM(BG671:BG695)</f>
        <v>72</v>
      </c>
      <c r="BH696" s="460">
        <f>SUM(BH671:BH695)</f>
        <v>0.99999999999999989</v>
      </c>
      <c r="BI696" s="460">
        <f>SUM(BI671:BI695)</f>
        <v>0.3888888888888889</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321</v>
      </c>
      <c r="G697" s="1919"/>
      <c r="H697" s="1919"/>
      <c r="I697" s="1919"/>
      <c r="J697" s="1919"/>
      <c r="K697" s="1919"/>
      <c r="L697" s="1919"/>
      <c r="O697" s="137" t="s">
        <v>211</v>
      </c>
      <c r="P697" s="1885"/>
      <c r="Q697" s="1885"/>
      <c r="R697" s="1885"/>
      <c r="U697" s="12" t="s">
        <v>321</v>
      </c>
      <c r="Z697" s="1919"/>
      <c r="AA697" s="1919"/>
      <c r="AB697" s="1919"/>
      <c r="AC697" s="1919"/>
      <c r="AD697" s="1919"/>
      <c r="AE697" s="1919"/>
      <c r="AH697" s="137" t="s">
        <v>211</v>
      </c>
      <c r="AI697" s="1885"/>
      <c r="AJ697" s="1885"/>
      <c r="AK697" s="188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894"/>
      <c r="I698" s="1894"/>
      <c r="J698" s="1894"/>
      <c r="K698" s="1894"/>
      <c r="L698" s="1894"/>
      <c r="M698" s="1894"/>
      <c r="N698" s="1894"/>
      <c r="O698" s="1894"/>
      <c r="P698" s="1894"/>
      <c r="Q698" s="1894"/>
      <c r="R698" s="1894"/>
      <c r="U698" s="12" t="s">
        <v>18</v>
      </c>
      <c r="AA698" s="1894"/>
      <c r="AB698" s="1894"/>
      <c r="AC698" s="1894"/>
      <c r="AD698" s="1894"/>
      <c r="AE698" s="1894"/>
      <c r="AF698" s="1894"/>
      <c r="AG698" s="1894"/>
      <c r="AH698" s="1894"/>
      <c r="AI698" s="1894"/>
      <c r="AJ698" s="1894"/>
      <c r="AK698" s="189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893" t="s">
        <v>693</v>
      </c>
      <c r="O699" s="1893"/>
      <c r="U699" s="12" t="s">
        <v>20</v>
      </c>
      <c r="AG699" s="1893" t="s">
        <v>693</v>
      </c>
      <c r="AH699" s="189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600</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1827</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450</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945</v>
      </c>
      <c r="BH702" s="456" t="s">
        <v>946</v>
      </c>
      <c r="BI702" s="455" t="s">
        <v>947</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451</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93" t="s">
        <v>568</v>
      </c>
      <c r="AF703" s="18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4</v>
      </c>
      <c r="BH703" s="457">
        <f>BG703/$BG$728</f>
        <v>5.5555555555555552E-2</v>
      </c>
      <c r="BI703" s="458">
        <f t="shared" ref="BI703:BI727" si="45">IF(BH703=0," ",BH703*AH728)</f>
        <v>2.0641562776755908E-2</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454</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93" t="s">
        <v>693</v>
      </c>
      <c r="AF704" s="18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17</v>
      </c>
      <c r="BH704" s="457">
        <f t="shared" ref="BH704:BH727" si="46">BG704/$BG$728</f>
        <v>0.2361111111111111</v>
      </c>
      <c r="BI704" s="458">
        <f t="shared" si="45"/>
        <v>9.3574561403508769E-2</v>
      </c>
      <c r="BJ704" s="58"/>
      <c r="BK704" s="61"/>
      <c r="BL704" s="61"/>
      <c r="BM704" s="61"/>
      <c r="BN704" s="61"/>
      <c r="BO704" s="61"/>
      <c r="BP704" s="535" t="s">
        <v>755</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058">
        <v>44782</v>
      </c>
      <c r="AF705" s="2058"/>
      <c r="AG705" s="2058"/>
      <c r="AH705" s="2058"/>
      <c r="AI705" s="20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28</v>
      </c>
      <c r="BH705" s="457">
        <f t="shared" si="46"/>
        <v>0.3888888888888889</v>
      </c>
      <c r="BI705" s="458">
        <f t="shared" si="45"/>
        <v>0.14453518253589784</v>
      </c>
      <c r="BJ705" s="58"/>
      <c r="BK705" s="58"/>
      <c r="BL705" s="58"/>
      <c r="BM705" s="58"/>
      <c r="BN705" s="61"/>
      <c r="BO705" s="61"/>
      <c r="BP705" s="535" t="s">
        <v>756</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1038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54">
        <v>44895</v>
      </c>
      <c r="AF706" s="2254"/>
      <c r="AG706" s="2254"/>
      <c r="AH706" s="2254"/>
      <c r="AI706" s="225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12</v>
      </c>
      <c r="BH706" s="457">
        <f t="shared" si="46"/>
        <v>0.16666666666666666</v>
      </c>
      <c r="BI706" s="458">
        <f t="shared" si="45"/>
        <v>5.9544297702572566E-2</v>
      </c>
      <c r="BJ706" s="58"/>
      <c r="BK706" s="58"/>
      <c r="BL706" s="58"/>
      <c r="BM706" s="58"/>
      <c r="BN706" s="61"/>
      <c r="BO706" s="61"/>
      <c r="BP706" s="535" t="s">
        <v>757</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2.7777777777777776E-2</v>
      </c>
      <c r="BI707" s="458">
        <f t="shared" si="45"/>
        <v>9.6097443170140174E-3</v>
      </c>
      <c r="BJ707" s="58"/>
      <c r="BK707" s="58"/>
      <c r="BL707" s="58"/>
      <c r="BM707" s="58"/>
      <c r="BN707" s="61"/>
      <c r="BO707" s="61"/>
      <c r="BP707" s="535" t="s">
        <v>758</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858</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058">
        <v>45061</v>
      </c>
      <c r="AF708" s="2058"/>
      <c r="AG708" s="2058"/>
      <c r="AH708" s="2058"/>
      <c r="AI708" s="20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v>
      </c>
      <c r="BH708" s="457">
        <f t="shared" si="46"/>
        <v>1.3888888888888888E-2</v>
      </c>
      <c r="BI708" s="458">
        <f t="shared" si="45"/>
        <v>4.6770356091928329E-3</v>
      </c>
      <c r="BJ708" s="58"/>
      <c r="BK708" s="58"/>
      <c r="BL708" s="58"/>
      <c r="BM708" s="58"/>
      <c r="BN708" s="58"/>
      <c r="BO708" s="58"/>
      <c r="BP708" s="535" t="s">
        <v>759</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452</v>
      </c>
      <c r="E709" s="202"/>
      <c r="F709" s="202"/>
      <c r="G709" s="202"/>
      <c r="H709" s="202"/>
      <c r="I709" s="204"/>
      <c r="J709" s="204"/>
      <c r="K709" s="204"/>
      <c r="L709" s="204"/>
      <c r="M709" s="204"/>
      <c r="N709" s="204"/>
      <c r="O709" s="204"/>
      <c r="P709" s="204"/>
      <c r="Q709" s="204"/>
      <c r="R709" s="204"/>
      <c r="S709" s="204"/>
      <c r="T709" s="204"/>
      <c r="Y709" s="204"/>
      <c r="AE709" s="2206">
        <f>'[10]4%'!$H$123</f>
        <v>0.54900000000000004</v>
      </c>
      <c r="AF709" s="2206"/>
      <c r="AG709" s="2206"/>
      <c r="AH709" s="2206"/>
      <c r="AI709" s="22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v>
      </c>
      <c r="BH709" s="457">
        <f t="shared" si="46"/>
        <v>1.3888888888888888E-2</v>
      </c>
      <c r="BI709" s="458">
        <f t="shared" si="45"/>
        <v>4.1634884312229843E-3</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453</v>
      </c>
      <c r="E710" s="202"/>
      <c r="F710" s="202"/>
      <c r="G710" s="202"/>
      <c r="H710" s="202"/>
      <c r="I710" s="204"/>
      <c r="J710" s="204"/>
      <c r="K710" s="204"/>
      <c r="L710" s="204"/>
      <c r="M710" s="204"/>
      <c r="N710" s="204"/>
      <c r="O710" s="204"/>
      <c r="P710" s="204"/>
      <c r="Q710" s="204"/>
      <c r="R710" s="204"/>
      <c r="S710" s="204"/>
      <c r="T710" s="204"/>
      <c r="W710" s="1895" t="str">
        <f>H334</f>
        <v>City and County of San Francisco</v>
      </c>
      <c r="X710" s="1895"/>
      <c r="Y710" s="1895"/>
      <c r="Z710" s="1895"/>
      <c r="AA710" s="1895"/>
      <c r="AB710" s="1895"/>
      <c r="AC710" s="1895"/>
      <c r="AD710" s="1895"/>
      <c r="AE710" s="1895"/>
      <c r="AF710" s="1895"/>
      <c r="AG710" s="1895"/>
      <c r="AH710" s="1895"/>
      <c r="AI710" s="1895"/>
      <c r="AJ710" s="1895"/>
      <c r="AK710" s="189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3</v>
      </c>
      <c r="BH710" s="457">
        <f t="shared" si="46"/>
        <v>4.1666666666666664E-2</v>
      </c>
      <c r="BI710" s="458">
        <f t="shared" si="45"/>
        <v>1.2498013034493719E-2</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4</v>
      </c>
      <c r="BH711" s="457">
        <f t="shared" si="46"/>
        <v>5.5555555555555552E-2</v>
      </c>
      <c r="BI711" s="458">
        <f t="shared" si="45"/>
        <v>1.6668959508414728E-2</v>
      </c>
      <c r="BJ711" s="58"/>
      <c r="BK711" s="58"/>
      <c r="BL711" s="58"/>
      <c r="BM711" s="58"/>
      <c r="BN711" s="58"/>
      <c r="BO711" s="58"/>
      <c r="BP711" s="535" t="s">
        <v>196</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455</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93" t="s">
        <v>693</v>
      </c>
      <c r="AF712" s="18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458</v>
      </c>
      <c r="E713" s="202"/>
      <c r="F713" s="202"/>
      <c r="G713" s="202"/>
      <c r="H713" s="202"/>
      <c r="I713" s="204"/>
      <c r="J713" s="204"/>
      <c r="K713" s="204"/>
      <c r="L713" s="204"/>
      <c r="M713" s="204"/>
      <c r="N713" s="204"/>
      <c r="O713" s="204"/>
      <c r="P713" s="204"/>
      <c r="Q713" s="204"/>
      <c r="R713" s="204"/>
      <c r="S713" s="204"/>
      <c r="T713" s="204"/>
      <c r="U713" s="204"/>
      <c r="V713" s="204"/>
      <c r="W713" s="1894" t="s">
        <v>615</v>
      </c>
      <c r="X713" s="1894"/>
      <c r="Y713" s="1894"/>
      <c r="Z713" s="1894"/>
      <c r="AA713" s="1894"/>
      <c r="AB713" s="1894"/>
      <c r="AC713" s="1894"/>
      <c r="AD713" s="1894"/>
      <c r="AE713" s="1894"/>
      <c r="AF713" s="1894"/>
      <c r="AG713" s="1894"/>
      <c r="AH713" s="1894"/>
      <c r="AI713" s="1894"/>
      <c r="AJ713" s="1894"/>
      <c r="AK713" s="189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894" t="s">
        <v>615</v>
      </c>
      <c r="K714" s="1894"/>
      <c r="L714" s="1894"/>
      <c r="M714" s="1894"/>
      <c r="N714" s="1894"/>
      <c r="O714" s="1894"/>
      <c r="P714" s="1894"/>
      <c r="Q714" s="1894"/>
      <c r="R714" s="1894"/>
      <c r="S714" s="1894"/>
      <c r="T714" s="1894"/>
      <c r="U714" s="1894"/>
      <c r="V714" s="1894"/>
      <c r="W714" s="1894"/>
      <c r="X714" s="189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1975" t="s">
        <v>615</v>
      </c>
      <c r="K715" s="1919"/>
      <c r="L715" s="1919"/>
      <c r="M715" s="1919"/>
      <c r="N715" s="1919"/>
      <c r="O715" s="1919"/>
      <c r="P715" s="7" t="s">
        <v>211</v>
      </c>
      <c r="Q715" s="7"/>
      <c r="R715" s="1973" t="s">
        <v>615</v>
      </c>
      <c r="S715" s="1885"/>
      <c r="T715" s="188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459</v>
      </c>
      <c r="W716" s="1894" t="s">
        <v>312</v>
      </c>
      <c r="X716" s="1894"/>
      <c r="Y716" s="1894"/>
      <c r="Z716" s="1894"/>
      <c r="AA716" s="1894"/>
      <c r="AB716" s="1894"/>
      <c r="AC716" s="1894"/>
      <c r="AD716" s="1894"/>
      <c r="AE716" s="1894"/>
      <c r="AF716" s="1894"/>
      <c r="AG716" s="1894"/>
      <c r="AH716" s="1894"/>
      <c r="AI716" s="1894"/>
      <c r="AJ716" s="1894"/>
      <c r="AK716" s="189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894" t="s">
        <v>339</v>
      </c>
      <c r="F717" s="1894"/>
      <c r="G717" s="1894"/>
      <c r="H717" s="1894"/>
      <c r="I717" s="1894"/>
      <c r="J717" s="1894"/>
      <c r="K717" s="1894"/>
      <c r="L717" s="1894"/>
      <c r="M717" s="1894"/>
      <c r="N717" s="1894"/>
      <c r="O717" s="1894"/>
      <c r="P717" s="1894"/>
      <c r="Q717" s="1894"/>
      <c r="R717" s="1894"/>
      <c r="S717" s="1894"/>
      <c r="T717" s="1894"/>
      <c r="U717" s="1894"/>
      <c r="V717" s="1894"/>
      <c r="W717" s="1894"/>
      <c r="X717" s="1894"/>
      <c r="Y717" s="1894"/>
      <c r="Z717" s="1894"/>
      <c r="AA717" s="1894"/>
      <c r="AB717" s="1894"/>
      <c r="AC717" s="1894"/>
      <c r="AD717" s="1894"/>
      <c r="AE717" s="1894"/>
      <c r="AF717" s="1894"/>
      <c r="AG717" s="1894"/>
      <c r="AH717" s="1894"/>
      <c r="AI717" s="1894"/>
      <c r="AJ717" s="1894"/>
      <c r="AK717" s="189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23" t="s">
        <v>100</v>
      </c>
      <c r="B719" s="1723"/>
      <c r="C719" s="1723"/>
      <c r="D719" s="1723"/>
      <c r="E719" s="1723"/>
      <c r="F719" s="1723"/>
      <c r="G719" s="1723"/>
      <c r="H719" s="1723"/>
      <c r="I719" s="1723"/>
      <c r="J719" s="1723"/>
      <c r="K719" s="1723"/>
      <c r="L719" s="1723"/>
      <c r="M719" s="1723"/>
      <c r="N719" s="1723"/>
      <c r="O719" s="1723"/>
      <c r="P719" s="1723"/>
      <c r="Q719" s="1723"/>
      <c r="R719" s="1723"/>
      <c r="S719" s="1723"/>
      <c r="T719" s="1723"/>
      <c r="U719" s="1723"/>
      <c r="V719" s="1723"/>
      <c r="W719" s="1723"/>
      <c r="X719" s="1723"/>
      <c r="Y719" s="1723"/>
      <c r="Z719" s="1723"/>
      <c r="AA719" s="1723"/>
      <c r="AB719" s="1723"/>
      <c r="AC719" s="1723"/>
      <c r="AD719" s="1723"/>
      <c r="AE719" s="1723"/>
      <c r="AF719" s="1723"/>
      <c r="AG719" s="1723"/>
      <c r="AH719" s="1723"/>
      <c r="AI719" s="1723"/>
      <c r="AJ719" s="1723"/>
      <c r="AK719" s="1723"/>
      <c r="AL719" s="1723"/>
      <c r="AM719" s="1723"/>
      <c r="AN719" s="1723"/>
      <c r="AO719" s="1723"/>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723"/>
      <c r="B720" s="1723"/>
      <c r="C720" s="1723"/>
      <c r="D720" s="1723"/>
      <c r="E720" s="1723"/>
      <c r="F720" s="1723"/>
      <c r="G720" s="1723"/>
      <c r="H720" s="1723"/>
      <c r="I720" s="1723"/>
      <c r="J720" s="1723"/>
      <c r="K720" s="1723"/>
      <c r="L720" s="1723"/>
      <c r="M720" s="1723"/>
      <c r="N720" s="1723"/>
      <c r="O720" s="1723"/>
      <c r="P720" s="1723"/>
      <c r="Q720" s="1723"/>
      <c r="R720" s="1723"/>
      <c r="S720" s="1723"/>
      <c r="T720" s="1723"/>
      <c r="U720" s="1723"/>
      <c r="V720" s="1723"/>
      <c r="W720" s="1723"/>
      <c r="X720" s="1723"/>
      <c r="Y720" s="1723"/>
      <c r="Z720" s="1723"/>
      <c r="AA720" s="1723"/>
      <c r="AB720" s="1723"/>
      <c r="AC720" s="1723"/>
      <c r="AD720" s="1723"/>
      <c r="AE720" s="1723"/>
      <c r="AF720" s="1723"/>
      <c r="AG720" s="1723"/>
      <c r="AH720" s="1723"/>
      <c r="AI720" s="1723"/>
      <c r="AJ720" s="1723"/>
      <c r="AK720" s="1723"/>
      <c r="AL720" s="1723"/>
      <c r="AM720" s="1723"/>
      <c r="AN720" s="1723"/>
      <c r="AO720" s="1723"/>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23"/>
      <c r="B721" s="1723"/>
      <c r="C721" s="1723"/>
      <c r="D721" s="1723"/>
      <c r="E721" s="1723"/>
      <c r="F721" s="1723"/>
      <c r="G721" s="1723"/>
      <c r="H721" s="1723"/>
      <c r="I721" s="1723"/>
      <c r="J721" s="1723"/>
      <c r="K721" s="1723"/>
      <c r="L721" s="1723"/>
      <c r="M721" s="1723"/>
      <c r="N721" s="1723"/>
      <c r="O721" s="1723"/>
      <c r="P721" s="1723"/>
      <c r="Q721" s="1723"/>
      <c r="R721" s="1723"/>
      <c r="S721" s="1723"/>
      <c r="T721" s="1723"/>
      <c r="U721" s="1723"/>
      <c r="V721" s="1723"/>
      <c r="W721" s="1723"/>
      <c r="X721" s="1723"/>
      <c r="Y721" s="1723"/>
      <c r="Z721" s="1723"/>
      <c r="AA721" s="1723"/>
      <c r="AB721" s="1723"/>
      <c r="AC721" s="1723"/>
      <c r="AD721" s="1723"/>
      <c r="AE721" s="1723"/>
      <c r="AF721" s="1723"/>
      <c r="AG721" s="1723"/>
      <c r="AH721" s="1723"/>
      <c r="AI721" s="1723"/>
      <c r="AJ721" s="1723"/>
      <c r="AK721" s="1723"/>
      <c r="AL721" s="1723"/>
      <c r="AM721" s="1723"/>
      <c r="AN721" s="1723"/>
      <c r="AO721" s="172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1984" t="s">
        <v>402</v>
      </c>
      <c r="C724" s="1985"/>
      <c r="D724" s="1985"/>
      <c r="E724" s="1985"/>
      <c r="F724" s="1986"/>
      <c r="G724" s="1984" t="s">
        <v>290</v>
      </c>
      <c r="H724" s="1985"/>
      <c r="I724" s="1985"/>
      <c r="J724" s="1986"/>
      <c r="K724" s="2106" t="s">
        <v>1985</v>
      </c>
      <c r="L724" s="2107"/>
      <c r="M724" s="2107"/>
      <c r="N724" s="2108"/>
      <c r="O724" s="1984" t="s">
        <v>469</v>
      </c>
      <c r="P724" s="1985"/>
      <c r="Q724" s="1985"/>
      <c r="R724" s="1985"/>
      <c r="S724" s="1986"/>
      <c r="T724" s="2207" t="s">
        <v>2396</v>
      </c>
      <c r="U724" s="1985"/>
      <c r="V724" s="1985"/>
      <c r="W724" s="1986"/>
      <c r="X724" s="2207" t="s">
        <v>2398</v>
      </c>
      <c r="Y724" s="1985"/>
      <c r="Z724" s="1985"/>
      <c r="AA724" s="1985"/>
      <c r="AB724" s="1986"/>
      <c r="AC724" s="2207" t="s">
        <v>2397</v>
      </c>
      <c r="AD724" s="1985"/>
      <c r="AE724" s="1985"/>
      <c r="AF724" s="1985"/>
      <c r="AG724" s="1986"/>
      <c r="AH724" s="2207" t="s">
        <v>2399</v>
      </c>
      <c r="AI724" s="1985"/>
      <c r="AJ724" s="1986"/>
      <c r="AK724" s="2207" t="s">
        <v>2435</v>
      </c>
      <c r="AL724" s="1985"/>
      <c r="AM724" s="1985"/>
      <c r="AN724" s="1985"/>
      <c r="AO724" s="1986"/>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1987"/>
      <c r="C725" s="1988"/>
      <c r="D725" s="1988"/>
      <c r="E725" s="1988"/>
      <c r="F725" s="1989"/>
      <c r="G725" s="1987"/>
      <c r="H725" s="1988"/>
      <c r="I725" s="1988"/>
      <c r="J725" s="1989"/>
      <c r="K725" s="2109"/>
      <c r="L725" s="2110"/>
      <c r="M725" s="2110"/>
      <c r="N725" s="2111"/>
      <c r="O725" s="1987"/>
      <c r="P725" s="1988"/>
      <c r="Q725" s="1988"/>
      <c r="R725" s="1988"/>
      <c r="S725" s="1989"/>
      <c r="T725" s="1987"/>
      <c r="U725" s="1988"/>
      <c r="V725" s="1988"/>
      <c r="W725" s="1989"/>
      <c r="X725" s="1987"/>
      <c r="Y725" s="1988"/>
      <c r="Z725" s="1988"/>
      <c r="AA725" s="1988"/>
      <c r="AB725" s="1989"/>
      <c r="AC725" s="1987"/>
      <c r="AD725" s="1988"/>
      <c r="AE725" s="1988"/>
      <c r="AF725" s="1988"/>
      <c r="AG725" s="1989"/>
      <c r="AH725" s="1987"/>
      <c r="AI725" s="1988"/>
      <c r="AJ725" s="1989"/>
      <c r="AK725" s="1987"/>
      <c r="AL725" s="1988"/>
      <c r="AM725" s="1988"/>
      <c r="AN725" s="1988"/>
      <c r="AO725" s="1989"/>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1987"/>
      <c r="C726" s="1988"/>
      <c r="D726" s="1988"/>
      <c r="E726" s="1988"/>
      <c r="F726" s="1989"/>
      <c r="G726" s="1987"/>
      <c r="H726" s="1988"/>
      <c r="I726" s="1988"/>
      <c r="J726" s="1989"/>
      <c r="K726" s="2109"/>
      <c r="L726" s="2110"/>
      <c r="M726" s="2110"/>
      <c r="N726" s="2111"/>
      <c r="O726" s="1987"/>
      <c r="P726" s="1988"/>
      <c r="Q726" s="1988"/>
      <c r="R726" s="1988"/>
      <c r="S726" s="1989"/>
      <c r="T726" s="1987"/>
      <c r="U726" s="1988"/>
      <c r="V726" s="1988"/>
      <c r="W726" s="1989"/>
      <c r="X726" s="1987"/>
      <c r="Y726" s="1988"/>
      <c r="Z726" s="1988"/>
      <c r="AA726" s="1988"/>
      <c r="AB726" s="1989"/>
      <c r="AC726" s="1987"/>
      <c r="AD726" s="1988"/>
      <c r="AE726" s="1988"/>
      <c r="AF726" s="1988"/>
      <c r="AG726" s="1989"/>
      <c r="AH726" s="1987"/>
      <c r="AI726" s="1988"/>
      <c r="AJ726" s="1989"/>
      <c r="AK726" s="1987"/>
      <c r="AL726" s="1988"/>
      <c r="AM726" s="1988"/>
      <c r="AN726" s="1988"/>
      <c r="AO726" s="1989"/>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1990"/>
      <c r="C727" s="1991"/>
      <c r="D727" s="1991"/>
      <c r="E727" s="1991"/>
      <c r="F727" s="1992"/>
      <c r="G727" s="1990"/>
      <c r="H727" s="1991"/>
      <c r="I727" s="1991"/>
      <c r="J727" s="1992"/>
      <c r="K727" s="2109"/>
      <c r="L727" s="2110"/>
      <c r="M727" s="2110"/>
      <c r="N727" s="2111"/>
      <c r="O727" s="1990"/>
      <c r="P727" s="1991"/>
      <c r="Q727" s="1991"/>
      <c r="R727" s="1991"/>
      <c r="S727" s="1992"/>
      <c r="T727" s="1990"/>
      <c r="U727" s="1991"/>
      <c r="V727" s="1991"/>
      <c r="W727" s="1992"/>
      <c r="X727" s="1990"/>
      <c r="Y727" s="1991"/>
      <c r="Z727" s="1991"/>
      <c r="AA727" s="1991"/>
      <c r="AB727" s="1992"/>
      <c r="AC727" s="1990"/>
      <c r="AD727" s="1991"/>
      <c r="AE727" s="1991"/>
      <c r="AF727" s="1991"/>
      <c r="AG727" s="1992"/>
      <c r="AH727" s="1990"/>
      <c r="AI727" s="1991"/>
      <c r="AJ727" s="1992"/>
      <c r="AK727" s="1990"/>
      <c r="AL727" s="1991"/>
      <c r="AM727" s="1991"/>
      <c r="AN727" s="1991"/>
      <c r="AO727" s="1992"/>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902" t="s">
        <v>329</v>
      </c>
      <c r="C728" s="1903"/>
      <c r="D728" s="1903"/>
      <c r="E728" s="1903"/>
      <c r="F728" s="1904"/>
      <c r="G728" s="2129">
        <v>4</v>
      </c>
      <c r="H728" s="2130"/>
      <c r="I728" s="2130"/>
      <c r="J728" s="2131"/>
      <c r="K728" s="1931">
        <v>387</v>
      </c>
      <c r="L728" s="1932"/>
      <c r="M728" s="1932"/>
      <c r="N728" s="1933"/>
      <c r="O728" s="1922">
        <f>'[10]4%'!$S$13</f>
        <v>1171.1200000000001</v>
      </c>
      <c r="P728" s="1923"/>
      <c r="Q728" s="1923"/>
      <c r="R728" s="1923"/>
      <c r="S728" s="1924"/>
      <c r="T728" s="1922">
        <v>40.869999999999997</v>
      </c>
      <c r="U728" s="1923"/>
      <c r="V728" s="1923"/>
      <c r="W728" s="1924"/>
      <c r="X728" s="2092">
        <f t="shared" ref="X728:X752" si="47">O728+T728</f>
        <v>1211.99</v>
      </c>
      <c r="Y728" s="2093"/>
      <c r="Z728" s="2093"/>
      <c r="AA728" s="2093"/>
      <c r="AB728" s="2094"/>
      <c r="AC728" s="2120">
        <v>0.4</v>
      </c>
      <c r="AD728" s="2121"/>
      <c r="AE728" s="2121"/>
      <c r="AF728" s="2121"/>
      <c r="AG728" s="2122"/>
      <c r="AH728" s="2208">
        <f t="shared" ref="AH728:AH752" si="48">IF($AC728&gt;0,($X728/$BA670), " ")</f>
        <v>0.37154812998160636</v>
      </c>
      <c r="AI728" s="2209"/>
      <c r="AJ728" s="2210"/>
      <c r="AK728" s="1902" t="s">
        <v>615</v>
      </c>
      <c r="AL728" s="1903"/>
      <c r="AM728" s="1903"/>
      <c r="AN728" s="1903"/>
      <c r="AO728" s="1904"/>
      <c r="AP728" s="239"/>
      <c r="AQ728" s="239"/>
      <c r="AR728" s="239"/>
      <c r="AS728" s="239"/>
      <c r="AY728" s="1201"/>
      <c r="AZ728" s="1201"/>
      <c r="BA728" s="1201"/>
      <c r="BB728" s="1201"/>
      <c r="BC728" s="1201"/>
      <c r="BD728" s="58"/>
      <c r="BE728" s="58"/>
      <c r="BF728" s="58"/>
      <c r="BG728" s="918">
        <f>SUM(BG703:BG727)</f>
        <v>72</v>
      </c>
      <c r="BH728" s="460">
        <f>SUM(BH703:BH727)</f>
        <v>0.99999999999999989</v>
      </c>
      <c r="BI728" s="460">
        <f>SUM(BI703:BI727)</f>
        <v>0.36591284531907342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1902" t="s">
        <v>330</v>
      </c>
      <c r="C729" s="1903"/>
      <c r="D729" s="1903"/>
      <c r="E729" s="1903"/>
      <c r="F729" s="1904"/>
      <c r="G729" s="2129">
        <v>17</v>
      </c>
      <c r="H729" s="2130"/>
      <c r="I729" s="2130"/>
      <c r="J729" s="2131"/>
      <c r="K729" s="1931">
        <v>491</v>
      </c>
      <c r="L729" s="1932"/>
      <c r="M729" s="1932"/>
      <c r="N729" s="1933"/>
      <c r="O729" s="1922">
        <f>'[10]4%'!$S$15</f>
        <v>1337.28</v>
      </c>
      <c r="P729" s="1923"/>
      <c r="Q729" s="1923"/>
      <c r="R729" s="1923"/>
      <c r="S729" s="1924"/>
      <c r="T729" s="1922">
        <v>48.24</v>
      </c>
      <c r="U729" s="1923"/>
      <c r="V729" s="1923"/>
      <c r="W729" s="1924"/>
      <c r="X729" s="2092">
        <f t="shared" si="47"/>
        <v>1385.52</v>
      </c>
      <c r="Y729" s="2093"/>
      <c r="Z729" s="2093"/>
      <c r="AA729" s="2093"/>
      <c r="AB729" s="2094"/>
      <c r="AC729" s="2120">
        <v>0.4</v>
      </c>
      <c r="AD729" s="2121"/>
      <c r="AE729" s="2121"/>
      <c r="AF729" s="2121"/>
      <c r="AG729" s="2122"/>
      <c r="AH729" s="2208">
        <f t="shared" si="48"/>
        <v>0.39631578947368423</v>
      </c>
      <c r="AI729" s="2209"/>
      <c r="AJ729" s="2210"/>
      <c r="AK729" s="1902" t="s">
        <v>615</v>
      </c>
      <c r="AL729" s="1903"/>
      <c r="AM729" s="1903"/>
      <c r="AN729" s="1903"/>
      <c r="AO729" s="1904"/>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1902" t="s">
        <v>168</v>
      </c>
      <c r="C730" s="1903"/>
      <c r="D730" s="1903"/>
      <c r="E730" s="1903"/>
      <c r="F730" s="1904"/>
      <c r="G730" s="2129">
        <v>28</v>
      </c>
      <c r="H730" s="2130"/>
      <c r="I730" s="2130"/>
      <c r="J730" s="2131"/>
      <c r="K730" s="1931">
        <v>730</v>
      </c>
      <c r="L730" s="1932"/>
      <c r="M730" s="1932"/>
      <c r="N730" s="1933"/>
      <c r="O730" s="1922">
        <f>'[10]4%'!$S$19</f>
        <v>1494.96</v>
      </c>
      <c r="P730" s="1923"/>
      <c r="Q730" s="1923"/>
      <c r="R730" s="1923"/>
      <c r="S730" s="1924"/>
      <c r="T730" s="1922">
        <v>63.79</v>
      </c>
      <c r="U730" s="1923"/>
      <c r="V730" s="1923"/>
      <c r="W730" s="1924"/>
      <c r="X730" s="2092">
        <f t="shared" si="47"/>
        <v>1558.75</v>
      </c>
      <c r="Y730" s="2093"/>
      <c r="Z730" s="2093"/>
      <c r="AA730" s="2093"/>
      <c r="AB730" s="2094"/>
      <c r="AC730" s="2120">
        <v>0.4</v>
      </c>
      <c r="AD730" s="2121"/>
      <c r="AE730" s="2121"/>
      <c r="AF730" s="2121"/>
      <c r="AG730" s="2122"/>
      <c r="AH730" s="2208">
        <f t="shared" si="48"/>
        <v>0.37166189794945159</v>
      </c>
      <c r="AI730" s="2209"/>
      <c r="AJ730" s="2210"/>
      <c r="AK730" s="1902" t="s">
        <v>615</v>
      </c>
      <c r="AL730" s="1903"/>
      <c r="AM730" s="1903"/>
      <c r="AN730" s="1903"/>
      <c r="AO730" s="1904"/>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11" t="s">
        <v>169</v>
      </c>
      <c r="C731" s="1903"/>
      <c r="D731" s="1903"/>
      <c r="E731" s="1903"/>
      <c r="F731" s="1904"/>
      <c r="G731" s="2129">
        <v>12</v>
      </c>
      <c r="H731" s="2130"/>
      <c r="I731" s="2130"/>
      <c r="J731" s="2131"/>
      <c r="K731" s="1931">
        <v>1013</v>
      </c>
      <c r="L731" s="1932"/>
      <c r="M731" s="1932"/>
      <c r="N731" s="1933"/>
      <c r="O731" s="1922">
        <f>'[10]4%'!$S$23</f>
        <v>1657.6000000000001</v>
      </c>
      <c r="P731" s="1923"/>
      <c r="Q731" s="1923"/>
      <c r="R731" s="1923"/>
      <c r="S731" s="1924"/>
      <c r="T731" s="1922">
        <v>73.709999999999994</v>
      </c>
      <c r="U731" s="1923"/>
      <c r="V731" s="1923"/>
      <c r="W731" s="1924"/>
      <c r="X731" s="2092">
        <f t="shared" si="47"/>
        <v>1731.3100000000002</v>
      </c>
      <c r="Y731" s="2093"/>
      <c r="Z731" s="2093"/>
      <c r="AA731" s="2093"/>
      <c r="AB731" s="2094"/>
      <c r="AC731" s="2120">
        <v>0.4</v>
      </c>
      <c r="AD731" s="2121"/>
      <c r="AE731" s="2121"/>
      <c r="AF731" s="2121"/>
      <c r="AG731" s="2122"/>
      <c r="AH731" s="2208">
        <f t="shared" si="48"/>
        <v>0.35726578621543542</v>
      </c>
      <c r="AI731" s="2209"/>
      <c r="AJ731" s="2210"/>
      <c r="AK731" s="1902" t="s">
        <v>615</v>
      </c>
      <c r="AL731" s="1903"/>
      <c r="AM731" s="1903"/>
      <c r="AN731" s="1903"/>
      <c r="AO731" s="1904"/>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11" t="s">
        <v>170</v>
      </c>
      <c r="C732" s="1903"/>
      <c r="D732" s="1903"/>
      <c r="E732" s="1903"/>
      <c r="F732" s="1904"/>
      <c r="G732" s="2129">
        <v>2</v>
      </c>
      <c r="H732" s="2130"/>
      <c r="I732" s="2130"/>
      <c r="J732" s="2131"/>
      <c r="K732" s="1931">
        <v>1383</v>
      </c>
      <c r="L732" s="1932"/>
      <c r="M732" s="1932"/>
      <c r="N732" s="1933"/>
      <c r="O732" s="1922">
        <f>'[10]4%'!$S$26</f>
        <v>1778.92</v>
      </c>
      <c r="P732" s="1923"/>
      <c r="Q732" s="1923"/>
      <c r="R732" s="1923"/>
      <c r="S732" s="1924"/>
      <c r="T732" s="1922">
        <v>91.29</v>
      </c>
      <c r="U732" s="1923"/>
      <c r="V732" s="1923"/>
      <c r="W732" s="1924"/>
      <c r="X732" s="2092">
        <f t="shared" si="47"/>
        <v>1870.21</v>
      </c>
      <c r="Y732" s="2093"/>
      <c r="Z732" s="2093"/>
      <c r="AA732" s="2093"/>
      <c r="AB732" s="2094"/>
      <c r="AC732" s="2120">
        <v>0.4</v>
      </c>
      <c r="AD732" s="2121"/>
      <c r="AE732" s="2121"/>
      <c r="AF732" s="2121"/>
      <c r="AG732" s="2122"/>
      <c r="AH732" s="2208">
        <f t="shared" si="48"/>
        <v>0.34595079541250462</v>
      </c>
      <c r="AI732" s="2209"/>
      <c r="AJ732" s="2210"/>
      <c r="AK732" s="1902" t="s">
        <v>615</v>
      </c>
      <c r="AL732" s="1903"/>
      <c r="AM732" s="1903"/>
      <c r="AN732" s="1903"/>
      <c r="AO732" s="1904"/>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1902" t="s">
        <v>31</v>
      </c>
      <c r="C733" s="1903"/>
      <c r="D733" s="1903"/>
      <c r="E733" s="1903"/>
      <c r="F733" s="1904"/>
      <c r="G733" s="2129">
        <v>1</v>
      </c>
      <c r="H733" s="2130"/>
      <c r="I733" s="2130"/>
      <c r="J733" s="2131"/>
      <c r="K733" s="1931">
        <v>1383</v>
      </c>
      <c r="L733" s="1932"/>
      <c r="M733" s="1932"/>
      <c r="N733" s="1933"/>
      <c r="O733" s="1922">
        <f>'[10]4%'!$S$27</f>
        <v>1907.76</v>
      </c>
      <c r="P733" s="1923"/>
      <c r="Q733" s="1923"/>
      <c r="R733" s="1923"/>
      <c r="S733" s="1924"/>
      <c r="T733" s="1922">
        <v>101.27</v>
      </c>
      <c r="U733" s="1923"/>
      <c r="V733" s="1923"/>
      <c r="W733" s="1924"/>
      <c r="X733" s="2092">
        <f t="shared" si="47"/>
        <v>2009.03</v>
      </c>
      <c r="Y733" s="2093"/>
      <c r="Z733" s="2093"/>
      <c r="AA733" s="2093"/>
      <c r="AB733" s="2094"/>
      <c r="AC733" s="2120">
        <v>0.4</v>
      </c>
      <c r="AD733" s="2121"/>
      <c r="AE733" s="2121"/>
      <c r="AF733" s="2121"/>
      <c r="AG733" s="2122"/>
      <c r="AH733" s="2208">
        <f t="shared" si="48"/>
        <v>0.33674656386188401</v>
      </c>
      <c r="AI733" s="2209"/>
      <c r="AJ733" s="2210"/>
      <c r="AK733" s="1902" t="s">
        <v>615</v>
      </c>
      <c r="AL733" s="1903"/>
      <c r="AM733" s="1903"/>
      <c r="AN733" s="1903"/>
      <c r="AO733" s="1904"/>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1902" t="s">
        <v>330</v>
      </c>
      <c r="C734" s="1903"/>
      <c r="D734" s="1903"/>
      <c r="E734" s="1903"/>
      <c r="F734" s="1904"/>
      <c r="G734" s="2129">
        <v>1</v>
      </c>
      <c r="H734" s="2130"/>
      <c r="I734" s="2130"/>
      <c r="J734" s="2131"/>
      <c r="K734" s="1931">
        <v>491</v>
      </c>
      <c r="L734" s="1932"/>
      <c r="M734" s="1932"/>
      <c r="N734" s="1933"/>
      <c r="O734" s="1922">
        <v>1000</v>
      </c>
      <c r="P734" s="1923"/>
      <c r="Q734" s="1923"/>
      <c r="R734" s="1923"/>
      <c r="S734" s="1924"/>
      <c r="T734" s="1922">
        <v>48</v>
      </c>
      <c r="U734" s="1923"/>
      <c r="V734" s="1923"/>
      <c r="W734" s="1924"/>
      <c r="X734" s="2092">
        <f t="shared" si="47"/>
        <v>1048</v>
      </c>
      <c r="Y734" s="2093"/>
      <c r="Z734" s="2093"/>
      <c r="AA734" s="2093"/>
      <c r="AB734" s="2094"/>
      <c r="AC734" s="2120">
        <v>0.3</v>
      </c>
      <c r="AD734" s="2121"/>
      <c r="AE734" s="2121"/>
      <c r="AF734" s="2121"/>
      <c r="AG734" s="2122"/>
      <c r="AH734" s="2208">
        <f t="shared" si="48"/>
        <v>0.2997711670480549</v>
      </c>
      <c r="AI734" s="2209"/>
      <c r="AJ734" s="2210"/>
      <c r="AK734" s="1902" t="s">
        <v>615</v>
      </c>
      <c r="AL734" s="1903"/>
      <c r="AM734" s="1903"/>
      <c r="AN734" s="1903"/>
      <c r="AO734" s="1904"/>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1902" t="s">
        <v>168</v>
      </c>
      <c r="C735" s="1903"/>
      <c r="D735" s="1903"/>
      <c r="E735" s="1903"/>
      <c r="F735" s="1904"/>
      <c r="G735" s="2129">
        <v>3</v>
      </c>
      <c r="H735" s="2130"/>
      <c r="I735" s="2130"/>
      <c r="J735" s="2131"/>
      <c r="K735" s="1931">
        <v>730</v>
      </c>
      <c r="L735" s="1932"/>
      <c r="M735" s="1932"/>
      <c r="N735" s="1933"/>
      <c r="O735" s="1922">
        <v>1194</v>
      </c>
      <c r="P735" s="1923"/>
      <c r="Q735" s="1923"/>
      <c r="R735" s="1923"/>
      <c r="S735" s="1924"/>
      <c r="T735" s="1922">
        <v>64</v>
      </c>
      <c r="U735" s="1923"/>
      <c r="V735" s="1923"/>
      <c r="W735" s="1924"/>
      <c r="X735" s="2092">
        <f t="shared" si="47"/>
        <v>1258</v>
      </c>
      <c r="Y735" s="2093"/>
      <c r="Z735" s="2093"/>
      <c r="AA735" s="2093"/>
      <c r="AB735" s="2094"/>
      <c r="AC735" s="2120">
        <v>0.3</v>
      </c>
      <c r="AD735" s="2121"/>
      <c r="AE735" s="2121"/>
      <c r="AF735" s="2121"/>
      <c r="AG735" s="2122"/>
      <c r="AH735" s="2208">
        <f t="shared" si="48"/>
        <v>0.29995231282784929</v>
      </c>
      <c r="AI735" s="2209"/>
      <c r="AJ735" s="2210"/>
      <c r="AK735" s="1902" t="s">
        <v>615</v>
      </c>
      <c r="AL735" s="1903"/>
      <c r="AM735" s="1903"/>
      <c r="AN735" s="1903"/>
      <c r="AO735" s="1904"/>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1902" t="s">
        <v>169</v>
      </c>
      <c r="C736" s="1903"/>
      <c r="D736" s="1903"/>
      <c r="E736" s="1903"/>
      <c r="F736" s="1904"/>
      <c r="G736" s="2129">
        <v>4</v>
      </c>
      <c r="H736" s="2130"/>
      <c r="I736" s="2130"/>
      <c r="J736" s="2131"/>
      <c r="K736" s="1931">
        <v>1013</v>
      </c>
      <c r="L736" s="1932"/>
      <c r="M736" s="1932"/>
      <c r="N736" s="1933"/>
      <c r="O736" s="1922">
        <v>1380</v>
      </c>
      <c r="P736" s="1923"/>
      <c r="Q736" s="1923"/>
      <c r="R736" s="1923"/>
      <c r="S736" s="1924"/>
      <c r="T736" s="1922">
        <v>74</v>
      </c>
      <c r="U736" s="1923"/>
      <c r="V736" s="1923"/>
      <c r="W736" s="1924"/>
      <c r="X736" s="2092">
        <f t="shared" si="47"/>
        <v>1454</v>
      </c>
      <c r="Y736" s="2093"/>
      <c r="Z736" s="2093"/>
      <c r="AA736" s="2093"/>
      <c r="AB736" s="2094"/>
      <c r="AC736" s="2120">
        <v>0.3</v>
      </c>
      <c r="AD736" s="2121"/>
      <c r="AE736" s="2121"/>
      <c r="AF736" s="2121"/>
      <c r="AG736" s="2122"/>
      <c r="AH736" s="2208">
        <f t="shared" si="48"/>
        <v>0.30004127115146512</v>
      </c>
      <c r="AI736" s="2209"/>
      <c r="AJ736" s="2210"/>
      <c r="AK736" s="1902" t="s">
        <v>615</v>
      </c>
      <c r="AL736" s="1903"/>
      <c r="AM736" s="1903"/>
      <c r="AN736" s="1903"/>
      <c r="AO736" s="1904"/>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1902"/>
      <c r="C737" s="1903"/>
      <c r="D737" s="1903"/>
      <c r="E737" s="1903"/>
      <c r="F737" s="1904"/>
      <c r="G737" s="2129"/>
      <c r="H737" s="2130"/>
      <c r="I737" s="2130"/>
      <c r="J737" s="2131"/>
      <c r="K737" s="1931"/>
      <c r="L737" s="1932"/>
      <c r="M737" s="1932"/>
      <c r="N737" s="1933"/>
      <c r="O737" s="1922"/>
      <c r="P737" s="1923"/>
      <c r="Q737" s="1923"/>
      <c r="R737" s="1923"/>
      <c r="S737" s="1924"/>
      <c r="T737" s="1922"/>
      <c r="U737" s="1923"/>
      <c r="V737" s="1923"/>
      <c r="W737" s="1924"/>
      <c r="X737" s="2092">
        <f t="shared" si="47"/>
        <v>0</v>
      </c>
      <c r="Y737" s="2093"/>
      <c r="Z737" s="2093"/>
      <c r="AA737" s="2093"/>
      <c r="AB737" s="2094"/>
      <c r="AC737" s="2120"/>
      <c r="AD737" s="2121"/>
      <c r="AE737" s="2121"/>
      <c r="AF737" s="2121"/>
      <c r="AG737" s="2122"/>
      <c r="AH737" s="2208" t="str">
        <f t="shared" si="48"/>
        <v xml:space="preserve"> </v>
      </c>
      <c r="AI737" s="2209"/>
      <c r="AJ737" s="2210"/>
      <c r="AK737" s="1902"/>
      <c r="AL737" s="1903"/>
      <c r="AM737" s="1903"/>
      <c r="AN737" s="1903"/>
      <c r="AO737" s="1904"/>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1902"/>
      <c r="C738" s="1903"/>
      <c r="D738" s="1903"/>
      <c r="E738" s="1903"/>
      <c r="F738" s="1904"/>
      <c r="G738" s="2129"/>
      <c r="H738" s="2130"/>
      <c r="I738" s="2130"/>
      <c r="J738" s="2131"/>
      <c r="K738" s="1931"/>
      <c r="L738" s="1932"/>
      <c r="M738" s="1932"/>
      <c r="N738" s="1933"/>
      <c r="O738" s="1922"/>
      <c r="P738" s="1923"/>
      <c r="Q738" s="1923"/>
      <c r="R738" s="1923"/>
      <c r="S738" s="1924"/>
      <c r="T738" s="1922"/>
      <c r="U738" s="1923"/>
      <c r="V738" s="1923"/>
      <c r="W738" s="1924"/>
      <c r="X738" s="2092">
        <f t="shared" si="47"/>
        <v>0</v>
      </c>
      <c r="Y738" s="2093"/>
      <c r="Z738" s="2093"/>
      <c r="AA738" s="2093"/>
      <c r="AB738" s="2094"/>
      <c r="AC738" s="2120"/>
      <c r="AD738" s="2121"/>
      <c r="AE738" s="2121"/>
      <c r="AF738" s="2121"/>
      <c r="AG738" s="2122"/>
      <c r="AH738" s="2208" t="str">
        <f t="shared" si="48"/>
        <v xml:space="preserve"> </v>
      </c>
      <c r="AI738" s="2209"/>
      <c r="AJ738" s="2210"/>
      <c r="AK738" s="1902"/>
      <c r="AL738" s="1903"/>
      <c r="AM738" s="1903"/>
      <c r="AN738" s="1903"/>
      <c r="AO738" s="1904"/>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1902"/>
      <c r="C739" s="1903"/>
      <c r="D739" s="1903"/>
      <c r="E739" s="1903"/>
      <c r="F739" s="1904"/>
      <c r="G739" s="2129"/>
      <c r="H739" s="2130"/>
      <c r="I739" s="2130"/>
      <c r="J739" s="2131"/>
      <c r="K739" s="1931"/>
      <c r="L739" s="1932"/>
      <c r="M739" s="1932"/>
      <c r="N739" s="1933"/>
      <c r="O739" s="1922"/>
      <c r="P739" s="1923"/>
      <c r="Q739" s="1923"/>
      <c r="R739" s="1923"/>
      <c r="S739" s="1924"/>
      <c r="T739" s="1922"/>
      <c r="U739" s="1923"/>
      <c r="V739" s="1923"/>
      <c r="W739" s="1924"/>
      <c r="X739" s="2092">
        <f t="shared" si="47"/>
        <v>0</v>
      </c>
      <c r="Y739" s="2093"/>
      <c r="Z739" s="2093"/>
      <c r="AA739" s="2093"/>
      <c r="AB739" s="2094"/>
      <c r="AC739" s="2120"/>
      <c r="AD739" s="2121"/>
      <c r="AE739" s="2121"/>
      <c r="AF739" s="2121"/>
      <c r="AG739" s="2122"/>
      <c r="AH739" s="2208" t="str">
        <f t="shared" si="48"/>
        <v xml:space="preserve"> </v>
      </c>
      <c r="AI739" s="2209"/>
      <c r="AJ739" s="2210"/>
      <c r="AK739" s="1902"/>
      <c r="AL739" s="1903"/>
      <c r="AM739" s="1903"/>
      <c r="AN739" s="1903"/>
      <c r="AO739" s="1904"/>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1902"/>
      <c r="C740" s="1903"/>
      <c r="D740" s="1903"/>
      <c r="E740" s="1903"/>
      <c r="F740" s="1904"/>
      <c r="G740" s="2129"/>
      <c r="H740" s="2130"/>
      <c r="I740" s="2130"/>
      <c r="J740" s="2131"/>
      <c r="K740" s="1931"/>
      <c r="L740" s="1932"/>
      <c r="M740" s="1932"/>
      <c r="N740" s="1933"/>
      <c r="O740" s="1922"/>
      <c r="P740" s="1923"/>
      <c r="Q740" s="1923"/>
      <c r="R740" s="1923"/>
      <c r="S740" s="1924"/>
      <c r="T740" s="1922"/>
      <c r="U740" s="1923"/>
      <c r="V740" s="1923"/>
      <c r="W740" s="1924"/>
      <c r="X740" s="2092">
        <f t="shared" si="47"/>
        <v>0</v>
      </c>
      <c r="Y740" s="2093"/>
      <c r="Z740" s="2093"/>
      <c r="AA740" s="2093"/>
      <c r="AB740" s="2094"/>
      <c r="AC740" s="2120"/>
      <c r="AD740" s="2121"/>
      <c r="AE740" s="2121"/>
      <c r="AF740" s="2121"/>
      <c r="AG740" s="2122"/>
      <c r="AH740" s="2208" t="str">
        <f t="shared" si="48"/>
        <v xml:space="preserve"> </v>
      </c>
      <c r="AI740" s="2209"/>
      <c r="AJ740" s="2210"/>
      <c r="AK740" s="1902"/>
      <c r="AL740" s="1903"/>
      <c r="AM740" s="1903"/>
      <c r="AN740" s="1903"/>
      <c r="AO740" s="1904"/>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1902"/>
      <c r="C741" s="1903"/>
      <c r="D741" s="1903"/>
      <c r="E741" s="1903"/>
      <c r="F741" s="1904"/>
      <c r="G741" s="2129"/>
      <c r="H741" s="2130"/>
      <c r="I741" s="2130"/>
      <c r="J741" s="2131"/>
      <c r="K741" s="1931"/>
      <c r="L741" s="1932"/>
      <c r="M741" s="1932"/>
      <c r="N741" s="1933"/>
      <c r="O741" s="1922"/>
      <c r="P741" s="1923"/>
      <c r="Q741" s="1923"/>
      <c r="R741" s="1923"/>
      <c r="S741" s="1924"/>
      <c r="T741" s="1922"/>
      <c r="U741" s="1923"/>
      <c r="V741" s="1923"/>
      <c r="W741" s="1924"/>
      <c r="X741" s="2092">
        <f t="shared" si="47"/>
        <v>0</v>
      </c>
      <c r="Y741" s="2093"/>
      <c r="Z741" s="2093"/>
      <c r="AA741" s="2093"/>
      <c r="AB741" s="2094"/>
      <c r="AC741" s="2120">
        <v>0</v>
      </c>
      <c r="AD741" s="2121"/>
      <c r="AE741" s="2121"/>
      <c r="AF741" s="2121"/>
      <c r="AG741" s="2122"/>
      <c r="AH741" s="2208" t="str">
        <f t="shared" si="48"/>
        <v xml:space="preserve"> </v>
      </c>
      <c r="AI741" s="2209"/>
      <c r="AJ741" s="2210"/>
      <c r="AK741" s="1902"/>
      <c r="AL741" s="1903"/>
      <c r="AM741" s="1903"/>
      <c r="AN741" s="1903"/>
      <c r="AO741" s="1904"/>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1902"/>
      <c r="C742" s="1903"/>
      <c r="D742" s="1903"/>
      <c r="E742" s="1903"/>
      <c r="F742" s="1904"/>
      <c r="G742" s="2129"/>
      <c r="H742" s="2130"/>
      <c r="I742" s="2130"/>
      <c r="J742" s="2131"/>
      <c r="K742" s="1931"/>
      <c r="L742" s="1932"/>
      <c r="M742" s="1932"/>
      <c r="N742" s="1933"/>
      <c r="O742" s="1922"/>
      <c r="P742" s="1923"/>
      <c r="Q742" s="1923"/>
      <c r="R742" s="1923"/>
      <c r="S742" s="1924"/>
      <c r="T742" s="1922"/>
      <c r="U742" s="1923"/>
      <c r="V742" s="1923"/>
      <c r="W742" s="1924"/>
      <c r="X742" s="2092">
        <f t="shared" si="47"/>
        <v>0</v>
      </c>
      <c r="Y742" s="2093"/>
      <c r="Z742" s="2093"/>
      <c r="AA742" s="2093"/>
      <c r="AB742" s="2094"/>
      <c r="AC742" s="2120">
        <v>0</v>
      </c>
      <c r="AD742" s="2121"/>
      <c r="AE742" s="2121"/>
      <c r="AF742" s="2121"/>
      <c r="AG742" s="2122"/>
      <c r="AH742" s="2208" t="str">
        <f t="shared" si="48"/>
        <v xml:space="preserve"> </v>
      </c>
      <c r="AI742" s="2209"/>
      <c r="AJ742" s="2210"/>
      <c r="AK742" s="1902"/>
      <c r="AL742" s="1903"/>
      <c r="AM742" s="1903"/>
      <c r="AN742" s="1903"/>
      <c r="AO742" s="1904"/>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1902"/>
      <c r="C743" s="1903"/>
      <c r="D743" s="1903"/>
      <c r="E743" s="1903"/>
      <c r="F743" s="1904"/>
      <c r="G743" s="2129"/>
      <c r="H743" s="2130"/>
      <c r="I743" s="2130"/>
      <c r="J743" s="2131"/>
      <c r="K743" s="1931"/>
      <c r="L743" s="1932"/>
      <c r="M743" s="1932"/>
      <c r="N743" s="1933"/>
      <c r="O743" s="1922"/>
      <c r="P743" s="1923"/>
      <c r="Q743" s="1923"/>
      <c r="R743" s="1923"/>
      <c r="S743" s="1924"/>
      <c r="T743" s="1922"/>
      <c r="U743" s="1923"/>
      <c r="V743" s="1923"/>
      <c r="W743" s="1924"/>
      <c r="X743" s="2092">
        <f t="shared" si="47"/>
        <v>0</v>
      </c>
      <c r="Y743" s="2093"/>
      <c r="Z743" s="2093"/>
      <c r="AA743" s="2093"/>
      <c r="AB743" s="2094"/>
      <c r="AC743" s="2120">
        <v>0</v>
      </c>
      <c r="AD743" s="2121"/>
      <c r="AE743" s="2121"/>
      <c r="AF743" s="2121"/>
      <c r="AG743" s="2122"/>
      <c r="AH743" s="2208" t="str">
        <f t="shared" si="48"/>
        <v xml:space="preserve"> </v>
      </c>
      <c r="AI743" s="2209"/>
      <c r="AJ743" s="2210"/>
      <c r="AK743" s="1902"/>
      <c r="AL743" s="1903"/>
      <c r="AM743" s="1903"/>
      <c r="AN743" s="1903"/>
      <c r="AO743" s="1904"/>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1902"/>
      <c r="C744" s="1903"/>
      <c r="D744" s="1903"/>
      <c r="E744" s="1903"/>
      <c r="F744" s="1904"/>
      <c r="G744" s="2129"/>
      <c r="H744" s="2130"/>
      <c r="I744" s="2130"/>
      <c r="J744" s="2131"/>
      <c r="K744" s="1931"/>
      <c r="L744" s="1932"/>
      <c r="M744" s="1932"/>
      <c r="N744" s="1933"/>
      <c r="O744" s="1922"/>
      <c r="P744" s="1923"/>
      <c r="Q744" s="1923"/>
      <c r="R744" s="1923"/>
      <c r="S744" s="1924"/>
      <c r="T744" s="1922"/>
      <c r="U744" s="1923"/>
      <c r="V744" s="1923"/>
      <c r="W744" s="1924"/>
      <c r="X744" s="2092">
        <f t="shared" si="47"/>
        <v>0</v>
      </c>
      <c r="Y744" s="2093"/>
      <c r="Z744" s="2093"/>
      <c r="AA744" s="2093"/>
      <c r="AB744" s="2094"/>
      <c r="AC744" s="2120">
        <v>0</v>
      </c>
      <c r="AD744" s="2121"/>
      <c r="AE744" s="2121"/>
      <c r="AF744" s="2121"/>
      <c r="AG744" s="2122"/>
      <c r="AH744" s="2208" t="str">
        <f t="shared" si="48"/>
        <v xml:space="preserve"> </v>
      </c>
      <c r="AI744" s="2209"/>
      <c r="AJ744" s="2210"/>
      <c r="AK744" s="1902"/>
      <c r="AL744" s="1903"/>
      <c r="AM744" s="1903"/>
      <c r="AN744" s="1903"/>
      <c r="AO744" s="1904"/>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1902"/>
      <c r="C745" s="1903"/>
      <c r="D745" s="1903"/>
      <c r="E745" s="1903"/>
      <c r="F745" s="1904"/>
      <c r="G745" s="2129"/>
      <c r="H745" s="2130"/>
      <c r="I745" s="2130"/>
      <c r="J745" s="2131"/>
      <c r="K745" s="1931"/>
      <c r="L745" s="1932"/>
      <c r="M745" s="1932"/>
      <c r="N745" s="1933"/>
      <c r="O745" s="1922"/>
      <c r="P745" s="1923"/>
      <c r="Q745" s="1923"/>
      <c r="R745" s="1923"/>
      <c r="S745" s="1924"/>
      <c r="T745" s="1922"/>
      <c r="U745" s="1923"/>
      <c r="V745" s="1923"/>
      <c r="W745" s="1924"/>
      <c r="X745" s="2092">
        <f t="shared" si="47"/>
        <v>0</v>
      </c>
      <c r="Y745" s="2093"/>
      <c r="Z745" s="2093"/>
      <c r="AA745" s="2093"/>
      <c r="AB745" s="2094"/>
      <c r="AC745" s="2120">
        <v>0</v>
      </c>
      <c r="AD745" s="2121"/>
      <c r="AE745" s="2121"/>
      <c r="AF745" s="2121"/>
      <c r="AG745" s="2122"/>
      <c r="AH745" s="2208" t="str">
        <f t="shared" si="48"/>
        <v xml:space="preserve"> </v>
      </c>
      <c r="AI745" s="2209"/>
      <c r="AJ745" s="2210"/>
      <c r="AK745" s="1902"/>
      <c r="AL745" s="1903"/>
      <c r="AM745" s="1903"/>
      <c r="AN745" s="1903"/>
      <c r="AO745" s="1904"/>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1902"/>
      <c r="C746" s="1903"/>
      <c r="D746" s="1903"/>
      <c r="E746" s="1903"/>
      <c r="F746" s="1904"/>
      <c r="G746" s="2129"/>
      <c r="H746" s="2130"/>
      <c r="I746" s="2130"/>
      <c r="J746" s="2131"/>
      <c r="K746" s="1931"/>
      <c r="L746" s="1932"/>
      <c r="M746" s="1932"/>
      <c r="N746" s="1933"/>
      <c r="O746" s="1922"/>
      <c r="P746" s="1923"/>
      <c r="Q746" s="1923"/>
      <c r="R746" s="1923"/>
      <c r="S746" s="1924"/>
      <c r="T746" s="1922"/>
      <c r="U746" s="1923"/>
      <c r="V746" s="1923"/>
      <c r="W746" s="1924"/>
      <c r="X746" s="2092">
        <f t="shared" si="47"/>
        <v>0</v>
      </c>
      <c r="Y746" s="2093"/>
      <c r="Z746" s="2093"/>
      <c r="AA746" s="2093"/>
      <c r="AB746" s="2094"/>
      <c r="AC746" s="2120">
        <v>0</v>
      </c>
      <c r="AD746" s="2121"/>
      <c r="AE746" s="2121"/>
      <c r="AF746" s="2121"/>
      <c r="AG746" s="2122"/>
      <c r="AH746" s="2208" t="str">
        <f t="shared" si="48"/>
        <v xml:space="preserve"> </v>
      </c>
      <c r="AI746" s="2209"/>
      <c r="AJ746" s="2210"/>
      <c r="AK746" s="1902"/>
      <c r="AL746" s="1903"/>
      <c r="AM746" s="1903"/>
      <c r="AN746" s="1903"/>
      <c r="AO746" s="1904"/>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1902"/>
      <c r="C747" s="1903"/>
      <c r="D747" s="1903"/>
      <c r="E747" s="1903"/>
      <c r="F747" s="1904"/>
      <c r="G747" s="2129"/>
      <c r="H747" s="2130"/>
      <c r="I747" s="2130"/>
      <c r="J747" s="2131"/>
      <c r="K747" s="1931"/>
      <c r="L747" s="1932"/>
      <c r="M747" s="1932"/>
      <c r="N747" s="1933"/>
      <c r="O747" s="1922"/>
      <c r="P747" s="1923"/>
      <c r="Q747" s="1923"/>
      <c r="R747" s="1923"/>
      <c r="S747" s="1924"/>
      <c r="T747" s="1922"/>
      <c r="U747" s="1923"/>
      <c r="V747" s="1923"/>
      <c r="W747" s="1924"/>
      <c r="X747" s="2092">
        <f t="shared" si="47"/>
        <v>0</v>
      </c>
      <c r="Y747" s="2093"/>
      <c r="Z747" s="2093"/>
      <c r="AA747" s="2093"/>
      <c r="AB747" s="2094"/>
      <c r="AC747" s="2120">
        <v>0</v>
      </c>
      <c r="AD747" s="2121"/>
      <c r="AE747" s="2121"/>
      <c r="AF747" s="2121"/>
      <c r="AG747" s="2122"/>
      <c r="AH747" s="2208" t="str">
        <f t="shared" si="48"/>
        <v xml:space="preserve"> </v>
      </c>
      <c r="AI747" s="2209"/>
      <c r="AJ747" s="2210"/>
      <c r="AK747" s="1902"/>
      <c r="AL747" s="1903"/>
      <c r="AM747" s="1903"/>
      <c r="AN747" s="1903"/>
      <c r="AO747" s="1904"/>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1902"/>
      <c r="C748" s="1903"/>
      <c r="D748" s="1903"/>
      <c r="E748" s="1903"/>
      <c r="F748" s="1904"/>
      <c r="G748" s="2129"/>
      <c r="H748" s="2130"/>
      <c r="I748" s="2130"/>
      <c r="J748" s="2131"/>
      <c r="K748" s="1931"/>
      <c r="L748" s="1932"/>
      <c r="M748" s="1932"/>
      <c r="N748" s="1933"/>
      <c r="O748" s="1922"/>
      <c r="P748" s="1923"/>
      <c r="Q748" s="1923"/>
      <c r="R748" s="1923"/>
      <c r="S748" s="1924"/>
      <c r="T748" s="1922"/>
      <c r="U748" s="1923"/>
      <c r="V748" s="1923"/>
      <c r="W748" s="1924"/>
      <c r="X748" s="2092">
        <f t="shared" si="47"/>
        <v>0</v>
      </c>
      <c r="Y748" s="2093"/>
      <c r="Z748" s="2093"/>
      <c r="AA748" s="2093"/>
      <c r="AB748" s="2094"/>
      <c r="AC748" s="2120">
        <v>0</v>
      </c>
      <c r="AD748" s="2121"/>
      <c r="AE748" s="2121"/>
      <c r="AF748" s="2121"/>
      <c r="AG748" s="2122"/>
      <c r="AH748" s="2208" t="str">
        <f t="shared" si="48"/>
        <v xml:space="preserve"> </v>
      </c>
      <c r="AI748" s="2209"/>
      <c r="AJ748" s="2210"/>
      <c r="AK748" s="1902"/>
      <c r="AL748" s="1903"/>
      <c r="AM748" s="1903"/>
      <c r="AN748" s="1903"/>
      <c r="AO748" s="1904"/>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1902"/>
      <c r="C749" s="1903"/>
      <c r="D749" s="1903"/>
      <c r="E749" s="1903"/>
      <c r="F749" s="1904"/>
      <c r="G749" s="2129"/>
      <c r="H749" s="2130"/>
      <c r="I749" s="2130"/>
      <c r="J749" s="2131"/>
      <c r="K749" s="1931"/>
      <c r="L749" s="1932"/>
      <c r="M749" s="1932"/>
      <c r="N749" s="1933"/>
      <c r="O749" s="1922"/>
      <c r="P749" s="1923"/>
      <c r="Q749" s="1923"/>
      <c r="R749" s="1923"/>
      <c r="S749" s="1924"/>
      <c r="T749" s="1922"/>
      <c r="U749" s="1923"/>
      <c r="V749" s="1923"/>
      <c r="W749" s="1924"/>
      <c r="X749" s="2092">
        <f t="shared" si="47"/>
        <v>0</v>
      </c>
      <c r="Y749" s="2093"/>
      <c r="Z749" s="2093"/>
      <c r="AA749" s="2093"/>
      <c r="AB749" s="2094"/>
      <c r="AC749" s="2120">
        <v>0</v>
      </c>
      <c r="AD749" s="2121"/>
      <c r="AE749" s="2121"/>
      <c r="AF749" s="2121"/>
      <c r="AG749" s="2122"/>
      <c r="AH749" s="2208" t="str">
        <f t="shared" si="48"/>
        <v xml:space="preserve"> </v>
      </c>
      <c r="AI749" s="2209"/>
      <c r="AJ749" s="2210"/>
      <c r="AK749" s="1902"/>
      <c r="AL749" s="1903"/>
      <c r="AM749" s="1903"/>
      <c r="AN749" s="1903"/>
      <c r="AO749" s="1904"/>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02"/>
      <c r="C750" s="1903"/>
      <c r="D750" s="1903"/>
      <c r="E750" s="1903"/>
      <c r="F750" s="1904"/>
      <c r="G750" s="2129"/>
      <c r="H750" s="2130"/>
      <c r="I750" s="2130"/>
      <c r="J750" s="2131"/>
      <c r="K750" s="1931"/>
      <c r="L750" s="1932"/>
      <c r="M750" s="1932"/>
      <c r="N750" s="1933"/>
      <c r="O750" s="1922"/>
      <c r="P750" s="1923"/>
      <c r="Q750" s="1923"/>
      <c r="R750" s="1923"/>
      <c r="S750" s="1924"/>
      <c r="T750" s="1922"/>
      <c r="U750" s="1923"/>
      <c r="V750" s="1923"/>
      <c r="W750" s="1924"/>
      <c r="X750" s="2092">
        <f t="shared" si="47"/>
        <v>0</v>
      </c>
      <c r="Y750" s="2093"/>
      <c r="Z750" s="2093"/>
      <c r="AA750" s="2093"/>
      <c r="AB750" s="2094"/>
      <c r="AC750" s="2120">
        <v>0</v>
      </c>
      <c r="AD750" s="2121"/>
      <c r="AE750" s="2121"/>
      <c r="AF750" s="2121"/>
      <c r="AG750" s="2122"/>
      <c r="AH750" s="2208" t="str">
        <f t="shared" si="48"/>
        <v xml:space="preserve"> </v>
      </c>
      <c r="AI750" s="2209"/>
      <c r="AJ750" s="2210"/>
      <c r="AK750" s="1902"/>
      <c r="AL750" s="1903"/>
      <c r="AM750" s="1903"/>
      <c r="AN750" s="1903"/>
      <c r="AO750" s="1904"/>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1902"/>
      <c r="C751" s="1903"/>
      <c r="D751" s="1903"/>
      <c r="E751" s="1903"/>
      <c r="F751" s="1904"/>
      <c r="G751" s="2129"/>
      <c r="H751" s="2130"/>
      <c r="I751" s="2130"/>
      <c r="J751" s="2131"/>
      <c r="K751" s="1931"/>
      <c r="L751" s="1932"/>
      <c r="M751" s="1932"/>
      <c r="N751" s="1933"/>
      <c r="O751" s="1922"/>
      <c r="P751" s="1923"/>
      <c r="Q751" s="1923"/>
      <c r="R751" s="1923"/>
      <c r="S751" s="1924"/>
      <c r="T751" s="1922"/>
      <c r="U751" s="1923"/>
      <c r="V751" s="1923"/>
      <c r="W751" s="1924"/>
      <c r="X751" s="2092">
        <f t="shared" si="47"/>
        <v>0</v>
      </c>
      <c r="Y751" s="2093"/>
      <c r="Z751" s="2093"/>
      <c r="AA751" s="2093"/>
      <c r="AB751" s="2094"/>
      <c r="AC751" s="2120">
        <v>0</v>
      </c>
      <c r="AD751" s="2121"/>
      <c r="AE751" s="2121"/>
      <c r="AF751" s="2121"/>
      <c r="AG751" s="2122"/>
      <c r="AH751" s="2208" t="str">
        <f t="shared" si="48"/>
        <v xml:space="preserve"> </v>
      </c>
      <c r="AI751" s="2209"/>
      <c r="AJ751" s="2210"/>
      <c r="AK751" s="1902"/>
      <c r="AL751" s="1903"/>
      <c r="AM751" s="1903"/>
      <c r="AN751" s="1903"/>
      <c r="AO751" s="1904"/>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1902"/>
      <c r="C752" s="1903"/>
      <c r="D752" s="1903"/>
      <c r="E752" s="1903"/>
      <c r="F752" s="1904"/>
      <c r="G752" s="2129"/>
      <c r="H752" s="2130"/>
      <c r="I752" s="2130"/>
      <c r="J752" s="2131"/>
      <c r="K752" s="1931"/>
      <c r="L752" s="1932"/>
      <c r="M752" s="1932"/>
      <c r="N752" s="1933"/>
      <c r="O752" s="1922"/>
      <c r="P752" s="1923"/>
      <c r="Q752" s="1923"/>
      <c r="R752" s="1923"/>
      <c r="S752" s="1924"/>
      <c r="T752" s="1922"/>
      <c r="U752" s="1923"/>
      <c r="V752" s="1923"/>
      <c r="W752" s="1924"/>
      <c r="X752" s="2092">
        <f t="shared" si="47"/>
        <v>0</v>
      </c>
      <c r="Y752" s="2093"/>
      <c r="Z752" s="2093"/>
      <c r="AA752" s="2093"/>
      <c r="AB752" s="2094"/>
      <c r="AC752" s="2120">
        <v>0</v>
      </c>
      <c r="AD752" s="2121"/>
      <c r="AE752" s="2121"/>
      <c r="AF752" s="2121"/>
      <c r="AG752" s="2122"/>
      <c r="AH752" s="2208" t="str">
        <f t="shared" si="48"/>
        <v xml:space="preserve"> </v>
      </c>
      <c r="AI752" s="2209"/>
      <c r="AJ752" s="2210"/>
      <c r="AK752" s="1902"/>
      <c r="AL752" s="1903"/>
      <c r="AM752" s="1903"/>
      <c r="AN752" s="1903"/>
      <c r="AO752" s="1904"/>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000" t="s">
        <v>130</v>
      </c>
      <c r="C753" s="2001"/>
      <c r="D753" s="2001"/>
      <c r="E753" s="2001"/>
      <c r="F753" s="2002"/>
      <c r="G753" s="2126">
        <f>SUM(G728:J752)</f>
        <v>72</v>
      </c>
      <c r="H753" s="2127"/>
      <c r="I753" s="2127"/>
      <c r="J753" s="2128"/>
      <c r="K753" s="963" t="s">
        <v>129</v>
      </c>
      <c r="L753" s="77"/>
      <c r="M753" s="77"/>
      <c r="N753" s="78"/>
      <c r="O753" s="2092">
        <f>SUMPRODUCT(G728:G752,O728:O752)</f>
        <v>104735.91999999998</v>
      </c>
      <c r="P753" s="2093"/>
      <c r="Q753" s="2093"/>
      <c r="R753" s="2093"/>
      <c r="S753" s="2094"/>
      <c r="X753" s="965" t="s">
        <v>949</v>
      </c>
      <c r="Y753" s="964"/>
      <c r="Z753" s="964"/>
      <c r="AA753" s="964"/>
      <c r="AB753" s="966"/>
      <c r="AC753" s="2218">
        <f>BI696</f>
        <v>0.3888888888888889</v>
      </c>
      <c r="AD753" s="2219"/>
      <c r="AE753" s="2219"/>
      <c r="AF753" s="2219"/>
      <c r="AG753" s="2220"/>
      <c r="AH753" s="2218">
        <f>BI728</f>
        <v>0.36591284531907342</v>
      </c>
      <c r="AI753" s="2219"/>
      <c r="AJ753" s="2220"/>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125" t="s">
        <v>2311</v>
      </c>
      <c r="C754" s="2125"/>
      <c r="D754" s="2125"/>
      <c r="E754" s="2125"/>
      <c r="F754" s="2125"/>
      <c r="G754" s="2125"/>
      <c r="H754" s="2125"/>
      <c r="I754" s="2125"/>
      <c r="J754" s="2125"/>
      <c r="K754" s="2125"/>
      <c r="L754" s="2125"/>
      <c r="M754" s="2125"/>
      <c r="N754" s="2125"/>
      <c r="O754" s="2125"/>
      <c r="P754" s="2125"/>
      <c r="Q754" s="2125"/>
      <c r="R754" s="2125"/>
      <c r="S754" s="2125"/>
      <c r="T754" s="2125"/>
      <c r="U754" s="2125"/>
      <c r="V754" s="2125"/>
      <c r="W754" s="2125"/>
      <c r="X754" s="2125"/>
      <c r="Y754" s="2125"/>
      <c r="Z754" s="2125"/>
      <c r="AA754" s="2125"/>
      <c r="AB754" s="2125"/>
      <c r="AC754" s="2125"/>
      <c r="AD754" s="2125"/>
      <c r="AE754" s="2125"/>
      <c r="AF754" s="2125"/>
      <c r="AG754" s="2125"/>
      <c r="AH754" s="2125"/>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125"/>
      <c r="C755" s="2125"/>
      <c r="D755" s="2125"/>
      <c r="E755" s="2125"/>
      <c r="F755" s="2125"/>
      <c r="G755" s="2125"/>
      <c r="H755" s="2125"/>
      <c r="I755" s="2125"/>
      <c r="J755" s="2125"/>
      <c r="K755" s="2125"/>
      <c r="L755" s="2125"/>
      <c r="M755" s="2125"/>
      <c r="N755" s="2125"/>
      <c r="O755" s="2125"/>
      <c r="P755" s="2125"/>
      <c r="Q755" s="2125"/>
      <c r="R755" s="2125"/>
      <c r="S755" s="2125"/>
      <c r="T755" s="2125"/>
      <c r="U755" s="2125"/>
      <c r="V755" s="2125"/>
      <c r="W755" s="2125"/>
      <c r="X755" s="2125"/>
      <c r="Y755" s="2125"/>
      <c r="Z755" s="2125"/>
      <c r="AA755" s="2125"/>
      <c r="AB755" s="2125"/>
      <c r="AC755" s="2125"/>
      <c r="AD755" s="2125"/>
      <c r="AE755" s="2125"/>
      <c r="AF755" s="2125"/>
      <c r="AG755" s="2125"/>
      <c r="AH755" s="2125"/>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2309</v>
      </c>
      <c r="D756" s="1135"/>
      <c r="E756" s="1135"/>
      <c r="F756" s="1135"/>
      <c r="G756" s="1136"/>
      <c r="H756" s="1136"/>
      <c r="I756" s="1136"/>
      <c r="J756" s="1136"/>
      <c r="K756" s="1135"/>
      <c r="L756" s="1135"/>
      <c r="M756" s="1135"/>
      <c r="N756" s="1135"/>
      <c r="O756" s="2022">
        <f>CS637</f>
        <v>145</v>
      </c>
      <c r="P756" s="2022"/>
      <c r="Q756" s="2022"/>
      <c r="R756" s="2022"/>
      <c r="S756" s="1137"/>
      <c r="T756" s="1137"/>
      <c r="U756" s="179" t="s">
        <v>2310</v>
      </c>
      <c r="V756" s="1135"/>
      <c r="W756" s="1135"/>
      <c r="X756" s="1135"/>
      <c r="Y756" s="1136"/>
      <c r="Z756" s="1136"/>
      <c r="AA756" s="1136"/>
      <c r="AB756" s="1136"/>
      <c r="AC756" s="1135"/>
      <c r="AD756" s="1135"/>
      <c r="AE756" s="1135"/>
      <c r="AF756" s="1135"/>
      <c r="AG756" s="2205">
        <v>0</v>
      </c>
      <c r="AH756" s="2205"/>
      <c r="AI756" s="2205"/>
      <c r="AJ756" s="220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2308</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294" t="s">
        <v>615</v>
      </c>
      <c r="AE758" s="2294"/>
      <c r="AF758" s="2294"/>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2697</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600</v>
      </c>
      <c r="B760" s="91"/>
      <c r="C760" s="92" t="s">
        <v>439</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181</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138"/>
      <c r="C762" s="2124" t="s">
        <v>2698</v>
      </c>
      <c r="D762" s="2124"/>
      <c r="E762" s="2124"/>
      <c r="F762" s="2124"/>
      <c r="G762" s="2124"/>
      <c r="H762" s="2124"/>
      <c r="I762" s="2124"/>
      <c r="J762" s="2124"/>
      <c r="K762" s="2124"/>
      <c r="L762" s="2124"/>
      <c r="M762" s="2124"/>
      <c r="N762" s="2124"/>
      <c r="O762" s="2124"/>
      <c r="P762" s="2124"/>
      <c r="Q762" s="2124"/>
      <c r="R762" s="2124"/>
      <c r="S762" s="2124"/>
      <c r="T762" s="2124"/>
      <c r="U762" s="2124"/>
      <c r="V762" s="2124"/>
      <c r="W762" s="2124"/>
      <c r="X762" s="2124"/>
      <c r="Y762" s="2124"/>
      <c r="Z762" s="2124"/>
      <c r="AA762" s="2124"/>
      <c r="AB762" s="2124"/>
      <c r="AC762" s="2124"/>
      <c r="AD762" s="2124"/>
      <c r="AE762" s="2124"/>
      <c r="AF762" s="2124"/>
      <c r="AG762" s="2124"/>
      <c r="AH762" s="2124"/>
      <c r="AI762" s="2124"/>
      <c r="AJ762" s="2124"/>
      <c r="AK762" s="2124"/>
      <c r="AL762" s="2124"/>
      <c r="AM762" s="2124"/>
      <c r="AN762" s="2124"/>
      <c r="AO762" s="2124"/>
      <c r="AP762" s="2124"/>
      <c r="AQ762" s="2124"/>
      <c r="AR762" s="2124"/>
      <c r="AS762" s="239"/>
      <c r="AT762" s="88"/>
      <c r="AU762" s="88"/>
      <c r="AV762" s="88"/>
      <c r="AW762" s="88"/>
      <c r="AX762" s="88"/>
      <c r="AY762" s="88"/>
      <c r="CR762" s="177"/>
    </row>
    <row r="763" spans="1:16383" s="58" customFormat="1" ht="12.75" customHeight="1">
      <c r="A763" s="239"/>
      <c r="B763" s="1138"/>
      <c r="C763" s="2124"/>
      <c r="D763" s="2124"/>
      <c r="E763" s="2124"/>
      <c r="F763" s="2124"/>
      <c r="G763" s="2124"/>
      <c r="H763" s="2124"/>
      <c r="I763" s="2124"/>
      <c r="J763" s="2124"/>
      <c r="K763" s="2124"/>
      <c r="L763" s="2124"/>
      <c r="M763" s="2124"/>
      <c r="N763" s="2124"/>
      <c r="O763" s="2124"/>
      <c r="P763" s="2124"/>
      <c r="Q763" s="2124"/>
      <c r="R763" s="2124"/>
      <c r="S763" s="2124"/>
      <c r="T763" s="2124"/>
      <c r="U763" s="2124"/>
      <c r="V763" s="2124"/>
      <c r="W763" s="2124"/>
      <c r="X763" s="2124"/>
      <c r="Y763" s="2124"/>
      <c r="Z763" s="2124"/>
      <c r="AA763" s="2124"/>
      <c r="AB763" s="2124"/>
      <c r="AC763" s="2124"/>
      <c r="AD763" s="2124"/>
      <c r="AE763" s="2124"/>
      <c r="AF763" s="2124"/>
      <c r="AG763" s="2124"/>
      <c r="AH763" s="2124"/>
      <c r="AI763" s="2124"/>
      <c r="AJ763" s="2124"/>
      <c r="AK763" s="2124"/>
      <c r="AL763" s="2124"/>
      <c r="AM763" s="2124"/>
      <c r="AN763" s="2124"/>
      <c r="AO763" s="2124"/>
      <c r="AP763" s="2124"/>
      <c r="AQ763" s="2124"/>
      <c r="AR763" s="2124"/>
      <c r="AS763" s="239"/>
      <c r="AT763" s="88"/>
      <c r="AU763" s="88"/>
      <c r="AV763" s="88"/>
      <c r="AW763" s="88"/>
      <c r="AX763" s="88"/>
      <c r="AY763" s="88"/>
      <c r="CR763" s="177"/>
    </row>
    <row r="764" spans="1:16383" s="58" customFormat="1" ht="12.75" customHeight="1">
      <c r="B764" s="1138"/>
      <c r="C764" s="2124"/>
      <c r="D764" s="2124"/>
      <c r="E764" s="2124"/>
      <c r="F764" s="2124"/>
      <c r="G764" s="2124"/>
      <c r="H764" s="2124"/>
      <c r="I764" s="2124"/>
      <c r="J764" s="2124"/>
      <c r="K764" s="2124"/>
      <c r="L764" s="2124"/>
      <c r="M764" s="2124"/>
      <c r="N764" s="2124"/>
      <c r="O764" s="2124"/>
      <c r="P764" s="2124"/>
      <c r="Q764" s="2124"/>
      <c r="R764" s="2124"/>
      <c r="S764" s="2124"/>
      <c r="T764" s="2124"/>
      <c r="U764" s="2124"/>
      <c r="V764" s="2124"/>
      <c r="W764" s="2124"/>
      <c r="X764" s="2124"/>
      <c r="Y764" s="2124"/>
      <c r="Z764" s="2124"/>
      <c r="AA764" s="2124"/>
      <c r="AB764" s="2124"/>
      <c r="AC764" s="2124"/>
      <c r="AD764" s="2124"/>
      <c r="AE764" s="2124"/>
      <c r="AF764" s="2124"/>
      <c r="AG764" s="2124"/>
      <c r="AH764" s="2124"/>
      <c r="AI764" s="2124"/>
      <c r="AJ764" s="2124"/>
      <c r="AK764" s="2124"/>
      <c r="AL764" s="2124"/>
      <c r="AM764" s="2124"/>
      <c r="AN764" s="2124"/>
      <c r="AO764" s="2124"/>
      <c r="AP764" s="2124"/>
      <c r="AQ764" s="2124"/>
      <c r="AR764" s="2124"/>
      <c r="AS764" s="239"/>
      <c r="AT764" s="88"/>
      <c r="AU764" s="88"/>
      <c r="AV764" s="88"/>
      <c r="AW764" s="88"/>
      <c r="AX764" s="88"/>
      <c r="AY764" s="88"/>
      <c r="CR764" s="177"/>
    </row>
    <row r="765" spans="1:16383" s="58" customFormat="1" ht="12.75" customHeight="1">
      <c r="B765" s="1138"/>
      <c r="C765" s="2124" t="s">
        <v>2699</v>
      </c>
      <c r="D765" s="2124"/>
      <c r="E765" s="2124"/>
      <c r="F765" s="2124"/>
      <c r="G765" s="2124"/>
      <c r="H765" s="2124"/>
      <c r="I765" s="2124"/>
      <c r="J765" s="2124"/>
      <c r="K765" s="2124"/>
      <c r="L765" s="2124"/>
      <c r="M765" s="2124"/>
      <c r="N765" s="2124"/>
      <c r="O765" s="2124"/>
      <c r="P765" s="2124"/>
      <c r="Q765" s="2124"/>
      <c r="R765" s="2124"/>
      <c r="S765" s="2124"/>
      <c r="T765" s="2124"/>
      <c r="U765" s="2124"/>
      <c r="V765" s="2124"/>
      <c r="W765" s="2124"/>
      <c r="X765" s="2124"/>
      <c r="Y765" s="2124"/>
      <c r="Z765" s="2124"/>
      <c r="AA765" s="2124"/>
      <c r="AB765" s="2124"/>
      <c r="AC765" s="2124"/>
      <c r="AD765" s="2124"/>
      <c r="AE765" s="2124"/>
      <c r="AF765" s="2124"/>
      <c r="AG765" s="2124"/>
      <c r="AH765" s="2124"/>
      <c r="AI765" s="2124"/>
      <c r="AJ765" s="2124"/>
      <c r="AK765" s="2124"/>
      <c r="AL765" s="2124"/>
      <c r="AM765" s="2124"/>
      <c r="AN765" s="2124"/>
      <c r="AO765" s="2124"/>
      <c r="AP765" s="2124"/>
      <c r="AQ765" s="2124"/>
      <c r="AR765" s="2124"/>
      <c r="AS765" s="239"/>
      <c r="AT765" s="88"/>
      <c r="AU765" s="88"/>
      <c r="AV765" s="88"/>
      <c r="AW765" s="88"/>
      <c r="AX765" s="88"/>
      <c r="AY765" s="88"/>
      <c r="CR765" s="177"/>
    </row>
    <row r="766" spans="1:16383" s="58" customFormat="1" ht="12.75" customHeight="1">
      <c r="B766" s="1138"/>
      <c r="C766" s="2124"/>
      <c r="D766" s="2124"/>
      <c r="E766" s="2124"/>
      <c r="F766" s="2124"/>
      <c r="G766" s="2124"/>
      <c r="H766" s="2124"/>
      <c r="I766" s="2124"/>
      <c r="J766" s="2124"/>
      <c r="K766" s="2124"/>
      <c r="L766" s="2124"/>
      <c r="M766" s="2124"/>
      <c r="N766" s="2124"/>
      <c r="O766" s="2124"/>
      <c r="P766" s="2124"/>
      <c r="Q766" s="2124"/>
      <c r="R766" s="2124"/>
      <c r="S766" s="2124"/>
      <c r="T766" s="2124"/>
      <c r="U766" s="2124"/>
      <c r="V766" s="2124"/>
      <c r="W766" s="2124"/>
      <c r="X766" s="2124"/>
      <c r="Y766" s="2124"/>
      <c r="Z766" s="2124"/>
      <c r="AA766" s="2124"/>
      <c r="AB766" s="2124"/>
      <c r="AC766" s="2124"/>
      <c r="AD766" s="2124"/>
      <c r="AE766" s="2124"/>
      <c r="AF766" s="2124"/>
      <c r="AG766" s="2124"/>
      <c r="AH766" s="2124"/>
      <c r="AI766" s="2124"/>
      <c r="AJ766" s="2124"/>
      <c r="AK766" s="2124"/>
      <c r="AL766" s="2124"/>
      <c r="AM766" s="2124"/>
      <c r="AN766" s="2124"/>
      <c r="AO766" s="2124"/>
      <c r="AP766" s="2124"/>
      <c r="AQ766" s="2124"/>
      <c r="AR766" s="2124"/>
      <c r="AS766" s="239"/>
      <c r="AT766" s="88"/>
      <c r="AU766" s="88"/>
      <c r="AV766" s="88"/>
      <c r="AW766" s="88"/>
      <c r="AX766" s="88"/>
      <c r="AY766" s="88"/>
      <c r="CR766" s="177"/>
    </row>
    <row r="767" spans="1:16383" s="58" customFormat="1" ht="12.75" customHeight="1">
      <c r="B767" s="1138"/>
      <c r="C767" s="2124"/>
      <c r="D767" s="2124"/>
      <c r="E767" s="2124"/>
      <c r="F767" s="2124"/>
      <c r="G767" s="2124"/>
      <c r="H767" s="2124"/>
      <c r="I767" s="2124"/>
      <c r="J767" s="2124"/>
      <c r="K767" s="2124"/>
      <c r="L767" s="2124"/>
      <c r="M767" s="2124"/>
      <c r="N767" s="2124"/>
      <c r="O767" s="2124"/>
      <c r="P767" s="2124"/>
      <c r="Q767" s="2124"/>
      <c r="R767" s="2124"/>
      <c r="S767" s="2124"/>
      <c r="T767" s="2124"/>
      <c r="U767" s="2124"/>
      <c r="V767" s="2124"/>
      <c r="W767" s="2124"/>
      <c r="X767" s="2124"/>
      <c r="Y767" s="2124"/>
      <c r="Z767" s="2124"/>
      <c r="AA767" s="2124"/>
      <c r="AB767" s="2124"/>
      <c r="AC767" s="2124"/>
      <c r="AD767" s="2124"/>
      <c r="AE767" s="2124"/>
      <c r="AF767" s="2124"/>
      <c r="AG767" s="2124"/>
      <c r="AH767" s="2124"/>
      <c r="AI767" s="2124"/>
      <c r="AJ767" s="2124"/>
      <c r="AK767" s="2124"/>
      <c r="AL767" s="2124"/>
      <c r="AM767" s="2124"/>
      <c r="AN767" s="2124"/>
      <c r="AO767" s="2124"/>
      <c r="AP767" s="2124"/>
      <c r="AQ767" s="2124"/>
      <c r="AR767" s="2124"/>
      <c r="AS767" s="239"/>
      <c r="AT767" s="88"/>
      <c r="AU767" s="88"/>
      <c r="AV767" s="88"/>
      <c r="AW767" s="88"/>
      <c r="AX767" s="88"/>
      <c r="AY767" s="88"/>
      <c r="CR767" s="177"/>
    </row>
    <row r="768" spans="1:16383" ht="12.75" customHeight="1">
      <c r="J768" s="1984" t="s">
        <v>402</v>
      </c>
      <c r="K768" s="1985"/>
      <c r="L768" s="1985"/>
      <c r="M768" s="1985"/>
      <c r="N768" s="1986"/>
      <c r="O768" s="2217" t="s">
        <v>290</v>
      </c>
      <c r="P768" s="2217"/>
      <c r="Q768" s="2217"/>
      <c r="R768" s="2217"/>
      <c r="S768" s="2217"/>
      <c r="T768" s="2106" t="s">
        <v>1985</v>
      </c>
      <c r="U768" s="2107"/>
      <c r="V768" s="2107"/>
      <c r="W768" s="2108"/>
      <c r="X768" s="1984" t="s">
        <v>469</v>
      </c>
      <c r="Y768" s="1985"/>
      <c r="Z768" s="1985"/>
      <c r="AA768" s="1985"/>
      <c r="AB768" s="1986"/>
      <c r="AC768" s="1984" t="s">
        <v>291</v>
      </c>
      <c r="AD768" s="1985"/>
      <c r="AE768" s="1985"/>
      <c r="AF768" s="1985"/>
      <c r="AG768" s="1986"/>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1987"/>
      <c r="K769" s="1988"/>
      <c r="L769" s="1988"/>
      <c r="M769" s="1988"/>
      <c r="N769" s="1989"/>
      <c r="O769" s="2217"/>
      <c r="P769" s="2217"/>
      <c r="Q769" s="2217"/>
      <c r="R769" s="2217"/>
      <c r="S769" s="2217"/>
      <c r="T769" s="2109"/>
      <c r="U769" s="2110"/>
      <c r="V769" s="2110"/>
      <c r="W769" s="2111"/>
      <c r="X769" s="1987"/>
      <c r="Y769" s="1988"/>
      <c r="Z769" s="1988"/>
      <c r="AA769" s="1988"/>
      <c r="AB769" s="1989"/>
      <c r="AC769" s="1987"/>
      <c r="AD769" s="1988"/>
      <c r="AE769" s="1988"/>
      <c r="AF769" s="1988"/>
      <c r="AG769" s="1989"/>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1987"/>
      <c r="K770" s="1988"/>
      <c r="L770" s="1988"/>
      <c r="M770" s="1988"/>
      <c r="N770" s="1989"/>
      <c r="O770" s="2217"/>
      <c r="P770" s="2217"/>
      <c r="Q770" s="2217"/>
      <c r="R770" s="2217"/>
      <c r="S770" s="2217"/>
      <c r="T770" s="2109"/>
      <c r="U770" s="2110"/>
      <c r="V770" s="2110"/>
      <c r="W770" s="2111"/>
      <c r="X770" s="1987"/>
      <c r="Y770" s="1988"/>
      <c r="Z770" s="1988"/>
      <c r="AA770" s="1988"/>
      <c r="AB770" s="1989"/>
      <c r="AC770" s="1987"/>
      <c r="AD770" s="1988"/>
      <c r="AE770" s="1988"/>
      <c r="AF770" s="1988"/>
      <c r="AG770" s="1989"/>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1990"/>
      <c r="K771" s="1991"/>
      <c r="L771" s="1991"/>
      <c r="M771" s="1991"/>
      <c r="N771" s="1992"/>
      <c r="O771" s="2217"/>
      <c r="P771" s="2217"/>
      <c r="Q771" s="2217"/>
      <c r="R771" s="2217"/>
      <c r="S771" s="2217"/>
      <c r="T771" s="2112"/>
      <c r="U771" s="2113"/>
      <c r="V771" s="2113"/>
      <c r="W771" s="2114"/>
      <c r="X771" s="1990"/>
      <c r="Y771" s="1991"/>
      <c r="Z771" s="1991"/>
      <c r="AA771" s="1991"/>
      <c r="AB771" s="1992"/>
      <c r="AC771" s="1990"/>
      <c r="AD771" s="1991"/>
      <c r="AE771" s="1991"/>
      <c r="AF771" s="1991"/>
      <c r="AG771" s="1992"/>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02" t="s">
        <v>168</v>
      </c>
      <c r="K772" s="1903"/>
      <c r="L772" s="1903"/>
      <c r="M772" s="1903"/>
      <c r="N772" s="1904"/>
      <c r="O772" s="1938">
        <v>1</v>
      </c>
      <c r="P772" s="1938"/>
      <c r="Q772" s="1938"/>
      <c r="R772" s="1938"/>
      <c r="S772" s="1938"/>
      <c r="T772" s="1931">
        <v>730</v>
      </c>
      <c r="U772" s="1932"/>
      <c r="V772" s="1932"/>
      <c r="W772" s="1933"/>
      <c r="X772" s="1922">
        <v>0</v>
      </c>
      <c r="Y772" s="1923"/>
      <c r="Z772" s="1923"/>
      <c r="AA772" s="1923"/>
      <c r="AB772" s="1924"/>
      <c r="AC772" s="2092">
        <f>X772*O772</f>
        <v>0</v>
      </c>
      <c r="AD772" s="2093"/>
      <c r="AE772" s="2093"/>
      <c r="AF772" s="2093"/>
      <c r="AG772" s="2094"/>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02"/>
      <c r="K773" s="1903"/>
      <c r="L773" s="1903"/>
      <c r="M773" s="1903"/>
      <c r="N773" s="1904"/>
      <c r="O773" s="1938"/>
      <c r="P773" s="1938"/>
      <c r="Q773" s="1938"/>
      <c r="R773" s="1938"/>
      <c r="S773" s="1938"/>
      <c r="T773" s="1931"/>
      <c r="U773" s="1932"/>
      <c r="V773" s="1932"/>
      <c r="W773" s="1933"/>
      <c r="X773" s="1922"/>
      <c r="Y773" s="1923"/>
      <c r="Z773" s="1923"/>
      <c r="AA773" s="1923"/>
      <c r="AB773" s="1924"/>
      <c r="AC773" s="2092">
        <f>X773*O773</f>
        <v>0</v>
      </c>
      <c r="AD773" s="2093"/>
      <c r="AE773" s="2093"/>
      <c r="AF773" s="2093"/>
      <c r="AG773" s="2094"/>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02"/>
      <c r="K774" s="1903"/>
      <c r="L774" s="1903"/>
      <c r="M774" s="1903"/>
      <c r="N774" s="1904"/>
      <c r="O774" s="1938"/>
      <c r="P774" s="1938"/>
      <c r="Q774" s="1938"/>
      <c r="R774" s="1938"/>
      <c r="S774" s="1938"/>
      <c r="T774" s="1931"/>
      <c r="U774" s="1932"/>
      <c r="V774" s="1932"/>
      <c r="W774" s="1933"/>
      <c r="X774" s="1922"/>
      <c r="Y774" s="1923"/>
      <c r="Z774" s="1923"/>
      <c r="AA774" s="1923"/>
      <c r="AB774" s="1924"/>
      <c r="AC774" s="2092">
        <f>X774*O774</f>
        <v>0</v>
      </c>
      <c r="AD774" s="2093"/>
      <c r="AE774" s="2093"/>
      <c r="AF774" s="2093"/>
      <c r="AG774" s="2094"/>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02"/>
      <c r="K775" s="1903"/>
      <c r="L775" s="1903"/>
      <c r="M775" s="1903"/>
      <c r="N775" s="1904"/>
      <c r="O775" s="1938"/>
      <c r="P775" s="1938"/>
      <c r="Q775" s="1938"/>
      <c r="R775" s="1938"/>
      <c r="S775" s="1938"/>
      <c r="T775" s="1931"/>
      <c r="U775" s="1932"/>
      <c r="V775" s="1932"/>
      <c r="W775" s="1933"/>
      <c r="X775" s="1922"/>
      <c r="Y775" s="1923"/>
      <c r="Z775" s="1923"/>
      <c r="AA775" s="1923"/>
      <c r="AB775" s="1924"/>
      <c r="AC775" s="2092">
        <f>X775*O775</f>
        <v>0</v>
      </c>
      <c r="AD775" s="2093"/>
      <c r="AE775" s="2093"/>
      <c r="AF775" s="2093"/>
      <c r="AG775" s="2094"/>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000" t="s">
        <v>130</v>
      </c>
      <c r="K776" s="2001"/>
      <c r="L776" s="2001"/>
      <c r="M776" s="2001"/>
      <c r="N776" s="2002"/>
      <c r="O776" s="2250">
        <f>SUM(O772:S775)</f>
        <v>1</v>
      </c>
      <c r="P776" s="2251"/>
      <c r="Q776" s="2251"/>
      <c r="R776" s="2251"/>
      <c r="S776" s="2252"/>
      <c r="X776" s="2291" t="s">
        <v>129</v>
      </c>
      <c r="Y776" s="2292"/>
      <c r="Z776" s="2292"/>
      <c r="AA776" s="2292"/>
      <c r="AB776" s="2293"/>
      <c r="AC776" s="2092">
        <f>SUM(AC772:AG775)</f>
        <v>0</v>
      </c>
      <c r="AD776" s="2093"/>
      <c r="AE776" s="2093"/>
      <c r="AF776" s="2093"/>
      <c r="AG776" s="2094"/>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1918" t="s">
        <v>693</v>
      </c>
      <c r="K778" s="1918"/>
      <c r="L778" s="91"/>
      <c r="M778" s="62" t="s">
        <v>1032</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2700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610</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1984" t="s">
        <v>402</v>
      </c>
      <c r="K782" s="1985"/>
      <c r="L782" s="1985"/>
      <c r="M782" s="1985"/>
      <c r="N782" s="1986"/>
      <c r="O782" s="2217" t="s">
        <v>290</v>
      </c>
      <c r="P782" s="2217"/>
      <c r="Q782" s="2217"/>
      <c r="R782" s="2217"/>
      <c r="S782" s="2217"/>
      <c r="T782" s="2106" t="s">
        <v>1985</v>
      </c>
      <c r="U782" s="2107"/>
      <c r="V782" s="2107"/>
      <c r="W782" s="2108"/>
      <c r="X782" s="1984" t="s">
        <v>469</v>
      </c>
      <c r="Y782" s="1985"/>
      <c r="Z782" s="1985"/>
      <c r="AA782" s="1985"/>
      <c r="AB782" s="1986"/>
      <c r="AC782" s="1984" t="s">
        <v>291</v>
      </c>
      <c r="AD782" s="1985"/>
      <c r="AE782" s="1985"/>
      <c r="AF782" s="1985"/>
      <c r="AG782" s="1986"/>
      <c r="AH782" s="2139" t="s">
        <v>2180</v>
      </c>
      <c r="AI782" s="2140"/>
      <c r="AJ782" s="2140"/>
      <c r="AK782" s="2140"/>
      <c r="AL782" s="21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1987"/>
      <c r="K783" s="1988"/>
      <c r="L783" s="1988"/>
      <c r="M783" s="1988"/>
      <c r="N783" s="1989"/>
      <c r="O783" s="2217"/>
      <c r="P783" s="2217"/>
      <c r="Q783" s="2217"/>
      <c r="R783" s="2217"/>
      <c r="S783" s="2217"/>
      <c r="T783" s="2109"/>
      <c r="U783" s="2110"/>
      <c r="V783" s="2110"/>
      <c r="W783" s="2111"/>
      <c r="X783" s="1987"/>
      <c r="Y783" s="1988"/>
      <c r="Z783" s="1988"/>
      <c r="AA783" s="1988"/>
      <c r="AB783" s="1989"/>
      <c r="AC783" s="1987"/>
      <c r="AD783" s="1988"/>
      <c r="AE783" s="1988"/>
      <c r="AF783" s="1988"/>
      <c r="AG783" s="1989"/>
      <c r="AH783" s="2139"/>
      <c r="AI783" s="2140"/>
      <c r="AJ783" s="2140"/>
      <c r="AK783" s="2140"/>
      <c r="AL783" s="214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1987"/>
      <c r="K784" s="1988"/>
      <c r="L784" s="1988"/>
      <c r="M784" s="1988"/>
      <c r="N784" s="1989"/>
      <c r="O784" s="2217"/>
      <c r="P784" s="2217"/>
      <c r="Q784" s="2217"/>
      <c r="R784" s="2217"/>
      <c r="S784" s="2217"/>
      <c r="T784" s="2109"/>
      <c r="U784" s="2110"/>
      <c r="V784" s="2110"/>
      <c r="W784" s="2111"/>
      <c r="X784" s="1987"/>
      <c r="Y784" s="1988"/>
      <c r="Z784" s="1988"/>
      <c r="AA784" s="1988"/>
      <c r="AB784" s="1989"/>
      <c r="AC784" s="1987"/>
      <c r="AD784" s="1988"/>
      <c r="AE784" s="1988"/>
      <c r="AF784" s="1988"/>
      <c r="AG784" s="1989"/>
      <c r="AH784" s="2139"/>
      <c r="AI784" s="2140"/>
      <c r="AJ784" s="2140"/>
      <c r="AK784" s="2140"/>
      <c r="AL784" s="214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1990"/>
      <c r="K785" s="1991"/>
      <c r="L785" s="1991"/>
      <c r="M785" s="1991"/>
      <c r="N785" s="1992"/>
      <c r="O785" s="2217"/>
      <c r="P785" s="2217"/>
      <c r="Q785" s="2217"/>
      <c r="R785" s="2217"/>
      <c r="S785" s="2217"/>
      <c r="T785" s="2112"/>
      <c r="U785" s="2113"/>
      <c r="V785" s="2113"/>
      <c r="W785" s="2114"/>
      <c r="X785" s="1990"/>
      <c r="Y785" s="1991"/>
      <c r="Z785" s="1991"/>
      <c r="AA785" s="1991"/>
      <c r="AB785" s="1992"/>
      <c r="AC785" s="1990"/>
      <c r="AD785" s="1991"/>
      <c r="AE785" s="1991"/>
      <c r="AF785" s="1991"/>
      <c r="AG785" s="1992"/>
      <c r="AH785" s="2139"/>
      <c r="AI785" s="2140"/>
      <c r="AJ785" s="2140"/>
      <c r="AK785" s="2140"/>
      <c r="AL785" s="214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02"/>
      <c r="K786" s="1903"/>
      <c r="L786" s="1903"/>
      <c r="M786" s="1903"/>
      <c r="N786" s="1904"/>
      <c r="O786" s="1938"/>
      <c r="P786" s="1938"/>
      <c r="Q786" s="1938"/>
      <c r="R786" s="1938"/>
      <c r="S786" s="1938"/>
      <c r="T786" s="1931"/>
      <c r="U786" s="1932"/>
      <c r="V786" s="1932"/>
      <c r="W786" s="1933"/>
      <c r="X786" s="1922"/>
      <c r="Y786" s="1923"/>
      <c r="Z786" s="1923"/>
      <c r="AA786" s="1923"/>
      <c r="AB786" s="1924"/>
      <c r="AC786" s="2092">
        <f t="shared" ref="AC786:AC795" si="49">X786*O786</f>
        <v>0</v>
      </c>
      <c r="AD786" s="2093"/>
      <c r="AE786" s="2093"/>
      <c r="AF786" s="2093"/>
      <c r="AG786" s="2094"/>
      <c r="AH786" s="2141"/>
      <c r="AI786" s="2142"/>
      <c r="AJ786" s="2142"/>
      <c r="AK786" s="2142"/>
      <c r="AL786" s="214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02"/>
      <c r="K787" s="1903"/>
      <c r="L787" s="1903"/>
      <c r="M787" s="1903"/>
      <c r="N787" s="1904"/>
      <c r="O787" s="1938"/>
      <c r="P787" s="1938"/>
      <c r="Q787" s="1938"/>
      <c r="R787" s="1938"/>
      <c r="S787" s="1938"/>
      <c r="T787" s="1931"/>
      <c r="U787" s="1932"/>
      <c r="V787" s="1932"/>
      <c r="W787" s="1933"/>
      <c r="X787" s="1922"/>
      <c r="Y787" s="1923"/>
      <c r="Z787" s="1923"/>
      <c r="AA787" s="1923"/>
      <c r="AB787" s="1924"/>
      <c r="AC787" s="2092">
        <f t="shared" si="49"/>
        <v>0</v>
      </c>
      <c r="AD787" s="2093"/>
      <c r="AE787" s="2093"/>
      <c r="AF787" s="2093"/>
      <c r="AG787" s="2094"/>
      <c r="AH787" s="2141"/>
      <c r="AI787" s="2142"/>
      <c r="AJ787" s="2142"/>
      <c r="AK787" s="2142"/>
      <c r="AL787" s="214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02"/>
      <c r="K788" s="1903"/>
      <c r="L788" s="1903"/>
      <c r="M788" s="1903"/>
      <c r="N788" s="1904"/>
      <c r="O788" s="1938"/>
      <c r="P788" s="1938"/>
      <c r="Q788" s="1938"/>
      <c r="R788" s="1938"/>
      <c r="S788" s="1938"/>
      <c r="T788" s="1931"/>
      <c r="U788" s="1932"/>
      <c r="V788" s="1932"/>
      <c r="W788" s="1933"/>
      <c r="X788" s="1922"/>
      <c r="Y788" s="1923"/>
      <c r="Z788" s="1923"/>
      <c r="AA788" s="1923"/>
      <c r="AB788" s="1924"/>
      <c r="AC788" s="2092">
        <f t="shared" si="49"/>
        <v>0</v>
      </c>
      <c r="AD788" s="2093"/>
      <c r="AE788" s="2093"/>
      <c r="AF788" s="2093"/>
      <c r="AG788" s="2094"/>
      <c r="AH788" s="2141"/>
      <c r="AI788" s="2142"/>
      <c r="AJ788" s="2142"/>
      <c r="AK788" s="2142"/>
      <c r="AL788" s="214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02"/>
      <c r="K789" s="1903"/>
      <c r="L789" s="1903"/>
      <c r="M789" s="1903"/>
      <c r="N789" s="1904"/>
      <c r="O789" s="1938"/>
      <c r="P789" s="1938"/>
      <c r="Q789" s="1938"/>
      <c r="R789" s="1938"/>
      <c r="S789" s="1938"/>
      <c r="T789" s="1931"/>
      <c r="U789" s="1932"/>
      <c r="V789" s="1932"/>
      <c r="W789" s="1933"/>
      <c r="X789" s="1922"/>
      <c r="Y789" s="1923"/>
      <c r="Z789" s="1923"/>
      <c r="AA789" s="1923"/>
      <c r="AB789" s="1924"/>
      <c r="AC789" s="2092">
        <f t="shared" si="49"/>
        <v>0</v>
      </c>
      <c r="AD789" s="2093"/>
      <c r="AE789" s="2093"/>
      <c r="AF789" s="2093"/>
      <c r="AG789" s="2094"/>
      <c r="AH789" s="2141"/>
      <c r="AI789" s="2142"/>
      <c r="AJ789" s="2142"/>
      <c r="AK789" s="2142"/>
      <c r="AL789" s="214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02"/>
      <c r="K790" s="1903"/>
      <c r="L790" s="1903"/>
      <c r="M790" s="1903"/>
      <c r="N790" s="1904"/>
      <c r="O790" s="1938"/>
      <c r="P790" s="1938"/>
      <c r="Q790" s="1938"/>
      <c r="R790" s="1938"/>
      <c r="S790" s="1938"/>
      <c r="T790" s="1931"/>
      <c r="U790" s="1932"/>
      <c r="V790" s="1932"/>
      <c r="W790" s="1933"/>
      <c r="X790" s="1922"/>
      <c r="Y790" s="1923"/>
      <c r="Z790" s="1923"/>
      <c r="AA790" s="1923"/>
      <c r="AB790" s="1924"/>
      <c r="AC790" s="2092">
        <f t="shared" si="49"/>
        <v>0</v>
      </c>
      <c r="AD790" s="2093"/>
      <c r="AE790" s="2093"/>
      <c r="AF790" s="2093"/>
      <c r="AG790" s="2094"/>
      <c r="AH790" s="2141"/>
      <c r="AI790" s="2142"/>
      <c r="AJ790" s="2142"/>
      <c r="AK790" s="2142"/>
      <c r="AL790" s="214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02"/>
      <c r="K791" s="1903"/>
      <c r="L791" s="1903"/>
      <c r="M791" s="1903"/>
      <c r="N791" s="1904"/>
      <c r="O791" s="1938"/>
      <c r="P791" s="1938"/>
      <c r="Q791" s="1938"/>
      <c r="R791" s="1938"/>
      <c r="S791" s="1938"/>
      <c r="T791" s="1931"/>
      <c r="U791" s="1932"/>
      <c r="V791" s="1932"/>
      <c r="W791" s="1933"/>
      <c r="X791" s="1922"/>
      <c r="Y791" s="1923"/>
      <c r="Z791" s="1923"/>
      <c r="AA791" s="1923"/>
      <c r="AB791" s="1924"/>
      <c r="AC791" s="2092">
        <f t="shared" si="49"/>
        <v>0</v>
      </c>
      <c r="AD791" s="2093"/>
      <c r="AE791" s="2093"/>
      <c r="AF791" s="2093"/>
      <c r="AG791" s="2094"/>
      <c r="AH791" s="2141"/>
      <c r="AI791" s="2142"/>
      <c r="AJ791" s="2142"/>
      <c r="AK791" s="2142"/>
      <c r="AL791" s="214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02"/>
      <c r="K792" s="1903"/>
      <c r="L792" s="1903"/>
      <c r="M792" s="1903"/>
      <c r="N792" s="1904"/>
      <c r="O792" s="1938"/>
      <c r="P792" s="1938"/>
      <c r="Q792" s="1938"/>
      <c r="R792" s="1938"/>
      <c r="S792" s="1938"/>
      <c r="T792" s="1931"/>
      <c r="U792" s="1932"/>
      <c r="V792" s="1932"/>
      <c r="W792" s="1933"/>
      <c r="X792" s="1922"/>
      <c r="Y792" s="1923"/>
      <c r="Z792" s="1923"/>
      <c r="AA792" s="1923"/>
      <c r="AB792" s="1924"/>
      <c r="AC792" s="2092">
        <f t="shared" si="49"/>
        <v>0</v>
      </c>
      <c r="AD792" s="2093"/>
      <c r="AE792" s="2093"/>
      <c r="AF792" s="2093"/>
      <c r="AG792" s="2094"/>
      <c r="AH792" s="2141"/>
      <c r="AI792" s="2142"/>
      <c r="AJ792" s="2142"/>
      <c r="AK792" s="2142"/>
      <c r="AL792" s="214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02"/>
      <c r="K793" s="1903"/>
      <c r="L793" s="1903"/>
      <c r="M793" s="1903"/>
      <c r="N793" s="1904"/>
      <c r="O793" s="1938"/>
      <c r="P793" s="1938"/>
      <c r="Q793" s="1938"/>
      <c r="R793" s="1938"/>
      <c r="S793" s="1938"/>
      <c r="T793" s="1931"/>
      <c r="U793" s="1932"/>
      <c r="V793" s="1932"/>
      <c r="W793" s="1933"/>
      <c r="X793" s="1922"/>
      <c r="Y793" s="1923"/>
      <c r="Z793" s="1923"/>
      <c r="AA793" s="1923"/>
      <c r="AB793" s="1924"/>
      <c r="AC793" s="2092">
        <f t="shared" si="49"/>
        <v>0</v>
      </c>
      <c r="AD793" s="2093"/>
      <c r="AE793" s="2093"/>
      <c r="AF793" s="2093"/>
      <c r="AG793" s="2094"/>
      <c r="AH793" s="2141"/>
      <c r="AI793" s="2142"/>
      <c r="AJ793" s="2142"/>
      <c r="AK793" s="2142"/>
      <c r="AL793" s="214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02"/>
      <c r="K794" s="1903"/>
      <c r="L794" s="1903"/>
      <c r="M794" s="1903"/>
      <c r="N794" s="1904"/>
      <c r="O794" s="1938"/>
      <c r="P794" s="1938"/>
      <c r="Q794" s="1938"/>
      <c r="R794" s="1938"/>
      <c r="S794" s="1938"/>
      <c r="T794" s="1931"/>
      <c r="U794" s="1932"/>
      <c r="V794" s="1932"/>
      <c r="W794" s="1933"/>
      <c r="X794" s="1922"/>
      <c r="Y794" s="1923"/>
      <c r="Z794" s="1923"/>
      <c r="AA794" s="1923"/>
      <c r="AB794" s="1924"/>
      <c r="AC794" s="2092">
        <f t="shared" si="49"/>
        <v>0</v>
      </c>
      <c r="AD794" s="2093"/>
      <c r="AE794" s="2093"/>
      <c r="AF794" s="2093"/>
      <c r="AG794" s="2094"/>
      <c r="AH794" s="2141"/>
      <c r="AI794" s="2142"/>
      <c r="AJ794" s="2142"/>
      <c r="AK794" s="2142"/>
      <c r="AL794" s="214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02"/>
      <c r="K795" s="1903"/>
      <c r="L795" s="1903"/>
      <c r="M795" s="1903"/>
      <c r="N795" s="1904"/>
      <c r="O795" s="1938"/>
      <c r="P795" s="1938"/>
      <c r="Q795" s="1938"/>
      <c r="R795" s="1938"/>
      <c r="S795" s="1938"/>
      <c r="T795" s="1931"/>
      <c r="U795" s="1932"/>
      <c r="V795" s="1932"/>
      <c r="W795" s="1933"/>
      <c r="X795" s="1922"/>
      <c r="Y795" s="1923"/>
      <c r="Z795" s="1923"/>
      <c r="AA795" s="1923"/>
      <c r="AB795" s="1924"/>
      <c r="AC795" s="2092">
        <f t="shared" si="49"/>
        <v>0</v>
      </c>
      <c r="AD795" s="2093"/>
      <c r="AE795" s="2093"/>
      <c r="AF795" s="2093"/>
      <c r="AG795" s="2094"/>
      <c r="AH795" s="2141"/>
      <c r="AI795" s="2142"/>
      <c r="AJ795" s="2142"/>
      <c r="AK795" s="2142"/>
      <c r="AL795" s="214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000" t="s">
        <v>130</v>
      </c>
      <c r="K796" s="2001"/>
      <c r="L796" s="2001"/>
      <c r="M796" s="2001"/>
      <c r="N796" s="2002"/>
      <c r="O796" s="2123">
        <f>SUM(O786:S795)</f>
        <v>0</v>
      </c>
      <c r="P796" s="2123"/>
      <c r="Q796" s="2123"/>
      <c r="R796" s="2123"/>
      <c r="S796" s="2123"/>
      <c r="X796" s="967" t="s">
        <v>129</v>
      </c>
      <c r="Y796" s="968"/>
      <c r="Z796" s="968"/>
      <c r="AA796" s="968"/>
      <c r="AB796" s="969"/>
      <c r="AC796" s="2092">
        <f>SUM(AC786:AG795)</f>
        <v>0</v>
      </c>
      <c r="AD796" s="2093"/>
      <c r="AE796" s="2093"/>
      <c r="AF796" s="2093"/>
      <c r="AG796" s="209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1999">
        <f>O753+AC776+AC796</f>
        <v>104735.91999999998</v>
      </c>
      <c r="Z798" s="1999"/>
      <c r="AA798" s="1999"/>
      <c r="AB798" s="1999"/>
      <c r="AC798" s="19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1999">
        <f>(O753+AC776+AC796)*12</f>
        <v>1256831.0399999998</v>
      </c>
      <c r="Z799" s="1999"/>
      <c r="AA799" s="1999"/>
      <c r="AB799" s="1999"/>
      <c r="AC799" s="1999"/>
      <c r="AZ799" s="58"/>
      <c r="BA799" s="51" t="s">
        <v>656</v>
      </c>
      <c r="BB799" s="51"/>
      <c r="BC799" s="51"/>
      <c r="BD799" s="51"/>
      <c r="BE799" s="51"/>
      <c r="BF799" s="51"/>
      <c r="BG799" s="51"/>
      <c r="BH799" s="51"/>
      <c r="BI799" s="51"/>
      <c r="BJ799" s="51"/>
      <c r="BK799" s="51"/>
      <c r="BL799" s="51"/>
      <c r="BM799" s="51"/>
      <c r="BN799" s="2215" t="s">
        <v>492</v>
      </c>
      <c r="BO799" s="2216"/>
      <c r="BP799" s="58"/>
      <c r="BQ799" s="58"/>
      <c r="BR799" s="58"/>
      <c r="BS799" s="51" t="s">
        <v>658</v>
      </c>
      <c r="BT799" s="51"/>
      <c r="BU799" s="51"/>
      <c r="BV799" s="51"/>
      <c r="BW799" s="51"/>
      <c r="BX799" s="51"/>
      <c r="BY799" s="51"/>
      <c r="BZ799" s="51"/>
      <c r="CA799" s="51"/>
      <c r="CB799" s="2212" t="str">
        <f>T189</f>
        <v>San Francisco</v>
      </c>
      <c r="CC799" s="2213"/>
      <c r="CD799" s="2213"/>
      <c r="CE799" s="2213"/>
      <c r="CF799" s="2213"/>
      <c r="CG799" s="2213"/>
      <c r="CH799" s="221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613</v>
      </c>
      <c r="B801" s="50"/>
      <c r="C801" s="50" t="s">
        <v>636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492</v>
      </c>
      <c r="BP801" s="54"/>
      <c r="BQ801" s="54"/>
      <c r="BR801" s="54"/>
      <c r="BS801" s="54"/>
      <c r="BT801" s="54"/>
      <c r="CR801" s="112"/>
    </row>
    <row r="802" spans="1:110" s="51" customFormat="1" ht="13.2">
      <c r="A802" s="50"/>
      <c r="B802" s="50"/>
      <c r="C802" s="50" t="s">
        <v>969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491</v>
      </c>
      <c r="BO802" s="53" t="s">
        <v>2335</v>
      </c>
      <c r="BP802" s="54"/>
      <c r="BQ802" s="54"/>
      <c r="BR802" s="54"/>
      <c r="BS802" s="54"/>
      <c r="BT802" s="54"/>
      <c r="BV802" s="53" t="s">
        <v>2336</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362</v>
      </c>
      <c r="I804" s="77"/>
      <c r="J804" s="77"/>
      <c r="K804" s="77"/>
      <c r="L804" s="77"/>
      <c r="M804" s="77"/>
      <c r="N804" s="77"/>
      <c r="O804" s="77"/>
      <c r="P804" s="77"/>
      <c r="Q804" s="77"/>
      <c r="R804" s="77"/>
      <c r="S804" s="77"/>
      <c r="T804" s="77"/>
      <c r="U804" s="77"/>
      <c r="V804" s="77"/>
      <c r="W804" s="77"/>
      <c r="X804" s="77"/>
      <c r="Y804" s="77"/>
      <c r="Z804" s="2116">
        <v>0</v>
      </c>
      <c r="AA804" s="2117"/>
      <c r="AB804" s="2117"/>
      <c r="AC804" s="2117"/>
      <c r="AD804" s="2117"/>
      <c r="AE804" s="21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363</v>
      </c>
      <c r="I805" s="77"/>
      <c r="J805" s="77"/>
      <c r="K805" s="77"/>
      <c r="L805" s="77"/>
      <c r="M805" s="77"/>
      <c r="N805" s="77"/>
      <c r="O805" s="77"/>
      <c r="P805" s="77"/>
      <c r="Q805" s="77"/>
      <c r="R805" s="77"/>
      <c r="S805" s="77"/>
      <c r="T805" s="77"/>
      <c r="U805" s="77"/>
      <c r="V805" s="77"/>
      <c r="W805" s="77"/>
      <c r="X805" s="77"/>
      <c r="Y805" s="77"/>
      <c r="Z805" s="2119">
        <v>0</v>
      </c>
      <c r="AA805" s="2117"/>
      <c r="AB805" s="2117"/>
      <c r="AC805" s="2117"/>
      <c r="AD805" s="2117"/>
      <c r="AE805" s="21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61" t="s">
        <v>615</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12">
        <f>'Subsidy Contract Calculation'!J30</f>
        <v>0</v>
      </c>
      <c r="AA807" s="2013"/>
      <c r="AB807" s="2013"/>
      <c r="AC807" s="2013"/>
      <c r="AD807" s="2013"/>
      <c r="AE807" s="20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483</v>
      </c>
      <c r="BU808" s="56"/>
      <c r="BV808" s="56"/>
      <c r="BW808" s="108" t="s">
        <v>657</v>
      </c>
      <c r="BX808" s="109" t="s">
        <v>330</v>
      </c>
      <c r="BY808" s="109" t="s">
        <v>168</v>
      </c>
      <c r="BZ808" s="109" t="s">
        <v>169</v>
      </c>
      <c r="CA808" s="109" t="s">
        <v>483</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3.8">
      <c r="A809" s="50" t="s">
        <v>614</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887">
        <v>15200</v>
      </c>
      <c r="AA811" s="1888"/>
      <c r="AB811" s="1888"/>
      <c r="AC811" s="1888"/>
      <c r="AD811" s="1888"/>
      <c r="AE811" s="188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344</v>
      </c>
      <c r="BP811" s="505">
        <v>278972</v>
      </c>
      <c r="BQ811" s="505">
        <v>321652</v>
      </c>
      <c r="BR811" s="505">
        <v>388000</v>
      </c>
      <c r="BS811" s="505">
        <v>496640</v>
      </c>
      <c r="BT811" s="505">
        <v>553288</v>
      </c>
      <c r="BU811" s="56"/>
      <c r="BV811" s="36" t="s">
        <v>344</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887"/>
      <c r="AA812" s="1888"/>
      <c r="AB812" s="1888"/>
      <c r="AC812" s="1888"/>
      <c r="AD812" s="1888"/>
      <c r="AE812" s="188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887"/>
      <c r="AA813" s="1888"/>
      <c r="AB813" s="1888"/>
      <c r="AC813" s="1888"/>
      <c r="AD813" s="1888"/>
      <c r="AE813" s="188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36" t="s">
        <v>339</v>
      </c>
      <c r="Q814" s="2137"/>
      <c r="R814" s="2137"/>
      <c r="S814" s="2137"/>
      <c r="T814" s="2137"/>
      <c r="U814" s="2137"/>
      <c r="V814" s="2137"/>
      <c r="W814" s="2137"/>
      <c r="X814" s="2137"/>
      <c r="Y814" s="2138"/>
      <c r="Z814" s="1887"/>
      <c r="AA814" s="1888"/>
      <c r="AB814" s="1888"/>
      <c r="AC814" s="1888"/>
      <c r="AD814" s="1888"/>
      <c r="AE814" s="188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12">
        <f>SUM(Z811:AE814)</f>
        <v>15200</v>
      </c>
      <c r="AA815" s="2013"/>
      <c r="AB815" s="2013"/>
      <c r="AC815" s="2013"/>
      <c r="AD815" s="2013"/>
      <c r="AE815" s="20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012">
        <f>Z815+Y799+Z807</f>
        <v>1272031.0399999998</v>
      </c>
      <c r="AA816" s="2013"/>
      <c r="AB816" s="2013"/>
      <c r="AC816" s="2013"/>
      <c r="AD816" s="2013"/>
      <c r="AE816" s="20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616</v>
      </c>
      <c r="B818" s="50"/>
      <c r="C818" s="50" t="s">
        <v>440</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859</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146" t="s">
        <v>131</v>
      </c>
      <c r="N821" s="2146"/>
      <c r="O821" s="2146"/>
      <c r="P821" s="2147"/>
      <c r="Q821" s="2115" t="s">
        <v>295</v>
      </c>
      <c r="R821" s="2115"/>
      <c r="S821" s="2115"/>
      <c r="T821" s="2115"/>
      <c r="U821" s="2115" t="s">
        <v>296</v>
      </c>
      <c r="V821" s="2115"/>
      <c r="W821" s="2115"/>
      <c r="X821" s="2115"/>
      <c r="Y821" s="2115" t="s">
        <v>297</v>
      </c>
      <c r="Z821" s="2115"/>
      <c r="AA821" s="2115"/>
      <c r="AB821" s="2115"/>
      <c r="AC821" s="2115" t="s">
        <v>366</v>
      </c>
      <c r="AD821" s="2115"/>
      <c r="AE821" s="2115"/>
      <c r="AF821" s="2115"/>
      <c r="AG821" s="2286" t="s">
        <v>2556</v>
      </c>
      <c r="AH821" s="2286"/>
      <c r="AI821" s="2286"/>
      <c r="AJ821" s="22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148"/>
      <c r="N822" s="2148"/>
      <c r="O822" s="2148"/>
      <c r="P822" s="2149"/>
      <c r="Q822" s="2115"/>
      <c r="R822" s="2115"/>
      <c r="S822" s="2115"/>
      <c r="T822" s="2115"/>
      <c r="U822" s="2115"/>
      <c r="V822" s="2115"/>
      <c r="W822" s="2115"/>
      <c r="X822" s="2115"/>
      <c r="Y822" s="2115"/>
      <c r="Z822" s="2115"/>
      <c r="AA822" s="2115"/>
      <c r="AB822" s="2115"/>
      <c r="AC822" s="2115"/>
      <c r="AD822" s="2115"/>
      <c r="AE822" s="2115"/>
      <c r="AF822" s="2115"/>
      <c r="AG822" s="2286"/>
      <c r="AH822" s="2286"/>
      <c r="AI822" s="2286"/>
      <c r="AJ822" s="22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1" t="s">
        <v>43</v>
      </c>
      <c r="D823" s="2202"/>
      <c r="E823" s="2202"/>
      <c r="F823" s="2202"/>
      <c r="G823" s="2202"/>
      <c r="H823" s="2202"/>
      <c r="I823" s="80"/>
      <c r="J823" s="80"/>
      <c r="K823" s="80"/>
      <c r="L823" s="81"/>
      <c r="M823" s="1977">
        <v>5.54</v>
      </c>
      <c r="N823" s="1977"/>
      <c r="O823" s="1977"/>
      <c r="P823" s="1977"/>
      <c r="Q823" s="1977">
        <v>5.22</v>
      </c>
      <c r="R823" s="1977"/>
      <c r="S823" s="1977"/>
      <c r="T823" s="1977"/>
      <c r="U823" s="1977">
        <v>9.94</v>
      </c>
      <c r="V823" s="1977"/>
      <c r="W823" s="1977"/>
      <c r="X823" s="1977"/>
      <c r="Y823" s="1977">
        <v>9.7799999999999994</v>
      </c>
      <c r="Z823" s="1977"/>
      <c r="AA823" s="1977"/>
      <c r="AB823" s="1977"/>
      <c r="AC823" s="2003">
        <v>13.88</v>
      </c>
      <c r="AD823" s="2004"/>
      <c r="AE823" s="2004"/>
      <c r="AF823" s="2005"/>
      <c r="AG823" s="2003">
        <v>17.78</v>
      </c>
      <c r="AH823" s="2004"/>
      <c r="AI823" s="2004"/>
      <c r="AJ823" s="200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1927" t="s">
        <v>44</v>
      </c>
      <c r="D824" s="1925"/>
      <c r="E824" s="1925"/>
      <c r="F824" s="1925"/>
      <c r="G824" s="1925"/>
      <c r="H824" s="1925"/>
      <c r="I824" s="77"/>
      <c r="J824" s="77"/>
      <c r="K824" s="77"/>
      <c r="L824" s="78"/>
      <c r="M824" s="1977">
        <v>5.83</v>
      </c>
      <c r="N824" s="1977"/>
      <c r="O824" s="1977"/>
      <c r="P824" s="1977"/>
      <c r="Q824" s="1977">
        <v>6.93</v>
      </c>
      <c r="R824" s="1977"/>
      <c r="S824" s="1977"/>
      <c r="T824" s="1977"/>
      <c r="U824" s="1977">
        <v>9.25</v>
      </c>
      <c r="V824" s="1977"/>
      <c r="W824" s="1977"/>
      <c r="X824" s="1977"/>
      <c r="Y824" s="1977">
        <v>11.01</v>
      </c>
      <c r="Z824" s="1977"/>
      <c r="AA824" s="1977"/>
      <c r="AB824" s="1977"/>
      <c r="AC824" s="2003">
        <v>15.7</v>
      </c>
      <c r="AD824" s="2004"/>
      <c r="AE824" s="2004"/>
      <c r="AF824" s="2005"/>
      <c r="AG824" s="2003">
        <v>14.12</v>
      </c>
      <c r="AH824" s="2004"/>
      <c r="AI824" s="2004"/>
      <c r="AJ824" s="200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1927" t="s">
        <v>45</v>
      </c>
      <c r="D825" s="1925"/>
      <c r="E825" s="1925"/>
      <c r="F825" s="1925"/>
      <c r="G825" s="1925"/>
      <c r="H825" s="1925"/>
      <c r="I825" s="96"/>
      <c r="J825" s="96"/>
      <c r="K825" s="96"/>
      <c r="L825" s="97"/>
      <c r="M825" s="1977">
        <v>7.18</v>
      </c>
      <c r="N825" s="1977"/>
      <c r="O825" s="1977"/>
      <c r="P825" s="1977"/>
      <c r="Q825" s="1977">
        <v>8.2899999999999991</v>
      </c>
      <c r="R825" s="1977"/>
      <c r="S825" s="1977"/>
      <c r="T825" s="1977"/>
      <c r="U825" s="1977">
        <v>10.31</v>
      </c>
      <c r="V825" s="1977"/>
      <c r="W825" s="1977"/>
      <c r="X825" s="1977"/>
      <c r="Y825" s="1977">
        <v>11.8</v>
      </c>
      <c r="Z825" s="1977"/>
      <c r="AA825" s="1977"/>
      <c r="AB825" s="1977"/>
      <c r="AC825" s="2003">
        <v>13.34</v>
      </c>
      <c r="AD825" s="2004"/>
      <c r="AE825" s="2004"/>
      <c r="AF825" s="2005"/>
      <c r="AG825" s="2003">
        <v>14.58</v>
      </c>
      <c r="AH825" s="2004"/>
      <c r="AI825" s="2004"/>
      <c r="AJ825" s="200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1927" t="s">
        <v>802</v>
      </c>
      <c r="D826" s="1925"/>
      <c r="E826" s="1925"/>
      <c r="F826" s="1925"/>
      <c r="G826" s="1925"/>
      <c r="H826" s="1925"/>
      <c r="I826" s="96"/>
      <c r="J826" s="96"/>
      <c r="K826" s="96"/>
      <c r="L826" s="97"/>
      <c r="M826" s="1977">
        <v>4.2300000000000004</v>
      </c>
      <c r="N826" s="1977"/>
      <c r="O826" s="1977"/>
      <c r="P826" s="1977"/>
      <c r="Q826" s="1977">
        <v>5.66</v>
      </c>
      <c r="R826" s="1977"/>
      <c r="S826" s="1977"/>
      <c r="T826" s="1977"/>
      <c r="U826" s="1977">
        <v>7.21</v>
      </c>
      <c r="V826" s="1977"/>
      <c r="W826" s="1977"/>
      <c r="X826" s="1977"/>
      <c r="Y826" s="1977">
        <v>8.91</v>
      </c>
      <c r="Z826" s="1977"/>
      <c r="AA826" s="1977"/>
      <c r="AB826" s="1977"/>
      <c r="AC826" s="2003">
        <v>10.18</v>
      </c>
      <c r="AD826" s="2004"/>
      <c r="AE826" s="2004"/>
      <c r="AF826" s="2005"/>
      <c r="AG826" s="2003">
        <v>11.98</v>
      </c>
      <c r="AH826" s="2004"/>
      <c r="AI826" s="2004"/>
      <c r="AJ826" s="200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1927" t="s">
        <v>482</v>
      </c>
      <c r="D827" s="1925"/>
      <c r="E827" s="1925"/>
      <c r="F827" s="1925"/>
      <c r="G827" s="1925"/>
      <c r="H827" s="1925"/>
      <c r="I827" s="96"/>
      <c r="J827" s="96"/>
      <c r="K827" s="96"/>
      <c r="L827" s="97"/>
      <c r="M827" s="1977">
        <v>16.95</v>
      </c>
      <c r="N827" s="1977"/>
      <c r="O827" s="1977"/>
      <c r="P827" s="1977"/>
      <c r="Q827" s="1977">
        <v>21.2</v>
      </c>
      <c r="R827" s="1977"/>
      <c r="S827" s="1977"/>
      <c r="T827" s="1977"/>
      <c r="U827" s="1977">
        <v>26.43</v>
      </c>
      <c r="V827" s="1977"/>
      <c r="W827" s="1977"/>
      <c r="X827" s="1977"/>
      <c r="Y827" s="1977">
        <v>30.9</v>
      </c>
      <c r="Z827" s="1977"/>
      <c r="AA827" s="1977"/>
      <c r="AB827" s="1977"/>
      <c r="AC827" s="2003">
        <v>36.39</v>
      </c>
      <c r="AD827" s="2004"/>
      <c r="AE827" s="2004"/>
      <c r="AF827" s="2005"/>
      <c r="AG827" s="2003">
        <v>40.619999999999997</v>
      </c>
      <c r="AH827" s="2004"/>
      <c r="AI827" s="2004"/>
      <c r="AJ827" s="200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4" t="s">
        <v>822</v>
      </c>
      <c r="D828" s="1925"/>
      <c r="E828" s="1925"/>
      <c r="F828" s="1925"/>
      <c r="G828" s="1925"/>
      <c r="H828" s="1925"/>
      <c r="I828" s="96"/>
      <c r="J828" s="96"/>
      <c r="K828" s="96"/>
      <c r="L828" s="97"/>
      <c r="M828" s="1977"/>
      <c r="N828" s="1977"/>
      <c r="O828" s="1977"/>
      <c r="P828" s="1977"/>
      <c r="Q828" s="1977"/>
      <c r="R828" s="1977"/>
      <c r="S828" s="1977"/>
      <c r="T828" s="1977"/>
      <c r="U828" s="1977"/>
      <c r="V828" s="1977"/>
      <c r="W828" s="1977"/>
      <c r="X828" s="1977"/>
      <c r="Y828" s="1977"/>
      <c r="Z828" s="1977"/>
      <c r="AA828" s="1977"/>
      <c r="AB828" s="1977"/>
      <c r="AC828" s="2003"/>
      <c r="AD828" s="2004"/>
      <c r="AE828" s="2004"/>
      <c r="AF828" s="2005"/>
      <c r="AG828" s="2003"/>
      <c r="AH828" s="2004"/>
      <c r="AI828" s="2004"/>
      <c r="AJ828" s="200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03" t="s">
        <v>2555</v>
      </c>
      <c r="G829" s="2133"/>
      <c r="H829" s="2133"/>
      <c r="I829" s="2133"/>
      <c r="J829" s="2133"/>
      <c r="K829" s="2133"/>
      <c r="L829" s="2134"/>
      <c r="M829" s="1977">
        <v>1.1499999999999999</v>
      </c>
      <c r="N829" s="1977"/>
      <c r="O829" s="1977"/>
      <c r="P829" s="1977"/>
      <c r="Q829" s="1977">
        <v>0.94</v>
      </c>
      <c r="R829" s="1977"/>
      <c r="S829" s="1977"/>
      <c r="T829" s="1977"/>
      <c r="U829" s="1977">
        <v>0.65</v>
      </c>
      <c r="V829" s="1977"/>
      <c r="W829" s="1977"/>
      <c r="X829" s="1977"/>
      <c r="Y829" s="1977">
        <v>1.32</v>
      </c>
      <c r="Z829" s="1977"/>
      <c r="AA829" s="1977"/>
      <c r="AB829" s="1977"/>
      <c r="AC829" s="2003">
        <v>1.8</v>
      </c>
      <c r="AD829" s="2004"/>
      <c r="AE829" s="2004"/>
      <c r="AF829" s="2005"/>
      <c r="AG829" s="2003">
        <v>2.1800000000000002</v>
      </c>
      <c r="AH829" s="2004"/>
      <c r="AI829" s="2004"/>
      <c r="AJ829" s="200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000" t="s">
        <v>129</v>
      </c>
      <c r="D830" s="2001"/>
      <c r="E830" s="2001"/>
      <c r="F830" s="2001"/>
      <c r="G830" s="2001"/>
      <c r="H830" s="2001"/>
      <c r="I830" s="2001"/>
      <c r="J830" s="2001"/>
      <c r="K830" s="2001"/>
      <c r="L830" s="2002"/>
      <c r="M830" s="2144">
        <f>SUM(M823:P829)</f>
        <v>40.880000000000003</v>
      </c>
      <c r="N830" s="2144"/>
      <c r="O830" s="2144"/>
      <c r="P830" s="2144"/>
      <c r="Q830" s="2144">
        <f>SUM(Q823:T829)</f>
        <v>48.239999999999995</v>
      </c>
      <c r="R830" s="2144"/>
      <c r="S830" s="2144"/>
      <c r="T830" s="2144"/>
      <c r="U830" s="2144">
        <f>SUM(U823:X829)</f>
        <v>63.79</v>
      </c>
      <c r="V830" s="2144"/>
      <c r="W830" s="2144"/>
      <c r="X830" s="2144"/>
      <c r="Y830" s="2144">
        <f>SUM(Y823:AB829)</f>
        <v>73.72</v>
      </c>
      <c r="Z830" s="2144"/>
      <c r="AA830" s="2144"/>
      <c r="AB830" s="2144"/>
      <c r="AC830" s="2144">
        <f>SUM(AC823:AF829)</f>
        <v>91.29</v>
      </c>
      <c r="AD830" s="2144"/>
      <c r="AE830" s="2144"/>
      <c r="AF830" s="2144"/>
      <c r="AG830" s="2144">
        <f>SUM(AG823:AJ829)</f>
        <v>101.25999999999999</v>
      </c>
      <c r="AH830" s="2144"/>
      <c r="AI830" s="2144"/>
      <c r="AJ830" s="214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823</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824</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189" t="s">
        <v>2557</v>
      </c>
      <c r="D835" s="2190"/>
      <c r="E835" s="2190"/>
      <c r="F835" s="2190"/>
      <c r="G835" s="2190"/>
      <c r="H835" s="2190"/>
      <c r="I835" s="2190"/>
      <c r="J835" s="2190"/>
      <c r="K835" s="2190"/>
      <c r="L835" s="2190"/>
      <c r="M835" s="2190"/>
      <c r="N835" s="2190"/>
      <c r="O835" s="2190"/>
      <c r="P835" s="2190"/>
      <c r="Q835" s="2190"/>
      <c r="R835" s="2190"/>
      <c r="S835" s="2190"/>
      <c r="T835" s="2190"/>
      <c r="U835" s="2190"/>
      <c r="V835" s="2190"/>
      <c r="W835" s="2190"/>
      <c r="X835" s="2190"/>
      <c r="Y835" s="2190"/>
      <c r="Z835" s="2190"/>
      <c r="AA835" s="2190"/>
      <c r="AB835" s="2190"/>
      <c r="AC835" s="2190"/>
      <c r="AD835" s="2190"/>
      <c r="AE835" s="2190"/>
      <c r="AF835" s="2190"/>
      <c r="AG835" s="2190"/>
      <c r="AH835" s="2190"/>
      <c r="AI835" s="2190"/>
      <c r="AJ835" s="21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1315</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3.8">
      <c r="A838" s="50" t="s">
        <v>490</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348</v>
      </c>
      <c r="D840" s="12"/>
      <c r="E840" s="12"/>
      <c r="F840" s="12"/>
      <c r="G840" s="12"/>
      <c r="H840" s="12"/>
      <c r="I840" s="12"/>
      <c r="J840" s="76" t="s">
        <v>361</v>
      </c>
      <c r="K840" s="77"/>
      <c r="L840" s="77"/>
      <c r="M840" s="77"/>
      <c r="N840" s="77"/>
      <c r="O840" s="77"/>
      <c r="P840" s="77"/>
      <c r="Q840" s="77"/>
      <c r="R840" s="77"/>
      <c r="S840" s="77"/>
      <c r="T840" s="77"/>
      <c r="U840" s="77"/>
      <c r="V840" s="78"/>
      <c r="W840" s="1998">
        <v>2190</v>
      </c>
      <c r="X840" s="1998"/>
      <c r="Y840" s="1998"/>
      <c r="Z840" s="1998"/>
      <c r="AA840" s="1998"/>
      <c r="AB840" s="1998"/>
      <c r="AC840" s="19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360</v>
      </c>
      <c r="K841" s="77"/>
      <c r="L841" s="77"/>
      <c r="M841" s="77"/>
      <c r="N841" s="77"/>
      <c r="O841" s="77"/>
      <c r="P841" s="77"/>
      <c r="Q841" s="77"/>
      <c r="R841" s="77"/>
      <c r="S841" s="77"/>
      <c r="T841" s="77"/>
      <c r="U841" s="77"/>
      <c r="V841" s="78"/>
      <c r="W841" s="1998">
        <v>2500</v>
      </c>
      <c r="X841" s="1998"/>
      <c r="Y841" s="1998"/>
      <c r="Z841" s="1998"/>
      <c r="AA841" s="1998"/>
      <c r="AB841" s="1998"/>
      <c r="AC841" s="19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359</v>
      </c>
      <c r="K842" s="77"/>
      <c r="L842" s="77"/>
      <c r="M842" s="77"/>
      <c r="N842" s="77"/>
      <c r="O842" s="77"/>
      <c r="P842" s="77"/>
      <c r="Q842" s="77"/>
      <c r="R842" s="77"/>
      <c r="S842" s="77"/>
      <c r="T842" s="77"/>
      <c r="U842" s="77"/>
      <c r="V842" s="78"/>
      <c r="W842" s="1998">
        <v>21950</v>
      </c>
      <c r="X842" s="1998"/>
      <c r="Y842" s="1998"/>
      <c r="Z842" s="1998"/>
      <c r="AA842" s="1998"/>
      <c r="AB842" s="1998"/>
      <c r="AC842" s="19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358</v>
      </c>
      <c r="K843" s="77"/>
      <c r="L843" s="77"/>
      <c r="M843" s="77"/>
      <c r="N843" s="77"/>
      <c r="O843" s="77"/>
      <c r="P843" s="77"/>
      <c r="Q843" s="77"/>
      <c r="R843" s="77"/>
      <c r="S843" s="77"/>
      <c r="T843" s="77"/>
      <c r="U843" s="77"/>
      <c r="V843" s="78"/>
      <c r="W843" s="1998">
        <v>0</v>
      </c>
      <c r="X843" s="1998"/>
      <c r="Y843" s="1998"/>
      <c r="Z843" s="1998"/>
      <c r="AA843" s="1998"/>
      <c r="AB843" s="1998"/>
      <c r="AC843" s="19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03" t="s">
        <v>2603</v>
      </c>
      <c r="N844" s="2133"/>
      <c r="O844" s="2133"/>
      <c r="P844" s="2133"/>
      <c r="Q844" s="2133"/>
      <c r="R844" s="2133"/>
      <c r="S844" s="2133"/>
      <c r="T844" s="2133"/>
      <c r="U844" s="2133"/>
      <c r="V844" s="2134"/>
      <c r="W844" s="1998">
        <v>24296</v>
      </c>
      <c r="X844" s="1998"/>
      <c r="Y844" s="1998"/>
      <c r="Z844" s="1998"/>
      <c r="AA844" s="1998"/>
      <c r="AB844" s="1998"/>
      <c r="AC844" s="19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53">
        <f>ROUNDDOWN(BC932*2,2)</f>
        <v>0</v>
      </c>
      <c r="BJ844" s="2253"/>
      <c r="BK844" s="2253"/>
      <c r="BL844" s="2253"/>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347</v>
      </c>
      <c r="W845" s="2012">
        <f>SUM(W840:AC844)</f>
        <v>50936</v>
      </c>
      <c r="X845" s="2013"/>
      <c r="Y845" s="2013"/>
      <c r="Z845" s="2013"/>
      <c r="AA845" s="2013"/>
      <c r="AB845" s="2013"/>
      <c r="AC845" s="20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349</v>
      </c>
      <c r="D847" s="12"/>
      <c r="E847" s="12"/>
      <c r="F847" s="12"/>
      <c r="G847" s="12"/>
      <c r="H847" s="12"/>
      <c r="I847" s="12"/>
      <c r="J847" s="2000" t="s">
        <v>350</v>
      </c>
      <c r="K847" s="2001"/>
      <c r="L847" s="2001"/>
      <c r="M847" s="2001"/>
      <c r="N847" s="2001"/>
      <c r="O847" s="2001"/>
      <c r="P847" s="2001"/>
      <c r="Q847" s="2001"/>
      <c r="R847" s="2001"/>
      <c r="S847" s="2001"/>
      <c r="T847" s="2001"/>
      <c r="U847" s="2001"/>
      <c r="V847" s="2002"/>
      <c r="W847" s="1887">
        <f>56940+23460</f>
        <v>80400</v>
      </c>
      <c r="X847" s="1888"/>
      <c r="Y847" s="1888"/>
      <c r="Z847" s="1888"/>
      <c r="AA847" s="1888"/>
      <c r="AB847" s="1888"/>
      <c r="AC847" s="188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584</v>
      </c>
      <c r="D849" s="12"/>
      <c r="E849" s="12"/>
      <c r="F849" s="12"/>
      <c r="G849" s="12"/>
      <c r="H849" s="12"/>
      <c r="I849" s="12"/>
      <c r="J849" s="76" t="s">
        <v>357</v>
      </c>
      <c r="K849" s="77"/>
      <c r="L849" s="77"/>
      <c r="M849" s="77"/>
      <c r="N849" s="77"/>
      <c r="O849" s="77"/>
      <c r="P849" s="77"/>
      <c r="Q849" s="77"/>
      <c r="R849" s="77"/>
      <c r="S849" s="77"/>
      <c r="T849" s="77"/>
      <c r="U849" s="77"/>
      <c r="V849" s="78"/>
      <c r="W849" s="2135"/>
      <c r="X849" s="2135"/>
      <c r="Y849" s="2135"/>
      <c r="Z849" s="2135"/>
      <c r="AA849" s="2135"/>
      <c r="AB849" s="2135"/>
      <c r="AC849" s="213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356</v>
      </c>
      <c r="K850" s="77"/>
      <c r="L850" s="77"/>
      <c r="M850" s="77"/>
      <c r="N850" s="77"/>
      <c r="O850" s="77"/>
      <c r="P850" s="77"/>
      <c r="Q850" s="77"/>
      <c r="R850" s="77"/>
      <c r="S850" s="77"/>
      <c r="T850" s="77"/>
      <c r="U850" s="77"/>
      <c r="V850" s="78"/>
      <c r="W850" s="2135"/>
      <c r="X850" s="2135"/>
      <c r="Y850" s="2135"/>
      <c r="Z850" s="2135"/>
      <c r="AA850" s="2135"/>
      <c r="AB850" s="2135"/>
      <c r="AC850" s="213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482</v>
      </c>
      <c r="K851" s="77"/>
      <c r="L851" s="77"/>
      <c r="M851" s="77"/>
      <c r="N851" s="77"/>
      <c r="O851" s="77"/>
      <c r="P851" s="77"/>
      <c r="Q851" s="77"/>
      <c r="R851" s="77"/>
      <c r="S851" s="77"/>
      <c r="T851" s="77"/>
      <c r="U851" s="77"/>
      <c r="V851" s="78"/>
      <c r="W851" s="2135">
        <v>34800</v>
      </c>
      <c r="X851" s="2135"/>
      <c r="Y851" s="2135"/>
      <c r="Z851" s="2135"/>
      <c r="AA851" s="2135"/>
      <c r="AB851" s="2135"/>
      <c r="AC851" s="213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67"/>
      <c r="BH851" s="2167"/>
      <c r="BI851" s="2167"/>
      <c r="BJ851" s="2167"/>
      <c r="BK851" s="2167"/>
      <c r="BL851" s="2167"/>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644</v>
      </c>
      <c r="K852" s="77"/>
      <c r="L852" s="77"/>
      <c r="M852" s="77"/>
      <c r="N852" s="77"/>
      <c r="O852" s="77"/>
      <c r="P852" s="77"/>
      <c r="Q852" s="77"/>
      <c r="R852" s="77"/>
      <c r="S852" s="77"/>
      <c r="T852" s="77"/>
      <c r="U852" s="77"/>
      <c r="V852" s="78"/>
      <c r="W852" s="2135">
        <v>105184</v>
      </c>
      <c r="X852" s="2135"/>
      <c r="Y852" s="2135"/>
      <c r="Z852" s="2135"/>
      <c r="AA852" s="2135"/>
      <c r="AB852" s="2135"/>
      <c r="AC852" s="213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85">
        <f>SUM(W849:AC852)</f>
        <v>139984</v>
      </c>
      <c r="X853" s="2285"/>
      <c r="Y853" s="2285"/>
      <c r="Z853" s="2285"/>
      <c r="AA853" s="2285"/>
      <c r="AB853" s="2285"/>
      <c r="AC853" s="22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145">
        <f>SUM(AZ821:AZ849)</f>
        <v>7.5000000000000011E-2</v>
      </c>
      <c r="BA854" s="2145"/>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351</v>
      </c>
      <c r="D855" s="12"/>
      <c r="E855" s="12"/>
      <c r="F855" s="12"/>
      <c r="G855" s="12"/>
      <c r="H855" s="12"/>
      <c r="I855" s="12"/>
      <c r="J855" s="76" t="s">
        <v>643</v>
      </c>
      <c r="K855" s="77"/>
      <c r="L855" s="77"/>
      <c r="M855" s="77"/>
      <c r="N855" s="77"/>
      <c r="O855" s="77"/>
      <c r="P855" s="77"/>
      <c r="Q855" s="77"/>
      <c r="R855" s="77"/>
      <c r="S855" s="77"/>
      <c r="T855" s="77"/>
      <c r="U855" s="77"/>
      <c r="V855" s="78"/>
      <c r="W855" s="2158">
        <v>179733</v>
      </c>
      <c r="X855" s="2159"/>
      <c r="Y855" s="2159"/>
      <c r="Z855" s="2159"/>
      <c r="AA855" s="2159"/>
      <c r="AB855" s="2159"/>
      <c r="AC855" s="216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352</v>
      </c>
      <c r="D856" s="711"/>
      <c r="E856" s="711"/>
      <c r="F856" s="711"/>
      <c r="G856" s="711"/>
      <c r="H856" s="711"/>
      <c r="I856" s="711"/>
      <c r="J856" s="185" t="s">
        <v>1857</v>
      </c>
      <c r="K856" s="77"/>
      <c r="L856" s="77"/>
      <c r="M856" s="77"/>
      <c r="N856" s="77"/>
      <c r="O856" s="77"/>
      <c r="P856" s="77"/>
      <c r="Q856" s="77"/>
      <c r="R856" s="77"/>
      <c r="S856" s="77"/>
      <c r="T856" s="2196">
        <v>4</v>
      </c>
      <c r="U856" s="2197"/>
      <c r="V856" s="2198"/>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642</v>
      </c>
      <c r="K857" s="77"/>
      <c r="L857" s="77"/>
      <c r="M857" s="77"/>
      <c r="N857" s="77"/>
      <c r="O857" s="77"/>
      <c r="P857" s="77"/>
      <c r="Q857" s="77"/>
      <c r="R857" s="77"/>
      <c r="S857" s="77"/>
      <c r="T857" s="77"/>
      <c r="U857" s="77"/>
      <c r="V857" s="78"/>
      <c r="W857" s="2158">
        <v>111068</v>
      </c>
      <c r="X857" s="2159"/>
      <c r="Y857" s="2159"/>
      <c r="Z857" s="2159"/>
      <c r="AA857" s="2159"/>
      <c r="AB857" s="2159"/>
      <c r="AC857" s="216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1858</v>
      </c>
      <c r="K858" s="77"/>
      <c r="L858" s="77"/>
      <c r="M858" s="77"/>
      <c r="N858" s="77"/>
      <c r="O858" s="77"/>
      <c r="P858" s="77"/>
      <c r="Q858" s="77"/>
      <c r="R858" s="77"/>
      <c r="S858" s="77"/>
      <c r="T858" s="2196"/>
      <c r="U858" s="2197"/>
      <c r="V858" s="2198"/>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03" t="s">
        <v>2604</v>
      </c>
      <c r="N859" s="2133"/>
      <c r="O859" s="2133"/>
      <c r="P859" s="2133"/>
      <c r="Q859" s="2133"/>
      <c r="R859" s="2133"/>
      <c r="S859" s="2133"/>
      <c r="T859" s="2133"/>
      <c r="U859" s="2133"/>
      <c r="V859" s="2134"/>
      <c r="W859" s="2158">
        <v>101677</v>
      </c>
      <c r="X859" s="2159"/>
      <c r="Y859" s="2159"/>
      <c r="Z859" s="2159"/>
      <c r="AA859" s="2159"/>
      <c r="AB859" s="2159"/>
      <c r="AC859" s="216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7">
        <f>SUM(W855:AC859)</f>
        <v>392478</v>
      </c>
      <c r="X860" s="2288"/>
      <c r="Y860" s="2288"/>
      <c r="Z860" s="2288"/>
      <c r="AA860" s="2288"/>
      <c r="AB860" s="2288"/>
      <c r="AC860" s="2289"/>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58">
        <v>140000</v>
      </c>
      <c r="X861" s="2159"/>
      <c r="Y861" s="2159"/>
      <c r="Z861" s="2159"/>
      <c r="AA861" s="2159"/>
      <c r="AB861" s="2159"/>
      <c r="AC861" s="216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403</v>
      </c>
      <c r="J863" s="76" t="s">
        <v>641</v>
      </c>
      <c r="K863" s="77"/>
      <c r="L863" s="77"/>
      <c r="M863" s="77"/>
      <c r="N863" s="77"/>
      <c r="O863" s="77"/>
      <c r="P863" s="77"/>
      <c r="Q863" s="77"/>
      <c r="R863" s="77"/>
      <c r="S863" s="77"/>
      <c r="T863" s="77"/>
      <c r="U863" s="77"/>
      <c r="V863" s="78"/>
      <c r="W863" s="1998"/>
      <c r="X863" s="1998"/>
      <c r="Y863" s="1998"/>
      <c r="Z863" s="1998"/>
      <c r="AA863" s="1998"/>
      <c r="AB863" s="1998"/>
      <c r="AC863" s="1998"/>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545</v>
      </c>
      <c r="K864" s="77"/>
      <c r="L864" s="77"/>
      <c r="M864" s="77"/>
      <c r="N864" s="77"/>
      <c r="O864" s="77"/>
      <c r="P864" s="77"/>
      <c r="Q864" s="77"/>
      <c r="R864" s="77"/>
      <c r="S864" s="77"/>
      <c r="T864" s="77"/>
      <c r="U864" s="77"/>
      <c r="V864" s="78"/>
      <c r="W864" s="1998">
        <v>77758</v>
      </c>
      <c r="X864" s="1998"/>
      <c r="Y864" s="1998"/>
      <c r="Z864" s="1998"/>
      <c r="AA864" s="1998"/>
      <c r="AB864" s="1998"/>
      <c r="AC864" s="1998"/>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544</v>
      </c>
      <c r="K865" s="77"/>
      <c r="L865" s="77"/>
      <c r="M865" s="77"/>
      <c r="N865" s="77"/>
      <c r="O865" s="77"/>
      <c r="P865" s="77"/>
      <c r="Q865" s="77"/>
      <c r="R865" s="77"/>
      <c r="S865" s="77"/>
      <c r="T865" s="77"/>
      <c r="U865" s="77"/>
      <c r="V865" s="78"/>
      <c r="W865" s="1998">
        <v>52706</v>
      </c>
      <c r="X865" s="1998"/>
      <c r="Y865" s="1998"/>
      <c r="Z865" s="1998"/>
      <c r="AA865" s="1998"/>
      <c r="AB865" s="1998"/>
      <c r="AC865" s="1998"/>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543</v>
      </c>
      <c r="K866" s="77"/>
      <c r="L866" s="77"/>
      <c r="M866" s="77"/>
      <c r="N866" s="77"/>
      <c r="O866" s="77"/>
      <c r="P866" s="77"/>
      <c r="Q866" s="77"/>
      <c r="R866" s="77"/>
      <c r="S866" s="77"/>
      <c r="T866" s="77"/>
      <c r="U866" s="77"/>
      <c r="V866" s="78"/>
      <c r="W866" s="1998"/>
      <c r="X866" s="1998"/>
      <c r="Y866" s="1998"/>
      <c r="Z866" s="1998"/>
      <c r="AA866" s="1998"/>
      <c r="AB866" s="1998"/>
      <c r="AC866" s="1998"/>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542</v>
      </c>
      <c r="K867" s="77"/>
      <c r="L867" s="77"/>
      <c r="M867" s="77"/>
      <c r="N867" s="77"/>
      <c r="O867" s="77"/>
      <c r="P867" s="77"/>
      <c r="Q867" s="77"/>
      <c r="R867" s="77"/>
      <c r="S867" s="77"/>
      <c r="T867" s="77"/>
      <c r="U867" s="77"/>
      <c r="V867" s="78"/>
      <c r="W867" s="1998"/>
      <c r="X867" s="1998"/>
      <c r="Y867" s="1998"/>
      <c r="Z867" s="1998"/>
      <c r="AA867" s="1998"/>
      <c r="AB867" s="1998"/>
      <c r="AC867" s="19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541</v>
      </c>
      <c r="K868" s="77"/>
      <c r="L868" s="77"/>
      <c r="M868" s="77"/>
      <c r="N868" s="77"/>
      <c r="O868" s="77"/>
      <c r="P868" s="77"/>
      <c r="Q868" s="77"/>
      <c r="R868" s="77"/>
      <c r="S868" s="77"/>
      <c r="T868" s="77"/>
      <c r="U868" s="77"/>
      <c r="V868" s="78"/>
      <c r="W868" s="1998"/>
      <c r="X868" s="1998"/>
      <c r="Y868" s="1998"/>
      <c r="Z868" s="1998"/>
      <c r="AA868" s="1998"/>
      <c r="AB868" s="1998"/>
      <c r="AC868" s="19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132" t="s">
        <v>339</v>
      </c>
      <c r="N869" s="2133"/>
      <c r="O869" s="2133"/>
      <c r="P869" s="2133"/>
      <c r="Q869" s="2133"/>
      <c r="R869" s="2133"/>
      <c r="S869" s="2133"/>
      <c r="T869" s="2133"/>
      <c r="U869" s="2133"/>
      <c r="V869" s="2134"/>
      <c r="W869" s="1998"/>
      <c r="X869" s="1998"/>
      <c r="Y869" s="1998"/>
      <c r="Z869" s="1998"/>
      <c r="AA869" s="1998"/>
      <c r="AB869" s="1998"/>
      <c r="AC869" s="1998"/>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1999">
        <f>SUM(W863:AC869)</f>
        <v>130464</v>
      </c>
      <c r="X870" s="1999"/>
      <c r="Y870" s="1999"/>
      <c r="Z870" s="1999"/>
      <c r="AA870" s="1999"/>
      <c r="AB870" s="1999"/>
      <c r="AC870" s="19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1408</v>
      </c>
      <c r="J872" s="76" t="s">
        <v>174</v>
      </c>
      <c r="K872" s="77"/>
      <c r="L872" s="77"/>
      <c r="M872" s="2203" t="s">
        <v>2605</v>
      </c>
      <c r="N872" s="2133"/>
      <c r="O872" s="2133"/>
      <c r="P872" s="2133"/>
      <c r="Q872" s="2133"/>
      <c r="R872" s="2133"/>
      <c r="S872" s="2133"/>
      <c r="T872" s="2133"/>
      <c r="U872" s="2133"/>
      <c r="V872" s="2134"/>
      <c r="W872" s="1887">
        <f>5000+3150</f>
        <v>8150</v>
      </c>
      <c r="X872" s="1888"/>
      <c r="Y872" s="1888"/>
      <c r="Z872" s="1888"/>
      <c r="AA872" s="1888"/>
      <c r="AB872" s="1888"/>
      <c r="AC872" s="188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1409</v>
      </c>
      <c r="J873" s="76" t="s">
        <v>174</v>
      </c>
      <c r="K873" s="77"/>
      <c r="L873" s="77"/>
      <c r="M873" s="2132" t="s">
        <v>339</v>
      </c>
      <c r="N873" s="2133"/>
      <c r="O873" s="2133"/>
      <c r="P873" s="2133"/>
      <c r="Q873" s="2133"/>
      <c r="R873" s="2133"/>
      <c r="S873" s="2133"/>
      <c r="T873" s="2133"/>
      <c r="U873" s="2133"/>
      <c r="V873" s="2134"/>
      <c r="W873" s="1887"/>
      <c r="X873" s="1888"/>
      <c r="Y873" s="1888"/>
      <c r="Z873" s="1888"/>
      <c r="AA873" s="1888"/>
      <c r="AB873" s="1888"/>
      <c r="AC873" s="188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32" t="s">
        <v>339</v>
      </c>
      <c r="N874" s="2133"/>
      <c r="O874" s="2133"/>
      <c r="P874" s="2133"/>
      <c r="Q874" s="2133"/>
      <c r="R874" s="2133"/>
      <c r="S874" s="2133"/>
      <c r="T874" s="2133"/>
      <c r="U874" s="2133"/>
      <c r="V874" s="2134"/>
      <c r="W874" s="1887"/>
      <c r="X874" s="1888"/>
      <c r="Y874" s="1888"/>
      <c r="Z874" s="1888"/>
      <c r="AA874" s="1888"/>
      <c r="AB874" s="1888"/>
      <c r="AC874" s="188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32" t="s">
        <v>339</v>
      </c>
      <c r="N875" s="2133"/>
      <c r="O875" s="2133"/>
      <c r="P875" s="2133"/>
      <c r="Q875" s="2133"/>
      <c r="R875" s="2133"/>
      <c r="S875" s="2133"/>
      <c r="T875" s="2133"/>
      <c r="U875" s="2133"/>
      <c r="V875" s="2134"/>
      <c r="W875" s="1887"/>
      <c r="X875" s="1888"/>
      <c r="Y875" s="1888"/>
      <c r="Z875" s="1888"/>
      <c r="AA875" s="1888"/>
      <c r="AB875" s="1888"/>
      <c r="AC875" s="188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32" t="s">
        <v>339</v>
      </c>
      <c r="N876" s="2133"/>
      <c r="O876" s="2133"/>
      <c r="P876" s="2133"/>
      <c r="Q876" s="2133"/>
      <c r="R876" s="2133"/>
      <c r="S876" s="2133"/>
      <c r="T876" s="2133"/>
      <c r="U876" s="2133"/>
      <c r="V876" s="2134"/>
      <c r="W876" s="1887"/>
      <c r="X876" s="1888"/>
      <c r="Y876" s="1888"/>
      <c r="Z876" s="1888"/>
      <c r="AA876" s="1888"/>
      <c r="AB876" s="1888"/>
      <c r="AC876" s="188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12">
        <f>SUM(W872:AC876)</f>
        <v>8150</v>
      </c>
      <c r="X877" s="2013"/>
      <c r="Y877" s="2013"/>
      <c r="Z877" s="2013"/>
      <c r="AA877" s="2013"/>
      <c r="AB877" s="2013"/>
      <c r="AC877" s="20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282</v>
      </c>
      <c r="AC881" s="2013">
        <f>W845+W853+W860+W861+W870+W877+W847</f>
        <v>942412</v>
      </c>
      <c r="AD881" s="2013"/>
      <c r="AE881" s="2013"/>
      <c r="AF881" s="2013"/>
      <c r="AG881" s="2013"/>
      <c r="AH881" s="20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534</v>
      </c>
      <c r="AC882" s="2194">
        <f>O796+O776+G753</f>
        <v>73</v>
      </c>
      <c r="AD882" s="2194"/>
      <c r="AE882" s="2194"/>
      <c r="AF882" s="2194"/>
      <c r="AG882" s="2194"/>
      <c r="AH882" s="21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192" t="s">
        <v>33</v>
      </c>
      <c r="F883" s="2192"/>
      <c r="G883" s="2192"/>
      <c r="H883" s="2192"/>
      <c r="I883" s="2192"/>
      <c r="J883" s="2192"/>
      <c r="K883" s="2192"/>
      <c r="L883" s="2192"/>
      <c r="M883" s="2192"/>
      <c r="N883" s="2192"/>
      <c r="O883" s="2192"/>
      <c r="P883" s="2192"/>
      <c r="Q883" s="2192"/>
      <c r="R883" s="2192"/>
      <c r="S883" s="2192"/>
      <c r="T883" s="2192"/>
      <c r="U883" s="2192"/>
      <c r="V883" s="2192"/>
      <c r="W883" s="2192"/>
      <c r="X883" s="2192"/>
      <c r="Y883" s="2192"/>
      <c r="Z883" s="2192"/>
      <c r="AA883" s="2192"/>
      <c r="AB883" s="2193"/>
      <c r="AC883" s="1999">
        <f>IF(ISERROR((ROUNDDOWN(AC881/AC882,0))),0,(ROUNDDOWN(AC881/AC882,0)))</f>
        <v>12909</v>
      </c>
      <c r="AD883" s="1999"/>
      <c r="AE883" s="1999"/>
      <c r="AF883" s="1999"/>
      <c r="AG883" s="1999"/>
      <c r="AH883" s="19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801</v>
      </c>
      <c r="AC884" s="1888">
        <f>'[10]4%'!$E$82</f>
        <v>366025.33333333331</v>
      </c>
      <c r="AD884" s="1888"/>
      <c r="AE884" s="1888"/>
      <c r="AF884" s="1888"/>
      <c r="AG884" s="1888"/>
      <c r="AH884" s="188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1319</v>
      </c>
      <c r="AC885" s="1889"/>
      <c r="AD885" s="1998"/>
      <c r="AE885" s="1998"/>
      <c r="AF885" s="1998"/>
      <c r="AG885" s="1998"/>
      <c r="AH885" s="19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533</v>
      </c>
      <c r="AC886" s="1888">
        <v>79285</v>
      </c>
      <c r="AD886" s="1888"/>
      <c r="AE886" s="1888"/>
      <c r="AF886" s="1888"/>
      <c r="AG886" s="1888"/>
      <c r="AH886" s="188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1888">
        <f>450*73</f>
        <v>32850</v>
      </c>
      <c r="AD887" s="1888"/>
      <c r="AE887" s="1888"/>
      <c r="AF887" s="1888"/>
      <c r="AG887" s="1888"/>
      <c r="AH887" s="188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1984</v>
      </c>
      <c r="AC888" s="2003"/>
      <c r="AD888" s="2004"/>
      <c r="AE888" s="2004"/>
      <c r="AF888" s="2004"/>
      <c r="AG888" s="2004"/>
      <c r="AH888" s="200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1888"/>
      <c r="AD889" s="1888"/>
      <c r="AE889" s="1888"/>
      <c r="AF889" s="1888"/>
      <c r="AG889" s="1888"/>
      <c r="AH889" s="188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1859</v>
      </c>
      <c r="AC890" s="1888">
        <v>20028</v>
      </c>
      <c r="AD890" s="1888"/>
      <c r="AE890" s="1888"/>
      <c r="AF890" s="1888"/>
      <c r="AG890" s="1888"/>
      <c r="AH890" s="188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1995" t="s">
        <v>2735</v>
      </c>
      <c r="D891" s="1996"/>
      <c r="E891" s="1996"/>
      <c r="F891" s="1996"/>
      <c r="G891" s="1996"/>
      <c r="H891" s="1996"/>
      <c r="I891" s="1996"/>
      <c r="J891" s="1996"/>
      <c r="K891" s="1996"/>
      <c r="L891" s="1996"/>
      <c r="M891" s="1996"/>
      <c r="N891" s="1996"/>
      <c r="O891" s="1996"/>
      <c r="P891" s="1996"/>
      <c r="Q891" s="1996"/>
      <c r="R891" s="1996"/>
      <c r="S891" s="1996"/>
      <c r="T891" s="1996"/>
      <c r="U891" s="1996"/>
      <c r="V891" s="1996"/>
      <c r="W891" s="1996"/>
      <c r="X891" s="1996"/>
      <c r="Y891" s="1996"/>
      <c r="Z891" s="1996"/>
      <c r="AA891" s="1996"/>
      <c r="AB891" s="1997"/>
      <c r="AC891" s="1998">
        <f>4000+4500</f>
        <v>8500</v>
      </c>
      <c r="AD891" s="1998"/>
      <c r="AE891" s="1998"/>
      <c r="AF891" s="1998"/>
      <c r="AG891" s="1998"/>
      <c r="AH891" s="19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1995" t="s">
        <v>2736</v>
      </c>
      <c r="D892" s="1996"/>
      <c r="E892" s="1996"/>
      <c r="F892" s="1996"/>
      <c r="G892" s="1996"/>
      <c r="H892" s="1996"/>
      <c r="I892" s="1996"/>
      <c r="J892" s="1996"/>
      <c r="K892" s="1996"/>
      <c r="L892" s="1996"/>
      <c r="M892" s="1996"/>
      <c r="N892" s="1996"/>
      <c r="O892" s="1996"/>
      <c r="P892" s="1996"/>
      <c r="Q892" s="1996"/>
      <c r="R892" s="1996"/>
      <c r="S892" s="1996"/>
      <c r="T892" s="1996"/>
      <c r="U892" s="1996"/>
      <c r="V892" s="1996"/>
      <c r="W892" s="1996"/>
      <c r="X892" s="1996"/>
      <c r="Y892" s="1996"/>
      <c r="Z892" s="1996"/>
      <c r="AA892" s="1996"/>
      <c r="AB892" s="1997"/>
      <c r="AC892" s="1998">
        <v>15000</v>
      </c>
      <c r="AD892" s="1998"/>
      <c r="AE892" s="1998"/>
      <c r="AF892" s="1998"/>
      <c r="AG892" s="1998"/>
      <c r="AH892" s="19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637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887">
        <v>0</v>
      </c>
      <c r="AA896" s="1888"/>
      <c r="AB896" s="1888"/>
      <c r="AC896" s="1888"/>
      <c r="AD896" s="1888"/>
      <c r="AE896" s="188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887">
        <v>0</v>
      </c>
      <c r="AA897" s="1888"/>
      <c r="AB897" s="1888"/>
      <c r="AC897" s="1888"/>
      <c r="AD897" s="1888"/>
      <c r="AE897" s="188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887">
        <v>0</v>
      </c>
      <c r="AA898" s="1888"/>
      <c r="AB898" s="1888"/>
      <c r="AC898" s="1888"/>
      <c r="AD898" s="1888"/>
      <c r="AE898" s="188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12">
        <f>Z896-(Z897+Z898)</f>
        <v>0</v>
      </c>
      <c r="AA899" s="2013"/>
      <c r="AB899" s="2013"/>
      <c r="AC899" s="2013"/>
      <c r="AD899" s="2013"/>
      <c r="AE899" s="2014"/>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155"/>
      <c r="BE901" s="2155"/>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157"/>
      <c r="BE902" s="2157"/>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156"/>
      <c r="BE903" s="2156"/>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1087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156"/>
      <c r="BE904" s="2156"/>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156"/>
      <c r="BE905" s="2156"/>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155"/>
      <c r="BE906" s="2156"/>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1939" t="s">
        <v>101</v>
      </c>
      <c r="B907" s="1939"/>
      <c r="C907" s="1939"/>
      <c r="D907" s="1939"/>
      <c r="E907" s="1939"/>
      <c r="F907" s="1939"/>
      <c r="G907" s="1939"/>
      <c r="H907" s="1939"/>
      <c r="I907" s="1939"/>
      <c r="J907" s="1939"/>
      <c r="K907" s="1939"/>
      <c r="L907" s="1939"/>
      <c r="M907" s="1939"/>
      <c r="N907" s="1939"/>
      <c r="O907" s="1939"/>
      <c r="P907" s="1939"/>
      <c r="Q907" s="1939"/>
      <c r="R907" s="1939"/>
      <c r="S907" s="1939"/>
      <c r="T907" s="1939"/>
      <c r="U907" s="1939"/>
      <c r="V907" s="1939"/>
      <c r="W907" s="1939"/>
      <c r="X907" s="1939"/>
      <c r="Y907" s="1939"/>
      <c r="Z907" s="1939"/>
      <c r="AA907" s="1939"/>
      <c r="AB907" s="1939"/>
      <c r="AC907" s="1939"/>
      <c r="AD907" s="1939"/>
      <c r="AE907" s="1939"/>
      <c r="AF907" s="1939"/>
      <c r="AG907" s="1939"/>
      <c r="AH907" s="1939"/>
      <c r="AI907" s="1939"/>
      <c r="AJ907" s="1939"/>
      <c r="AK907" s="1939"/>
      <c r="AL907" s="1939"/>
      <c r="AM907" s="144"/>
      <c r="AN907" s="144"/>
      <c r="AO907" s="144"/>
      <c r="AP907" s="144"/>
      <c r="AQ907" s="144"/>
      <c r="AR907" s="144"/>
      <c r="AS907" s="144"/>
      <c r="AT907" s="144"/>
      <c r="AU907" s="144"/>
      <c r="AV907" s="144"/>
      <c r="AW907" s="144"/>
      <c r="AX907" s="144"/>
      <c r="AY907" s="144"/>
      <c r="AZ907" s="61"/>
      <c r="BA907" s="25"/>
      <c r="BB907" s="127"/>
      <c r="BC907" s="972"/>
      <c r="BD907" s="2154"/>
      <c r="BE907" s="2154"/>
      <c r="BF907" s="2154"/>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1940"/>
      <c r="B908" s="1940"/>
      <c r="C908" s="1940"/>
      <c r="D908" s="1940"/>
      <c r="E908" s="1940"/>
      <c r="F908" s="1940"/>
      <c r="G908" s="1940"/>
      <c r="H908" s="1940"/>
      <c r="I908" s="1940"/>
      <c r="J908" s="1940"/>
      <c r="K908" s="1940"/>
      <c r="L908" s="1940"/>
      <c r="M908" s="1940"/>
      <c r="N908" s="1940"/>
      <c r="O908" s="1940"/>
      <c r="P908" s="1940"/>
      <c r="Q908" s="1940"/>
      <c r="R908" s="1940"/>
      <c r="S908" s="1940"/>
      <c r="T908" s="1940"/>
      <c r="U908" s="1940"/>
      <c r="V908" s="1940"/>
      <c r="W908" s="1940"/>
      <c r="X908" s="1940"/>
      <c r="Y908" s="1940"/>
      <c r="Z908" s="1940"/>
      <c r="AA908" s="1940"/>
      <c r="AB908" s="1940"/>
      <c r="AC908" s="1940"/>
      <c r="AD908" s="1940"/>
      <c r="AE908" s="1940"/>
      <c r="AF908" s="1940"/>
      <c r="AG908" s="1940"/>
      <c r="AH908" s="1940"/>
      <c r="AI908" s="1940"/>
      <c r="AJ908" s="1940"/>
      <c r="AK908" s="1940"/>
      <c r="AL908" s="1940"/>
      <c r="AM908" s="144"/>
      <c r="AN908" s="144"/>
      <c r="AO908" s="144"/>
      <c r="AP908" s="144"/>
      <c r="AQ908" s="144"/>
      <c r="AR908" s="144"/>
      <c r="AS908" s="144"/>
      <c r="AT908" s="144"/>
      <c r="AU908" s="144"/>
      <c r="AV908" s="144"/>
      <c r="AW908" s="144"/>
      <c r="AX908" s="144"/>
      <c r="AY908" s="144"/>
      <c r="AZ908" s="61"/>
      <c r="BA908" s="25"/>
      <c r="BB908" s="127"/>
      <c r="BC908" s="972"/>
      <c r="BD908" s="2143"/>
      <c r="BE908" s="2143"/>
      <c r="BF908" s="2143"/>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156"/>
      <c r="BE909" s="2156"/>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155"/>
      <c r="BE910" s="2156"/>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26" t="s">
        <v>831</v>
      </c>
      <c r="G912" s="2227"/>
      <c r="H912" s="2227"/>
      <c r="I912" s="2227"/>
      <c r="J912" s="2227"/>
      <c r="K912" s="2227"/>
      <c r="L912" s="2227"/>
      <c r="M912" s="2227"/>
      <c r="N912" s="2227"/>
      <c r="O912" s="2227"/>
      <c r="P912" s="2227"/>
      <c r="Q912" s="2227"/>
      <c r="R912" s="2227"/>
      <c r="S912" s="2227"/>
      <c r="T912" s="2228"/>
      <c r="U912" s="2097" t="s">
        <v>32</v>
      </c>
      <c r="V912" s="2010"/>
      <c r="W912" s="2010"/>
      <c r="X912" s="2010"/>
      <c r="Y912" s="2010"/>
      <c r="Z912" s="2010"/>
      <c r="AA912" s="73"/>
      <c r="AB912" s="161"/>
      <c r="AC912" s="161"/>
      <c r="AD912" s="161"/>
      <c r="AE912" s="161"/>
      <c r="AF912" s="162"/>
      <c r="AZ912" s="61"/>
      <c r="BA912" s="971"/>
      <c r="BB912" s="127"/>
      <c r="BC912" s="127"/>
      <c r="BD912" s="2155"/>
      <c r="BE912" s="2156"/>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2098" t="s">
        <v>860</v>
      </c>
      <c r="G913" s="2099"/>
      <c r="H913" s="2099"/>
      <c r="I913" s="2099"/>
      <c r="J913" s="2099"/>
      <c r="K913" s="2099"/>
      <c r="L913" s="2099"/>
      <c r="M913" s="2099"/>
      <c r="N913" s="2099"/>
      <c r="O913" s="2099"/>
      <c r="P913" s="2099"/>
      <c r="Q913" s="2099"/>
      <c r="R913" s="2099"/>
      <c r="S913" s="2099"/>
      <c r="T913" s="2100"/>
      <c r="U913" s="2098"/>
      <c r="V913" s="2099"/>
      <c r="W913" s="2099"/>
      <c r="X913" s="2099"/>
      <c r="Y913" s="2099"/>
      <c r="Z913" s="2099"/>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2101"/>
      <c r="G914" s="2102"/>
      <c r="H914" s="2102"/>
      <c r="I914" s="2102"/>
      <c r="J914" s="2102"/>
      <c r="K914" s="2102"/>
      <c r="L914" s="2102"/>
      <c r="M914" s="2102"/>
      <c r="N914" s="2102"/>
      <c r="O914" s="2102"/>
      <c r="P914" s="2102"/>
      <c r="Q914" s="2102"/>
      <c r="R914" s="2102"/>
      <c r="S914" s="2102"/>
      <c r="T914" s="2103"/>
      <c r="U914" s="2101"/>
      <c r="V914" s="2102"/>
      <c r="W914" s="2102"/>
      <c r="X914" s="2102"/>
      <c r="Y914" s="2102"/>
      <c r="Z914" s="2102"/>
      <c r="AA914" s="164"/>
      <c r="AB914" s="2153" t="s">
        <v>404</v>
      </c>
      <c r="AC914" s="2153"/>
      <c r="AD914" s="2153"/>
      <c r="AE914" s="2153"/>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150" t="s">
        <v>568</v>
      </c>
      <c r="V915" s="1915"/>
      <c r="W915" s="1915"/>
      <c r="X915" s="1915"/>
      <c r="Y915" s="1915"/>
      <c r="Z915" s="1971"/>
      <c r="AA915" s="2151">
        <f>AM564</f>
        <v>36361354.236821152</v>
      </c>
      <c r="AB915" s="1899"/>
      <c r="AC915" s="1899"/>
      <c r="AD915" s="1899"/>
      <c r="AE915" s="1899"/>
      <c r="AF915" s="21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150" t="s">
        <v>615</v>
      </c>
      <c r="V916" s="1915"/>
      <c r="W916" s="1915"/>
      <c r="X916" s="1915"/>
      <c r="Y916" s="1915"/>
      <c r="Z916" s="1971"/>
      <c r="AA916" s="2151"/>
      <c r="AB916" s="1899"/>
      <c r="AC916" s="1899"/>
      <c r="AD916" s="1899"/>
      <c r="AE916" s="1899"/>
      <c r="AF916" s="21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840</v>
      </c>
      <c r="G917" s="77"/>
      <c r="H917" s="77"/>
      <c r="I917" s="77"/>
      <c r="J917" s="77"/>
      <c r="K917" s="77"/>
      <c r="L917" s="77"/>
      <c r="M917" s="77"/>
      <c r="N917" s="77"/>
      <c r="O917" s="77"/>
      <c r="P917" s="77"/>
      <c r="Q917" s="77"/>
      <c r="R917" s="77"/>
      <c r="S917" s="77"/>
      <c r="T917" s="78"/>
      <c r="U917" s="2150" t="s">
        <v>615</v>
      </c>
      <c r="V917" s="1915"/>
      <c r="W917" s="1915"/>
      <c r="X917" s="1915"/>
      <c r="Y917" s="1915"/>
      <c r="Z917" s="1971"/>
      <c r="AA917" s="2151"/>
      <c r="AB917" s="1899"/>
      <c r="AC917" s="1899"/>
      <c r="AD917" s="1899"/>
      <c r="AE917" s="1899"/>
      <c r="AF917" s="21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150" t="s">
        <v>615</v>
      </c>
      <c r="V918" s="1915"/>
      <c r="W918" s="1915"/>
      <c r="X918" s="1915"/>
      <c r="Y918" s="1915"/>
      <c r="Z918" s="1971"/>
      <c r="AA918" s="2151"/>
      <c r="AB918" s="1899"/>
      <c r="AC918" s="1899"/>
      <c r="AD918" s="1899"/>
      <c r="AE918" s="1899"/>
      <c r="AF918" s="21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825</v>
      </c>
      <c r="G919" s="77"/>
      <c r="H919" s="77"/>
      <c r="I919" s="77"/>
      <c r="J919" s="77"/>
      <c r="K919" s="77"/>
      <c r="L919" s="77"/>
      <c r="M919" s="77"/>
      <c r="N919" s="77"/>
      <c r="O919" s="77"/>
      <c r="P919" s="77"/>
      <c r="Q919" s="77"/>
      <c r="R919" s="77"/>
      <c r="S919" s="77"/>
      <c r="T919" s="78"/>
      <c r="U919" s="2150" t="s">
        <v>615</v>
      </c>
      <c r="V919" s="1915"/>
      <c r="W919" s="1915"/>
      <c r="X919" s="1915"/>
      <c r="Y919" s="1915"/>
      <c r="Z919" s="1971"/>
      <c r="AA919" s="2151"/>
      <c r="AB919" s="1899"/>
      <c r="AC919" s="1899"/>
      <c r="AD919" s="1899"/>
      <c r="AE919" s="1899"/>
      <c r="AF919" s="21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826</v>
      </c>
      <c r="G920" s="77"/>
      <c r="H920" s="77"/>
      <c r="I920" s="77"/>
      <c r="J920" s="77"/>
      <c r="K920" s="77"/>
      <c r="L920" s="77"/>
      <c r="M920" s="77"/>
      <c r="N920" s="77"/>
      <c r="O920" s="77"/>
      <c r="P920" s="77"/>
      <c r="Q920" s="77"/>
      <c r="R920" s="77"/>
      <c r="S920" s="77"/>
      <c r="T920" s="78"/>
      <c r="U920" s="2150" t="s">
        <v>615</v>
      </c>
      <c r="V920" s="1915"/>
      <c r="W920" s="1915"/>
      <c r="X920" s="1915"/>
      <c r="Y920" s="1915"/>
      <c r="Z920" s="1971"/>
      <c r="AA920" s="2151"/>
      <c r="AB920" s="1899"/>
      <c r="AC920" s="1899"/>
      <c r="AD920" s="1899"/>
      <c r="AE920" s="1899"/>
      <c r="AF920" s="21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827</v>
      </c>
      <c r="G921" s="77"/>
      <c r="H921" s="77"/>
      <c r="I921" s="77"/>
      <c r="J921" s="77"/>
      <c r="K921" s="77"/>
      <c r="L921" s="77"/>
      <c r="M921" s="77"/>
      <c r="N921" s="77"/>
      <c r="O921" s="77"/>
      <c r="P921" s="77"/>
      <c r="Q921" s="77"/>
      <c r="R921" s="77"/>
      <c r="S921" s="77"/>
      <c r="T921" s="78"/>
      <c r="U921" s="2150" t="s">
        <v>615</v>
      </c>
      <c r="V921" s="1915"/>
      <c r="W921" s="1915"/>
      <c r="X921" s="1915"/>
      <c r="Y921" s="1915"/>
      <c r="Z921" s="1971"/>
      <c r="AA921" s="2151"/>
      <c r="AB921" s="1899"/>
      <c r="AC921" s="1899"/>
      <c r="AD921" s="1899"/>
      <c r="AE921" s="1899"/>
      <c r="AF921" s="21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150" t="s">
        <v>615</v>
      </c>
      <c r="V922" s="1915"/>
      <c r="W922" s="1915"/>
      <c r="X922" s="1915"/>
      <c r="Y922" s="1915"/>
      <c r="Z922" s="1971"/>
      <c r="AA922" s="2151"/>
      <c r="AB922" s="1899"/>
      <c r="AC922" s="1899"/>
      <c r="AD922" s="1899"/>
      <c r="AE922" s="1899"/>
      <c r="AF922" s="21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150" t="s">
        <v>615</v>
      </c>
      <c r="V923" s="1915"/>
      <c r="W923" s="1915"/>
      <c r="X923" s="1915"/>
      <c r="Y923" s="1915"/>
      <c r="Z923" s="1971"/>
      <c r="AA923" s="2151"/>
      <c r="AB923" s="1899"/>
      <c r="AC923" s="1899"/>
      <c r="AD923" s="1899"/>
      <c r="AE923" s="1899"/>
      <c r="AF923" s="21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150" t="s">
        <v>615</v>
      </c>
      <c r="V924" s="1915"/>
      <c r="W924" s="1915"/>
      <c r="X924" s="1915"/>
      <c r="Y924" s="1915"/>
      <c r="Z924" s="1971"/>
      <c r="AA924" s="2151"/>
      <c r="AB924" s="1899"/>
      <c r="AC924" s="1899"/>
      <c r="AD924" s="1899"/>
      <c r="AE924" s="1899"/>
      <c r="AF924" s="21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1452</v>
      </c>
      <c r="G925" s="77"/>
      <c r="H925" s="77"/>
      <c r="I925" s="77"/>
      <c r="J925" s="77"/>
      <c r="K925" s="77"/>
      <c r="L925" s="77"/>
      <c r="M925" s="77"/>
      <c r="N925" s="77"/>
      <c r="O925" s="77"/>
      <c r="P925" s="77"/>
      <c r="Q925" s="77"/>
      <c r="R925" s="77"/>
      <c r="S925" s="77"/>
      <c r="T925" s="78"/>
      <c r="U925" s="2150" t="s">
        <v>615</v>
      </c>
      <c r="V925" s="1915"/>
      <c r="W925" s="1915"/>
      <c r="X925" s="1915"/>
      <c r="Y925" s="1915"/>
      <c r="Z925" s="1971"/>
      <c r="AA925" s="2151"/>
      <c r="AB925" s="1899"/>
      <c r="AC925" s="1899"/>
      <c r="AD925" s="1899"/>
      <c r="AE925" s="1899"/>
      <c r="AF925" s="21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841</v>
      </c>
      <c r="G926" s="77"/>
      <c r="H926" s="77"/>
      <c r="I926" s="77"/>
      <c r="J926" s="77"/>
      <c r="K926" s="77"/>
      <c r="L926" s="77"/>
      <c r="M926" s="77"/>
      <c r="N926" s="77"/>
      <c r="O926" s="77"/>
      <c r="P926" s="77"/>
      <c r="Q926" s="77"/>
      <c r="R926" s="77"/>
      <c r="S926" s="77"/>
      <c r="T926" s="78"/>
      <c r="U926" s="2150" t="s">
        <v>615</v>
      </c>
      <c r="V926" s="1915"/>
      <c r="W926" s="1915"/>
      <c r="X926" s="1915"/>
      <c r="Y926" s="1915"/>
      <c r="Z926" s="1971"/>
      <c r="AA926" s="2151"/>
      <c r="AB926" s="1899"/>
      <c r="AC926" s="1899"/>
      <c r="AD926" s="1899"/>
      <c r="AE926" s="1899"/>
      <c r="AF926" s="21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842</v>
      </c>
      <c r="G927" s="148"/>
      <c r="H927" s="148"/>
      <c r="I927" s="148"/>
      <c r="J927" s="148"/>
      <c r="K927" s="148"/>
      <c r="L927" s="148"/>
      <c r="M927" s="148"/>
      <c r="N927" s="148"/>
      <c r="O927" s="148"/>
      <c r="P927" s="148"/>
      <c r="Q927" s="148"/>
      <c r="R927" s="148"/>
      <c r="S927" s="148"/>
      <c r="T927" s="336"/>
      <c r="U927" s="2150" t="s">
        <v>615</v>
      </c>
      <c r="V927" s="1915"/>
      <c r="W927" s="1915"/>
      <c r="X927" s="1915"/>
      <c r="Y927" s="1915"/>
      <c r="Z927" s="1971"/>
      <c r="AA927" s="2151"/>
      <c r="AB927" s="1899"/>
      <c r="AC927" s="1899"/>
      <c r="AD927" s="1899"/>
      <c r="AE927" s="1899"/>
      <c r="AF927" s="21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1436</v>
      </c>
      <c r="G928" s="148"/>
      <c r="H928" s="148"/>
      <c r="I928" s="148"/>
      <c r="J928" s="148"/>
      <c r="K928" s="148"/>
      <c r="L928" s="148"/>
      <c r="M928" s="148"/>
      <c r="N928" s="148"/>
      <c r="O928" s="148"/>
      <c r="P928" s="148"/>
      <c r="Q928" s="148"/>
      <c r="R928" s="148"/>
      <c r="S928" s="148"/>
      <c r="T928" s="336"/>
      <c r="U928" s="2150" t="s">
        <v>615</v>
      </c>
      <c r="V928" s="1915"/>
      <c r="W928" s="1915"/>
      <c r="X928" s="1915"/>
      <c r="Y928" s="1915"/>
      <c r="Z928" s="1971"/>
      <c r="AA928" s="2151"/>
      <c r="AB928" s="1899"/>
      <c r="AC928" s="1899"/>
      <c r="AD928" s="1899"/>
      <c r="AE928" s="1899"/>
      <c r="AF928" s="21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1437</v>
      </c>
      <c r="G929" s="77"/>
      <c r="H929" s="77"/>
      <c r="I929" s="77"/>
      <c r="J929" s="77"/>
      <c r="K929" s="77"/>
      <c r="L929" s="77"/>
      <c r="M929" s="77"/>
      <c r="N929" s="77"/>
      <c r="O929" s="77"/>
      <c r="P929" s="148"/>
      <c r="Q929" s="148"/>
      <c r="R929" s="148"/>
      <c r="S929" s="148"/>
      <c r="T929" s="336"/>
      <c r="U929" s="2150" t="s">
        <v>615</v>
      </c>
      <c r="V929" s="1915"/>
      <c r="W929" s="1915"/>
      <c r="X929" s="1915"/>
      <c r="Y929" s="1915"/>
      <c r="Z929" s="1971"/>
      <c r="AA929" s="2151"/>
      <c r="AB929" s="1899"/>
      <c r="AC929" s="1899"/>
      <c r="AD929" s="1899"/>
      <c r="AE929" s="1899"/>
      <c r="AF929" s="21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846</v>
      </c>
      <c r="G930" s="77"/>
      <c r="H930" s="77"/>
      <c r="I930" s="77"/>
      <c r="J930" s="77"/>
      <c r="K930" s="77"/>
      <c r="L930" s="77"/>
      <c r="M930" s="77"/>
      <c r="N930" s="77"/>
      <c r="O930" s="77"/>
      <c r="P930" s="2150" t="s">
        <v>693</v>
      </c>
      <c r="Q930" s="1915"/>
      <c r="R930" s="1915"/>
      <c r="S930" s="1915"/>
      <c r="T930" s="1971"/>
      <c r="U930" s="2150" t="s">
        <v>615</v>
      </c>
      <c r="V930" s="1915"/>
      <c r="W930" s="1915"/>
      <c r="X930" s="1915"/>
      <c r="Y930" s="1915"/>
      <c r="Z930" s="1971"/>
      <c r="AA930" s="2151"/>
      <c r="AB930" s="1899"/>
      <c r="AC930" s="1899"/>
      <c r="AD930" s="1899"/>
      <c r="AE930" s="1899"/>
      <c r="AF930" s="21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00" t="s">
        <v>615</v>
      </c>
      <c r="J931" s="2359"/>
      <c r="K931" s="2359"/>
      <c r="L931" s="2359"/>
      <c r="M931" s="2359"/>
      <c r="N931" s="2359"/>
      <c r="O931" s="2359"/>
      <c r="P931" s="2359"/>
      <c r="Q931" s="2359"/>
      <c r="R931" s="2359"/>
      <c r="S931" s="2359"/>
      <c r="T931" s="2360"/>
      <c r="U931" s="2150" t="s">
        <v>615</v>
      </c>
      <c r="V931" s="1915"/>
      <c r="W931" s="1915"/>
      <c r="X931" s="1915"/>
      <c r="Y931" s="1915"/>
      <c r="Z931" s="1971"/>
      <c r="AA931" s="2151"/>
      <c r="AB931" s="1899"/>
      <c r="AC931" s="1899"/>
      <c r="AD931" s="1899"/>
      <c r="AE931" s="1899"/>
      <c r="AF931" s="21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00" t="s">
        <v>2594</v>
      </c>
      <c r="J932" s="2137"/>
      <c r="K932" s="2137"/>
      <c r="L932" s="2137"/>
      <c r="M932" s="2137"/>
      <c r="N932" s="2137"/>
      <c r="O932" s="2137"/>
      <c r="P932" s="2137"/>
      <c r="Q932" s="2137"/>
      <c r="R932" s="2137"/>
      <c r="S932" s="2137"/>
      <c r="T932" s="2138"/>
      <c r="U932" s="2150" t="s">
        <v>568</v>
      </c>
      <c r="V932" s="1915"/>
      <c r="W932" s="1915"/>
      <c r="X932" s="1915"/>
      <c r="Y932" s="1915"/>
      <c r="Z932" s="1971"/>
      <c r="AA932" s="2151">
        <f>AO637</f>
        <v>35253013</v>
      </c>
      <c r="AB932" s="1899"/>
      <c r="AC932" s="1899"/>
      <c r="AD932" s="1899"/>
      <c r="AE932" s="1899"/>
      <c r="AF932" s="21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00" t="s">
        <v>2553</v>
      </c>
      <c r="J933" s="2137"/>
      <c r="K933" s="2137"/>
      <c r="L933" s="2137"/>
      <c r="M933" s="2137"/>
      <c r="N933" s="2137"/>
      <c r="O933" s="2137"/>
      <c r="P933" s="2137"/>
      <c r="Q933" s="2137"/>
      <c r="R933" s="2137"/>
      <c r="S933" s="2137"/>
      <c r="T933" s="2138"/>
      <c r="U933" s="2150" t="s">
        <v>568</v>
      </c>
      <c r="V933" s="1915"/>
      <c r="W933" s="1915"/>
      <c r="X933" s="1915"/>
      <c r="Y933" s="1915"/>
      <c r="Z933" s="1971"/>
      <c r="AA933" s="2151">
        <v>1000000</v>
      </c>
      <c r="AB933" s="1899"/>
      <c r="AC933" s="1899"/>
      <c r="AD933" s="1899"/>
      <c r="AE933" s="1899"/>
      <c r="AF933" s="21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36" t="s">
        <v>339</v>
      </c>
      <c r="J934" s="2137"/>
      <c r="K934" s="2137"/>
      <c r="L934" s="2137"/>
      <c r="M934" s="2137"/>
      <c r="N934" s="2137"/>
      <c r="O934" s="2137"/>
      <c r="P934" s="2137"/>
      <c r="Q934" s="2137"/>
      <c r="R934" s="2137"/>
      <c r="S934" s="2137"/>
      <c r="T934" s="2138"/>
      <c r="U934" s="2150" t="s">
        <v>615</v>
      </c>
      <c r="V934" s="1915"/>
      <c r="W934" s="1915"/>
      <c r="X934" s="1915"/>
      <c r="Y934" s="1915"/>
      <c r="Z934" s="1971"/>
      <c r="AA934" s="2151"/>
      <c r="AB934" s="1899"/>
      <c r="AC934" s="1899"/>
      <c r="AD934" s="1899"/>
      <c r="AE934" s="1899"/>
      <c r="AF934" s="21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600</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405</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180"/>
      <c r="N939" s="2181"/>
      <c r="O939" s="2181"/>
      <c r="P939" s="2181"/>
      <c r="Q939" s="2181"/>
      <c r="R939" s="2181"/>
      <c r="S939" s="2182"/>
      <c r="U939" s="103" t="s">
        <v>11</v>
      </c>
      <c r="V939" s="77"/>
      <c r="W939" s="77"/>
      <c r="X939" s="77"/>
      <c r="Y939" s="77"/>
      <c r="Z939" s="77"/>
      <c r="AA939" s="77"/>
      <c r="AB939" s="77"/>
      <c r="AC939" s="77"/>
      <c r="AD939" s="78"/>
      <c r="AE939" s="2180"/>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68"/>
      <c r="N940" s="2169"/>
      <c r="O940" s="2169"/>
      <c r="P940" s="2169"/>
      <c r="Q940" s="2169"/>
      <c r="R940" s="2169"/>
      <c r="S940" s="2170"/>
      <c r="U940" s="103" t="s">
        <v>12</v>
      </c>
      <c r="V940" s="77"/>
      <c r="W940" s="77"/>
      <c r="X940" s="77"/>
      <c r="Y940" s="77"/>
      <c r="Z940" s="77"/>
      <c r="AA940" s="77"/>
      <c r="AB940" s="77"/>
      <c r="AC940" s="77"/>
      <c r="AD940" s="78"/>
      <c r="AE940" s="2168"/>
      <c r="AF940" s="2169"/>
      <c r="AG940" s="2169"/>
      <c r="AH940" s="2169"/>
      <c r="AI940" s="2169"/>
      <c r="AJ940" s="2169"/>
      <c r="AK940" s="217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925</v>
      </c>
      <c r="D941" s="77"/>
      <c r="E941" s="77"/>
      <c r="J941" s="2171" t="s">
        <v>312</v>
      </c>
      <c r="K941" s="2172"/>
      <c r="L941" s="2172"/>
      <c r="M941" s="2172"/>
      <c r="N941" s="2172"/>
      <c r="O941" s="2172"/>
      <c r="P941" s="2172"/>
      <c r="Q941" s="2172"/>
      <c r="R941" s="2172"/>
      <c r="S941" s="2173"/>
      <c r="U941" s="103" t="s">
        <v>925</v>
      </c>
      <c r="V941" s="77"/>
      <c r="W941" s="77"/>
      <c r="AB941" s="2171" t="s">
        <v>312</v>
      </c>
      <c r="AC941" s="2172"/>
      <c r="AD941" s="2172"/>
      <c r="AE941" s="2172"/>
      <c r="AF941" s="2172"/>
      <c r="AG941" s="2172"/>
      <c r="AH941" s="2172"/>
      <c r="AI941" s="2172"/>
      <c r="AJ941" s="2172"/>
      <c r="AK941" s="21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49"/>
      <c r="N942" s="2165"/>
      <c r="O942" s="2165"/>
      <c r="P942" s="2165"/>
      <c r="Q942" s="2165"/>
      <c r="R942" s="2165"/>
      <c r="S942" s="2166"/>
      <c r="U942" s="103" t="s">
        <v>13</v>
      </c>
      <c r="V942" s="77"/>
      <c r="W942" s="77"/>
      <c r="X942" s="77"/>
      <c r="Y942" s="77"/>
      <c r="Z942" s="77"/>
      <c r="AA942" s="77"/>
      <c r="AB942" s="77"/>
      <c r="AC942" s="77"/>
      <c r="AD942" s="78"/>
      <c r="AE942" s="2164"/>
      <c r="AF942" s="2165"/>
      <c r="AG942" s="2165"/>
      <c r="AH942" s="2165"/>
      <c r="AI942" s="2165"/>
      <c r="AJ942" s="2165"/>
      <c r="AK942" s="216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116"/>
      <c r="N943" s="2117"/>
      <c r="O943" s="2117"/>
      <c r="P943" s="2117"/>
      <c r="Q943" s="2117"/>
      <c r="R943" s="2117"/>
      <c r="S943" s="2118"/>
      <c r="U943" s="103" t="s">
        <v>14</v>
      </c>
      <c r="V943" s="77"/>
      <c r="W943" s="77"/>
      <c r="X943" s="77"/>
      <c r="Y943" s="77"/>
      <c r="Z943" s="77"/>
      <c r="AA943" s="77"/>
      <c r="AB943" s="77"/>
      <c r="AC943" s="77"/>
      <c r="AD943" s="78"/>
      <c r="AE943" s="2116"/>
      <c r="AF943" s="2117"/>
      <c r="AG943" s="2117"/>
      <c r="AH943" s="2117"/>
      <c r="AI943" s="2117"/>
      <c r="AJ943" s="2117"/>
      <c r="AK943" s="21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1"/>
      <c r="N944" s="1899"/>
      <c r="O944" s="1899"/>
      <c r="P944" s="1899"/>
      <c r="Q944" s="1899"/>
      <c r="R944" s="1899"/>
      <c r="S944" s="2152"/>
      <c r="U944" s="103" t="s">
        <v>15</v>
      </c>
      <c r="V944" s="77"/>
      <c r="W944" s="77"/>
      <c r="X944" s="77"/>
      <c r="Y944" s="77"/>
      <c r="Z944" s="77"/>
      <c r="AA944" s="77"/>
      <c r="AB944" s="77"/>
      <c r="AC944" s="77"/>
      <c r="AD944" s="78"/>
      <c r="AE944" s="2151"/>
      <c r="AF944" s="1899"/>
      <c r="AG944" s="1899"/>
      <c r="AH944" s="1899"/>
      <c r="AI944" s="1899"/>
      <c r="AJ944" s="1899"/>
      <c r="AK944" s="21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1"/>
      <c r="N945" s="1899"/>
      <c r="O945" s="1899"/>
      <c r="P945" s="1899"/>
      <c r="Q945" s="1899"/>
      <c r="R945" s="1899"/>
      <c r="S945" s="2152"/>
      <c r="U945" s="103" t="s">
        <v>16</v>
      </c>
      <c r="V945" s="77"/>
      <c r="W945" s="77"/>
      <c r="X945" s="77"/>
      <c r="Y945" s="77"/>
      <c r="Z945" s="77"/>
      <c r="AA945" s="77"/>
      <c r="AB945" s="77"/>
      <c r="AC945" s="77"/>
      <c r="AD945" s="78"/>
      <c r="AE945" s="2151"/>
      <c r="AF945" s="1899"/>
      <c r="AG945" s="1899"/>
      <c r="AH945" s="1899"/>
      <c r="AI945" s="1899"/>
      <c r="AJ945" s="1899"/>
      <c r="AK945" s="21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594</v>
      </c>
      <c r="D946" s="77"/>
      <c r="E946" s="77"/>
      <c r="F946" s="77"/>
      <c r="G946" s="77"/>
      <c r="H946" s="77"/>
      <c r="I946" s="77"/>
      <c r="J946" s="77"/>
      <c r="K946" s="77"/>
      <c r="L946" s="78"/>
      <c r="M946" s="2161"/>
      <c r="N946" s="2162"/>
      <c r="O946" s="2162"/>
      <c r="P946" s="2162"/>
      <c r="Q946" s="2162"/>
      <c r="R946" s="2162"/>
      <c r="S946" s="2163"/>
      <c r="U946" s="103" t="s">
        <v>594</v>
      </c>
      <c r="V946" s="77"/>
      <c r="W946" s="77"/>
      <c r="X946" s="77"/>
      <c r="Y946" s="77"/>
      <c r="Z946" s="77"/>
      <c r="AA946" s="77"/>
      <c r="AB946" s="77"/>
      <c r="AC946" s="77"/>
      <c r="AD946" s="78"/>
      <c r="AE946" s="2161"/>
      <c r="AF946" s="2162"/>
      <c r="AG946" s="2162"/>
      <c r="AH946" s="2162"/>
      <c r="AI946" s="2162"/>
      <c r="AJ946" s="2162"/>
      <c r="AK946" s="216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610</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595</v>
      </c>
      <c r="G951" s="77"/>
      <c r="H951" s="77"/>
      <c r="I951" s="77"/>
      <c r="J951" s="77"/>
      <c r="K951" s="77"/>
      <c r="L951" s="78"/>
      <c r="M951" s="2174"/>
      <c r="N951" s="2175"/>
      <c r="O951" s="2175"/>
      <c r="P951" s="2175"/>
      <c r="Q951" s="2175"/>
      <c r="R951" s="2175"/>
      <c r="S951" s="2176"/>
      <c r="T951" s="103" t="s">
        <v>829</v>
      </c>
      <c r="U951" s="77"/>
      <c r="V951" s="77"/>
      <c r="W951" s="77"/>
      <c r="X951" s="77"/>
      <c r="Y951" s="77"/>
      <c r="Z951" s="78"/>
      <c r="AA951" s="2174"/>
      <c r="AB951" s="2175"/>
      <c r="AC951" s="2175"/>
      <c r="AD951" s="2175"/>
      <c r="AE951" s="2175"/>
      <c r="AF951" s="2175"/>
      <c r="AG951" s="217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596</v>
      </c>
      <c r="G952" s="77"/>
      <c r="H952" s="77"/>
      <c r="I952" s="77"/>
      <c r="J952" s="77"/>
      <c r="K952" s="77"/>
      <c r="L952" s="78"/>
      <c r="M952" s="2174"/>
      <c r="N952" s="2175"/>
      <c r="O952" s="2175"/>
      <c r="P952" s="2175"/>
      <c r="Q952" s="2175"/>
      <c r="R952" s="2175"/>
      <c r="S952" s="2176"/>
      <c r="T952" s="103" t="s">
        <v>828</v>
      </c>
      <c r="U952" s="77"/>
      <c r="V952" s="77"/>
      <c r="W952" s="77"/>
      <c r="X952" s="77"/>
      <c r="Y952" s="77"/>
      <c r="Z952" s="78"/>
      <c r="AA952" s="2174"/>
      <c r="AB952" s="2175"/>
      <c r="AC952" s="2175"/>
      <c r="AD952" s="2175"/>
      <c r="AE952" s="2175"/>
      <c r="AF952" s="2175"/>
      <c r="AG952" s="217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950</v>
      </c>
      <c r="G953" s="77"/>
      <c r="H953" s="77"/>
      <c r="I953" s="77"/>
      <c r="J953" s="77"/>
      <c r="K953" s="77"/>
      <c r="L953" s="78"/>
      <c r="M953" s="2183" t="s">
        <v>615</v>
      </c>
      <c r="N953" s="2184"/>
      <c r="O953" s="2184"/>
      <c r="P953" s="2184"/>
      <c r="Q953" s="2184"/>
      <c r="R953" s="2184"/>
      <c r="S953" s="2185"/>
      <c r="T953" s="76" t="s">
        <v>341</v>
      </c>
      <c r="U953" s="77"/>
      <c r="V953" s="77"/>
      <c r="W953" s="77"/>
      <c r="X953" s="77"/>
      <c r="Y953" s="77"/>
      <c r="Z953" s="78"/>
      <c r="AA953" s="2174"/>
      <c r="AB953" s="2175"/>
      <c r="AC953" s="2175"/>
      <c r="AD953" s="2175"/>
      <c r="AE953" s="2175"/>
      <c r="AF953" s="2175"/>
      <c r="AG953" s="217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597</v>
      </c>
      <c r="G954" s="77"/>
      <c r="H954" s="77"/>
      <c r="I954" s="77"/>
      <c r="J954" s="77"/>
      <c r="K954" s="77"/>
      <c r="L954" s="78"/>
      <c r="M954" s="2174"/>
      <c r="N954" s="2175"/>
      <c r="O954" s="2175"/>
      <c r="P954" s="2175"/>
      <c r="Q954" s="2175"/>
      <c r="R954" s="2175"/>
      <c r="S954" s="2176"/>
      <c r="T954" s="76" t="s">
        <v>342</v>
      </c>
      <c r="U954" s="77"/>
      <c r="V954" s="77"/>
      <c r="W954" s="77"/>
      <c r="X954" s="77"/>
      <c r="Y954" s="77"/>
      <c r="Z954" s="78"/>
      <c r="AA954" s="2174"/>
      <c r="AB954" s="2175"/>
      <c r="AC954" s="2175"/>
      <c r="AD954" s="2175"/>
      <c r="AE954" s="2175"/>
      <c r="AF954" s="2175"/>
      <c r="AG954" s="217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487</v>
      </c>
      <c r="G955" s="77"/>
      <c r="H955" s="77"/>
      <c r="I955" s="77"/>
      <c r="J955" s="77"/>
      <c r="K955" s="77"/>
      <c r="L955" s="78"/>
      <c r="M955" s="2174"/>
      <c r="N955" s="2175"/>
      <c r="O955" s="2175"/>
      <c r="P955" s="2175"/>
      <c r="Q955" s="2175"/>
      <c r="R955" s="2175"/>
      <c r="S955" s="2176"/>
      <c r="T955" s="76" t="s">
        <v>389</v>
      </c>
      <c r="U955" s="77"/>
      <c r="V955" s="77"/>
      <c r="W955" s="77"/>
      <c r="X955" s="77"/>
      <c r="Y955" s="77"/>
      <c r="Z955" s="78"/>
      <c r="AA955" s="2174"/>
      <c r="AB955" s="2175"/>
      <c r="AC955" s="2175"/>
      <c r="AD955" s="2175"/>
      <c r="AE955" s="2175"/>
      <c r="AF955" s="2175"/>
      <c r="AG955" s="217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925</v>
      </c>
      <c r="G956" s="72"/>
      <c r="H956" s="72"/>
      <c r="I956" s="72"/>
      <c r="J956" s="72"/>
      <c r="K956" s="72"/>
      <c r="L956" s="94"/>
      <c r="M956" s="2186" t="s">
        <v>312</v>
      </c>
      <c r="N956" s="2187"/>
      <c r="O956" s="2187"/>
      <c r="P956" s="2187"/>
      <c r="Q956" s="2187"/>
      <c r="R956" s="2187"/>
      <c r="S956" s="2188"/>
      <c r="T956" s="2177"/>
      <c r="U956" s="2178"/>
      <c r="V956" s="2178"/>
      <c r="W956" s="2178"/>
      <c r="X956" s="2178"/>
      <c r="Y956" s="2178"/>
      <c r="Z956" s="2179"/>
      <c r="AA956" s="2174"/>
      <c r="AB956" s="2175"/>
      <c r="AC956" s="2175"/>
      <c r="AD956" s="2175"/>
      <c r="AE956" s="2175"/>
      <c r="AF956" s="2175"/>
      <c r="AG956" s="217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488</v>
      </c>
      <c r="G957" s="72"/>
      <c r="H957" s="72"/>
      <c r="I957" s="72"/>
      <c r="J957" s="72"/>
      <c r="K957" s="72"/>
      <c r="L957" s="94"/>
      <c r="M957" s="2174"/>
      <c r="N957" s="2175"/>
      <c r="O957" s="2175"/>
      <c r="P957" s="2175"/>
      <c r="Q957" s="2175"/>
      <c r="R957" s="2175"/>
      <c r="S957" s="2176"/>
      <c r="T957" s="2177"/>
      <c r="U957" s="2178"/>
      <c r="V957" s="2178"/>
      <c r="W957" s="2178"/>
      <c r="X957" s="2178"/>
      <c r="Y957" s="2178"/>
      <c r="Z957" s="2179"/>
      <c r="AA957" s="2174"/>
      <c r="AB957" s="2175"/>
      <c r="AC957" s="2175"/>
      <c r="AD957" s="2175"/>
      <c r="AE957" s="2175"/>
      <c r="AF957" s="2175"/>
      <c r="AG957" s="217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340</v>
      </c>
      <c r="G958" s="72"/>
      <c r="H958" s="72"/>
      <c r="I958" s="72"/>
      <c r="J958" s="72"/>
      <c r="K958" s="72"/>
      <c r="L958" s="72"/>
      <c r="M958" s="72"/>
      <c r="N958" s="72"/>
      <c r="O958" s="1962" t="s">
        <v>693</v>
      </c>
      <c r="P958" s="1963"/>
      <c r="Q958" s="139"/>
      <c r="R958" s="139"/>
      <c r="S958" s="140"/>
      <c r="T958" s="71" t="s">
        <v>174</v>
      </c>
      <c r="U958" s="72"/>
      <c r="V958" s="72"/>
      <c r="W958" s="2132" t="s">
        <v>339</v>
      </c>
      <c r="X958" s="2133"/>
      <c r="Y958" s="2133"/>
      <c r="Z958" s="2133"/>
      <c r="AA958" s="2133"/>
      <c r="AB958" s="2133"/>
      <c r="AC958" s="2133"/>
      <c r="AD958" s="2133"/>
      <c r="AE958" s="2133"/>
      <c r="AF958" s="2133"/>
      <c r="AG958" s="213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201" t="s">
        <v>34</v>
      </c>
      <c r="G959" s="2202"/>
      <c r="H959" s="2202"/>
      <c r="I959" s="2202"/>
      <c r="J959" s="2202"/>
      <c r="K959" s="2202"/>
      <c r="L959" s="2202"/>
      <c r="M959" s="2174"/>
      <c r="N959" s="2175"/>
      <c r="O959" s="2175"/>
      <c r="P959" s="2175"/>
      <c r="Q959" s="2175"/>
      <c r="R959" s="2175"/>
      <c r="S959" s="2176"/>
      <c r="T959" s="79"/>
      <c r="U959" s="80"/>
      <c r="V959" s="80"/>
      <c r="W959" s="80"/>
      <c r="X959" s="80"/>
      <c r="Y959" s="80"/>
      <c r="Z959" s="188" t="s">
        <v>139</v>
      </c>
      <c r="AA959" s="2356"/>
      <c r="AB959" s="2357"/>
      <c r="AC959" s="2357"/>
      <c r="AD959" s="2357"/>
      <c r="AE959" s="2357"/>
      <c r="AF959" s="2357"/>
      <c r="AG959" s="235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290" t="s">
        <v>571</v>
      </c>
      <c r="B963" s="2290"/>
      <c r="C963" s="2290"/>
      <c r="D963" s="2290"/>
      <c r="E963" s="2290"/>
      <c r="F963" s="2290"/>
      <c r="G963" s="2290"/>
      <c r="H963" s="2290"/>
      <c r="I963" s="2290"/>
      <c r="J963" s="2290"/>
      <c r="K963" s="2290"/>
      <c r="L963" s="2290"/>
      <c r="M963" s="2290"/>
      <c r="N963" s="2290"/>
      <c r="O963" s="2290"/>
      <c r="P963" s="2290"/>
      <c r="Q963" s="2290"/>
      <c r="R963" s="2290"/>
      <c r="S963" s="2290"/>
      <c r="T963" s="2290"/>
      <c r="U963" s="2290"/>
      <c r="V963" s="2290"/>
      <c r="W963" s="2290"/>
      <c r="X963" s="2290"/>
      <c r="Y963" s="2290"/>
      <c r="Z963" s="2290"/>
      <c r="AA963" s="2290"/>
      <c r="AB963" s="2290"/>
      <c r="AC963" s="2290"/>
      <c r="AD963" s="2290"/>
      <c r="AE963" s="2290"/>
      <c r="AF963" s="2290"/>
      <c r="AG963" s="2290"/>
      <c r="AH963" s="2290"/>
      <c r="AI963" s="2290"/>
      <c r="AJ963" s="2290"/>
      <c r="AK963" s="2290"/>
      <c r="AL963" s="2290"/>
      <c r="AM963" s="2290"/>
      <c r="AN963" s="2290"/>
      <c r="AO963" s="2290"/>
      <c r="AP963" s="2290"/>
      <c r="AQ963" s="2290"/>
      <c r="AR963" s="2290"/>
      <c r="AS963" s="22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290"/>
      <c r="B964" s="2290"/>
      <c r="C964" s="2290"/>
      <c r="D964" s="2290"/>
      <c r="E964" s="2290"/>
      <c r="F964" s="2290"/>
      <c r="G964" s="2290"/>
      <c r="H964" s="2290"/>
      <c r="I964" s="2290"/>
      <c r="J964" s="2290"/>
      <c r="K964" s="2290"/>
      <c r="L964" s="2290"/>
      <c r="M964" s="2290"/>
      <c r="N964" s="2290"/>
      <c r="O964" s="2290"/>
      <c r="P964" s="2290"/>
      <c r="Q964" s="2290"/>
      <c r="R964" s="2290"/>
      <c r="S964" s="2290"/>
      <c r="T964" s="2290"/>
      <c r="U964" s="2290"/>
      <c r="V964" s="2290"/>
      <c r="W964" s="2290"/>
      <c r="X964" s="2290"/>
      <c r="Y964" s="2290"/>
      <c r="Z964" s="2290"/>
      <c r="AA964" s="2290"/>
      <c r="AB964" s="2290"/>
      <c r="AC964" s="2290"/>
      <c r="AD964" s="2290"/>
      <c r="AE964" s="2290"/>
      <c r="AF964" s="2290"/>
      <c r="AG964" s="2290"/>
      <c r="AH964" s="2290"/>
      <c r="AI964" s="2290"/>
      <c r="AJ964" s="2290"/>
      <c r="AK964" s="2290"/>
      <c r="AL964" s="2290"/>
      <c r="AM964" s="2290"/>
      <c r="AN964" s="2290"/>
      <c r="AO964" s="2290"/>
      <c r="AP964" s="2290"/>
      <c r="AQ964" s="2290"/>
      <c r="AR964" s="2290"/>
      <c r="AS964" s="22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67"/>
      <c r="BH965" s="2167"/>
      <c r="BI965" s="2167"/>
      <c r="BJ965" s="2167"/>
      <c r="BK965" s="2167"/>
      <c r="BL965" s="2167"/>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3.2">
      <c r="A966" s="49" t="s">
        <v>324</v>
      </c>
      <c r="B966" s="25"/>
      <c r="C966" s="49" t="s">
        <v>639</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991"/>
      <c r="D968" s="2350" t="s">
        <v>662</v>
      </c>
      <c r="E968" s="2351"/>
      <c r="F968" s="2351"/>
      <c r="G968" s="2351"/>
      <c r="H968" s="2351"/>
      <c r="I968" s="2351"/>
      <c r="J968" s="2351"/>
      <c r="K968" s="2351"/>
      <c r="L968" s="2351"/>
      <c r="M968" s="2351"/>
      <c r="N968" s="2351"/>
      <c r="O968" s="2351"/>
      <c r="P968" s="2351"/>
      <c r="Q968" s="2352"/>
      <c r="R968" s="2350" t="s">
        <v>663</v>
      </c>
      <c r="S968" s="2351"/>
      <c r="T968" s="2351"/>
      <c r="U968" s="2351"/>
      <c r="V968" s="2351"/>
      <c r="W968" s="2351"/>
      <c r="X968" s="2351"/>
      <c r="Y968" s="2351"/>
      <c r="Z968" s="2351"/>
      <c r="AA968" s="2352"/>
      <c r="AB968" s="2350" t="s">
        <v>664</v>
      </c>
      <c r="AC968" s="2351"/>
      <c r="AD968" s="2351"/>
      <c r="AE968" s="2351"/>
      <c r="AF968" s="2351"/>
      <c r="AG968" s="2351"/>
      <c r="AH968" s="2351"/>
      <c r="AI968" s="2352"/>
      <c r="AJ968" s="2350" t="s">
        <v>665</v>
      </c>
      <c r="AK968" s="2351"/>
      <c r="AL968" s="2351"/>
      <c r="AM968" s="2351"/>
      <c r="AN968" s="2351"/>
      <c r="AO968" s="2351"/>
      <c r="AP968" s="2351"/>
      <c r="AQ968" s="2352"/>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3.2">
      <c r="B969" s="110"/>
      <c r="C969" s="992"/>
      <c r="D969" s="2235" t="s">
        <v>657</v>
      </c>
      <c r="E969" s="2236"/>
      <c r="F969" s="2236"/>
      <c r="G969" s="2236"/>
      <c r="H969" s="2236"/>
      <c r="I969" s="2236"/>
      <c r="J969" s="2236"/>
      <c r="K969" s="2236"/>
      <c r="L969" s="2236"/>
      <c r="M969" s="2236"/>
      <c r="N969" s="2236"/>
      <c r="O969" s="2236"/>
      <c r="P969" s="2236"/>
      <c r="Q969" s="2237"/>
      <c r="R969" s="2204">
        <f>IF(ISNA(IF($BN$799="4%",(INDEX($BP$809:$BT$866,MATCH($CB$799,$BO$809:$BO$866,0),MATCH(D969,$BP$808:$BT$808,0))),(INDEX($BW$809:$CA$866,MATCH($CB$799,$BV$809:$BV$866,0),MATCH(D969,$BW$808:$CA$808,0))))),0,IF($BN$799="4%",(INDEX($BP$809:$BT$866,MATCH($CB$799,$BO$809:$BO$866,0),MATCH(D969,$BP$808:$BT$808,0))),(INDEX($BW$809:$CA$866,MATCH($CB$799,$BV$809:$BV$866,0),MATCH(D969,$BW$808:$CA$808,0)))))</f>
        <v>530910</v>
      </c>
      <c r="S969" s="2204"/>
      <c r="T969" s="2204"/>
      <c r="U969" s="2204"/>
      <c r="V969" s="2204"/>
      <c r="W969" s="2204"/>
      <c r="X969" s="2204"/>
      <c r="Y969" s="2204"/>
      <c r="Z969" s="2204"/>
      <c r="AA969" s="2204"/>
      <c r="AB969" s="2353">
        <f>BN663</f>
        <v>4</v>
      </c>
      <c r="AC969" s="2354"/>
      <c r="AD969" s="2354"/>
      <c r="AE969" s="2354"/>
      <c r="AF969" s="2354"/>
      <c r="AG969" s="2354"/>
      <c r="AH969" s="2354"/>
      <c r="AI969" s="2355"/>
      <c r="AJ969" s="2245">
        <f>IF(ISERROR((R969*AB969)),0,(R969*AB969))</f>
        <v>2123640</v>
      </c>
      <c r="AK969" s="2246"/>
      <c r="AL969" s="2246"/>
      <c r="AM969" s="2246"/>
      <c r="AN969" s="2246"/>
      <c r="AO969" s="2246"/>
      <c r="AP969" s="2246"/>
      <c r="AQ969" s="2247"/>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3.2">
      <c r="B970" s="110"/>
      <c r="C970" s="993"/>
      <c r="D970" s="2235" t="s">
        <v>330</v>
      </c>
      <c r="E970" s="2236"/>
      <c r="F970" s="2236"/>
      <c r="G970" s="2236"/>
      <c r="H970" s="2236"/>
      <c r="I970" s="2236"/>
      <c r="J970" s="2236"/>
      <c r="K970" s="2236"/>
      <c r="L970" s="2236"/>
      <c r="M970" s="2236"/>
      <c r="N970" s="2236"/>
      <c r="O970" s="2236"/>
      <c r="P970" s="2236"/>
      <c r="Q970" s="2237"/>
      <c r="R970" s="2204">
        <f>IF(ISNA(IF($BN$799="4%",(INDEX($BP$809:$BT$866,MATCH($CB$799,$BO$809:$BO$866,0),MATCH(D970,$BP$808:$BT$808,0))),(INDEX($BW$809:$CA$866,MATCH($CB$799,$BV$809:$BV$866,0),MATCH(D970,$BW$808:$CA$808,0))))),0,IF($BN$799="4%",(INDEX($BP$809:$BT$866,MATCH($CB$799,$BO$809:$BO$866,0),MATCH(D970,$BP$808:$BT$808,0))),(INDEX($BW$809:$CA$866,MATCH($CB$799,$BV$809:$BV$866,0),MATCH(D970,$BW$808:$CA$808,0)))))</f>
        <v>612134</v>
      </c>
      <c r="S970" s="2204"/>
      <c r="T970" s="2204"/>
      <c r="U970" s="2204"/>
      <c r="V970" s="2204"/>
      <c r="W970" s="2204"/>
      <c r="X970" s="2204"/>
      <c r="Y970" s="2204"/>
      <c r="Z970" s="2204"/>
      <c r="AA970" s="2204"/>
      <c r="AB970" s="2353">
        <f>BS663</f>
        <v>18</v>
      </c>
      <c r="AC970" s="2354"/>
      <c r="AD970" s="2354"/>
      <c r="AE970" s="2354"/>
      <c r="AF970" s="2354"/>
      <c r="AG970" s="2354"/>
      <c r="AH970" s="2354"/>
      <c r="AI970" s="2355"/>
      <c r="AJ970" s="2245">
        <f>IF(ISERROR((R970*AB970)),0,(R970*AB970))</f>
        <v>11018412</v>
      </c>
      <c r="AK970" s="2246"/>
      <c r="AL970" s="2246"/>
      <c r="AM970" s="2246"/>
      <c r="AN970" s="2246"/>
      <c r="AO970" s="2246"/>
      <c r="AP970" s="2246"/>
      <c r="AQ970" s="2247"/>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2235" t="s">
        <v>168</v>
      </c>
      <c r="E971" s="2236"/>
      <c r="F971" s="2236"/>
      <c r="G971" s="2236"/>
      <c r="H971" s="2236"/>
      <c r="I971" s="2236"/>
      <c r="J971" s="2236"/>
      <c r="K971" s="2236"/>
      <c r="L971" s="2236"/>
      <c r="M971" s="2236"/>
      <c r="N971" s="2236"/>
      <c r="O971" s="2236"/>
      <c r="P971" s="2236"/>
      <c r="Q971" s="2237"/>
      <c r="R971" s="2204">
        <f>IF(ISNA(IF($BN$799="4%",(INDEX($BP$809:$BT$866,MATCH($CB$799,$BO$809:$BO$866,0),MATCH(D971,$BP$808:$BT$808,0))),(INDEX($BW$809:$CA$866,MATCH($CB$799,$BV$809:$BV$866,0),MATCH(D971,$BW$808:$CA$808,0))))),0,IF($BN$799="4%",(INDEX($BP$809:$BT$866,MATCH($CB$799,$BO$809:$BO$866,0),MATCH(D971,$BP$808:$BT$808,0))),(INDEX($BW$809:$CA$866,MATCH($CB$799,$BV$809:$BV$866,0),MATCH(D971,$BW$808:$CA$808,0)))))</f>
        <v>738400</v>
      </c>
      <c r="S971" s="2204"/>
      <c r="T971" s="2204"/>
      <c r="U971" s="2204"/>
      <c r="V971" s="2204"/>
      <c r="W971" s="2204"/>
      <c r="X971" s="2204"/>
      <c r="Y971" s="2204"/>
      <c r="Z971" s="2204"/>
      <c r="AA971" s="2204"/>
      <c r="AB971" s="2353">
        <f>BX663</f>
        <v>32</v>
      </c>
      <c r="AC971" s="2354"/>
      <c r="AD971" s="2354"/>
      <c r="AE971" s="2354"/>
      <c r="AF971" s="2354"/>
      <c r="AG971" s="2354"/>
      <c r="AH971" s="2354"/>
      <c r="AI971" s="2355"/>
      <c r="AJ971" s="2245">
        <f>IF(ISERROR((R971*AB971)),0,(R971*AB971))</f>
        <v>23628800</v>
      </c>
      <c r="AK971" s="2246"/>
      <c r="AL971" s="2246"/>
      <c r="AM971" s="2246"/>
      <c r="AN971" s="2246"/>
      <c r="AO971" s="2246"/>
      <c r="AP971" s="2246"/>
      <c r="AQ971" s="2247"/>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3.2">
      <c r="B972" s="110"/>
      <c r="C972" s="993"/>
      <c r="D972" s="2235" t="s">
        <v>169</v>
      </c>
      <c r="E972" s="2236"/>
      <c r="F972" s="2236"/>
      <c r="G972" s="2236"/>
      <c r="H972" s="2236"/>
      <c r="I972" s="2236"/>
      <c r="J972" s="2236"/>
      <c r="K972" s="2236"/>
      <c r="L972" s="2236"/>
      <c r="M972" s="2236"/>
      <c r="N972" s="2236"/>
      <c r="O972" s="2236"/>
      <c r="P972" s="2236"/>
      <c r="Q972" s="2237"/>
      <c r="R972" s="2204">
        <f>IF(ISNA(IF($BN$799="4%",(INDEX($BP$809:$BT$866,MATCH($CB$799,$BO$809:$BO$866,0),MATCH(D972,$BP$808:$BT$808,0))),(INDEX($BW$809:$CA$866,MATCH($CB$799,$BV$809:$BV$866,0),MATCH(D972,$BW$808:$CA$808,0))))),0,IF($BN$799="4%",(INDEX($BP$809:$BT$866,MATCH($CB$799,$BO$809:$BO$866,0),MATCH(D972,$BP$808:$BT$808,0))),(INDEX($BW$809:$CA$866,MATCH($CB$799,$BV$809:$BV$866,0),MATCH(D972,$BW$808:$CA$808,0)))))</f>
        <v>945152</v>
      </c>
      <c r="S972" s="2204"/>
      <c r="T972" s="2204"/>
      <c r="U972" s="2204"/>
      <c r="V972" s="2204"/>
      <c r="W972" s="2204"/>
      <c r="X972" s="2204"/>
      <c r="Y972" s="2204"/>
      <c r="Z972" s="2204"/>
      <c r="AA972" s="2204"/>
      <c r="AB972" s="2353">
        <f>CC663</f>
        <v>16</v>
      </c>
      <c r="AC972" s="2354"/>
      <c r="AD972" s="2354"/>
      <c r="AE972" s="2354"/>
      <c r="AF972" s="2354"/>
      <c r="AG972" s="2354"/>
      <c r="AH972" s="2354"/>
      <c r="AI972" s="2355"/>
      <c r="AJ972" s="2245">
        <f>IF(ISERROR((R972*AB972)),0,(R972*AB972))</f>
        <v>15122432</v>
      </c>
      <c r="AK972" s="2246"/>
      <c r="AL972" s="2246"/>
      <c r="AM972" s="2246"/>
      <c r="AN972" s="2246"/>
      <c r="AO972" s="2246"/>
      <c r="AP972" s="2246"/>
      <c r="AQ972" s="2247"/>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2235" t="s">
        <v>483</v>
      </c>
      <c r="E973" s="2236"/>
      <c r="F973" s="2236"/>
      <c r="G973" s="2236"/>
      <c r="H973" s="2236"/>
      <c r="I973" s="2236"/>
      <c r="J973" s="2236"/>
      <c r="K973" s="2236"/>
      <c r="L973" s="2236"/>
      <c r="M973" s="2236"/>
      <c r="N973" s="2236"/>
      <c r="O973" s="2236"/>
      <c r="P973" s="2236"/>
      <c r="Q973" s="2237"/>
      <c r="R973" s="2204">
        <f>IF(ISNA(IF($BN$799="4%",(INDEX($BP$809:$BT$866,MATCH($CB$799,$BO$809:$BO$866,0),MATCH(D973,$BP$808:$BT$808,0))),(INDEX($BW$809:$CA$866,MATCH($CB$799,$BV$809:$BV$866,0),MATCH(D973,$BW$808:$CA$808,0))))),0,IF($BN$799="4%",(INDEX($BP$809:$BT$866,MATCH($CB$799,$BO$809:$BO$866,0),MATCH(D973,$BP$808:$BT$808,0))),(INDEX($BW$809:$CA$866,MATCH($CB$799,$BV$809:$BV$866,0),MATCH(D973,$BW$808:$CA$808,0)))))</f>
        <v>1052958</v>
      </c>
      <c r="S973" s="2204"/>
      <c r="T973" s="2204"/>
      <c r="U973" s="2204"/>
      <c r="V973" s="2204"/>
      <c r="W973" s="2204"/>
      <c r="X973" s="2204"/>
      <c r="Y973" s="2204"/>
      <c r="Z973" s="2204"/>
      <c r="AA973" s="2204"/>
      <c r="AB973" s="2353">
        <f>CM663+CH663</f>
        <v>3</v>
      </c>
      <c r="AC973" s="2354"/>
      <c r="AD973" s="2354"/>
      <c r="AE973" s="2354"/>
      <c r="AF973" s="2354"/>
      <c r="AG973" s="2354"/>
      <c r="AH973" s="2354"/>
      <c r="AI973" s="2355"/>
      <c r="AJ973" s="2245">
        <f>IF(ISERROR((R973*AB973)),0,(R973*AB973))</f>
        <v>3158874</v>
      </c>
      <c r="AK973" s="2246"/>
      <c r="AL973" s="2246"/>
      <c r="AM973" s="2246"/>
      <c r="AN973" s="2246"/>
      <c r="AO973" s="2246"/>
      <c r="AP973" s="2246"/>
      <c r="AQ973" s="2247"/>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371" t="s">
        <v>830</v>
      </c>
      <c r="C974" s="2372"/>
      <c r="D974" s="2372"/>
      <c r="E974" s="2372"/>
      <c r="F974" s="2372"/>
      <c r="G974" s="2372"/>
      <c r="H974" s="2372"/>
      <c r="I974" s="2372"/>
      <c r="J974" s="2372"/>
      <c r="K974" s="2372"/>
      <c r="L974" s="2372"/>
      <c r="M974" s="2372"/>
      <c r="N974" s="2372"/>
      <c r="O974" s="2372"/>
      <c r="P974" s="2372"/>
      <c r="Q974" s="2372"/>
      <c r="R974" s="2372"/>
      <c r="S974" s="2372"/>
      <c r="T974" s="2372"/>
      <c r="U974" s="2372"/>
      <c r="V974" s="2372"/>
      <c r="W974" s="2372"/>
      <c r="X974" s="2372"/>
      <c r="Y974" s="2372"/>
      <c r="Z974" s="2372"/>
      <c r="AA974" s="2373"/>
      <c r="AB974" s="2353">
        <f>SUM(AB969:AI973)</f>
        <v>73</v>
      </c>
      <c r="AC974" s="2354"/>
      <c r="AD974" s="2354"/>
      <c r="AE974" s="2354"/>
      <c r="AF974" s="2354"/>
      <c r="AG974" s="2354"/>
      <c r="AH974" s="2354"/>
      <c r="AI974" s="2355"/>
      <c r="AJ974" s="2245"/>
      <c r="AK974" s="2246"/>
      <c r="AL974" s="2246"/>
      <c r="AM974" s="2246"/>
      <c r="AN974" s="2246"/>
      <c r="AO974" s="2246"/>
      <c r="AP974" s="2246"/>
      <c r="AQ974" s="2247"/>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5" customHeight="1">
      <c r="A975" s="51"/>
      <c r="B975" s="2401" t="s">
        <v>535</v>
      </c>
      <c r="C975" s="2402"/>
      <c r="D975" s="2402"/>
      <c r="E975" s="2402"/>
      <c r="F975" s="2402"/>
      <c r="G975" s="2402"/>
      <c r="H975" s="2402"/>
      <c r="I975" s="2402"/>
      <c r="J975" s="2402"/>
      <c r="K975" s="2402"/>
      <c r="L975" s="2402"/>
      <c r="M975" s="2402"/>
      <c r="N975" s="2402"/>
      <c r="O975" s="2402"/>
      <c r="P975" s="2402"/>
      <c r="Q975" s="2402"/>
      <c r="R975" s="2402"/>
      <c r="S975" s="2402"/>
      <c r="T975" s="2402"/>
      <c r="U975" s="2402"/>
      <c r="V975" s="2402"/>
      <c r="W975" s="2402"/>
      <c r="X975" s="2402"/>
      <c r="Y975" s="2402"/>
      <c r="Z975" s="2402"/>
      <c r="AA975" s="2402"/>
      <c r="AB975" s="2402"/>
      <c r="AC975" s="2402"/>
      <c r="AD975" s="2402"/>
      <c r="AE975" s="2402"/>
      <c r="AF975" s="2402"/>
      <c r="AG975" s="2402"/>
      <c r="AH975" s="2402"/>
      <c r="AI975" s="2403"/>
      <c r="AJ975" s="2245">
        <f>SUM(AJ969:AQ973)</f>
        <v>55052158</v>
      </c>
      <c r="AK975" s="2246"/>
      <c r="AL975" s="2246"/>
      <c r="AM975" s="2246"/>
      <c r="AN975" s="2246"/>
      <c r="AO975" s="2246"/>
      <c r="AP975" s="2246"/>
      <c r="AQ975" s="2247"/>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2343"/>
      <c r="C976" s="2344"/>
      <c r="D976" s="2344"/>
      <c r="E976" s="2344"/>
      <c r="F976" s="2344"/>
      <c r="G976" s="2344"/>
      <c r="H976" s="2344"/>
      <c r="I976" s="2344"/>
      <c r="J976" s="2344"/>
      <c r="K976" s="2344"/>
      <c r="L976" s="2344"/>
      <c r="M976" s="2344"/>
      <c r="N976" s="2344"/>
      <c r="O976" s="2344"/>
      <c r="P976" s="2344"/>
      <c r="Q976" s="2344"/>
      <c r="R976" s="2344"/>
      <c r="S976" s="2344"/>
      <c r="T976" s="2344"/>
      <c r="U976" s="2344"/>
      <c r="V976" s="2344"/>
      <c r="W976" s="2344"/>
      <c r="X976" s="2344"/>
      <c r="Y976" s="2344"/>
      <c r="Z976" s="2344"/>
      <c r="AA976" s="2344"/>
      <c r="AB976" s="2344"/>
      <c r="AC976" s="2344"/>
      <c r="AD976" s="2344"/>
      <c r="AE976" s="2345"/>
      <c r="AF976" s="2404" t="s">
        <v>690</v>
      </c>
      <c r="AG976" s="2405"/>
      <c r="AH976" s="2405"/>
      <c r="AI976" s="2406"/>
      <c r="AJ976" s="2343"/>
      <c r="AK976" s="2344"/>
      <c r="AL976" s="2344"/>
      <c r="AM976" s="2344"/>
      <c r="AN976" s="2344"/>
      <c r="AO976" s="2344"/>
      <c r="AP976" s="2344"/>
      <c r="AQ976" s="2345"/>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692</v>
      </c>
      <c r="D977" s="2346" t="s">
        <v>1382</v>
      </c>
      <c r="E977" s="2347"/>
      <c r="F977" s="2347"/>
      <c r="G977" s="2347"/>
      <c r="H977" s="2347"/>
      <c r="I977" s="2347"/>
      <c r="J977" s="2347"/>
      <c r="K977" s="2347"/>
      <c r="L977" s="2347"/>
      <c r="M977" s="2347"/>
      <c r="N977" s="2347"/>
      <c r="O977" s="2347"/>
      <c r="P977" s="2347"/>
      <c r="Q977" s="2347"/>
      <c r="R977" s="2347"/>
      <c r="S977" s="2347"/>
      <c r="T977" s="2347"/>
      <c r="U977" s="2347"/>
      <c r="V977" s="2347"/>
      <c r="W977" s="2347"/>
      <c r="X977" s="2347"/>
      <c r="Y977" s="2347"/>
      <c r="Z977" s="2347"/>
      <c r="AA977" s="2347"/>
      <c r="AB977" s="2347"/>
      <c r="AC977" s="2347"/>
      <c r="AD977" s="2347"/>
      <c r="AE977" s="2348"/>
      <c r="AF977" s="117"/>
      <c r="AG977" s="2407" t="s">
        <v>568</v>
      </c>
      <c r="AH977" s="2408"/>
      <c r="AI977" s="125"/>
      <c r="AJ977" s="2334">
        <f>ROUND(IF(AND(AG977="yes",D979&gt;0),AJ975*0.2,0),0)</f>
        <v>11010432</v>
      </c>
      <c r="AK977" s="2335"/>
      <c r="AL977" s="2335"/>
      <c r="AM977" s="2335"/>
      <c r="AN977" s="2335"/>
      <c r="AO977" s="2335"/>
      <c r="AP977" s="2335"/>
      <c r="AQ977" s="2336"/>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374" t="s">
        <v>1383</v>
      </c>
      <c r="E978" s="2375"/>
      <c r="F978" s="2375"/>
      <c r="G978" s="2375"/>
      <c r="H978" s="2375"/>
      <c r="I978" s="2375"/>
      <c r="J978" s="2375"/>
      <c r="K978" s="2375"/>
      <c r="L978" s="2375"/>
      <c r="M978" s="2375"/>
      <c r="N978" s="2375"/>
      <c r="O978" s="2375"/>
      <c r="P978" s="2375"/>
      <c r="Q978" s="2375"/>
      <c r="R978" s="2375"/>
      <c r="S978" s="2375"/>
      <c r="T978" s="2375"/>
      <c r="U978" s="2375"/>
      <c r="V978" s="2375"/>
      <c r="W978" s="2375"/>
      <c r="X978" s="2375"/>
      <c r="Y978" s="2375"/>
      <c r="Z978" s="2375"/>
      <c r="AA978" s="2375"/>
      <c r="AB978" s="2375"/>
      <c r="AC978" s="2375"/>
      <c r="AD978" s="2375"/>
      <c r="AE978" s="2376"/>
      <c r="AF978" s="110"/>
      <c r="AG978" s="112"/>
      <c r="AH978" s="112"/>
      <c r="AI978" s="121"/>
      <c r="AJ978" s="2337"/>
      <c r="AK978" s="2338"/>
      <c r="AL978" s="2338"/>
      <c r="AM978" s="2338"/>
      <c r="AN978" s="2338"/>
      <c r="AO978" s="2338"/>
      <c r="AP978" s="2338"/>
      <c r="AQ978" s="2339"/>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5" customHeight="1">
      <c r="A979" s="51"/>
      <c r="B979" s="409"/>
      <c r="C979" s="408"/>
      <c r="D979" s="1208" t="s">
        <v>2595</v>
      </c>
      <c r="E979" s="1202"/>
      <c r="F979" s="1202"/>
      <c r="G979" s="1202"/>
      <c r="H979" s="1202"/>
      <c r="I979" s="1202"/>
      <c r="J979" s="1202"/>
      <c r="K979" s="1202"/>
      <c r="L979" s="1202"/>
      <c r="M979" s="1202"/>
      <c r="N979" s="1202"/>
      <c r="O979" s="1202"/>
      <c r="P979" s="1202"/>
      <c r="Q979" s="1202"/>
      <c r="R979" s="1202"/>
      <c r="S979" s="1202"/>
      <c r="T979" s="1202"/>
      <c r="U979" s="1202"/>
      <c r="V979" s="1202"/>
      <c r="W979" s="1202"/>
      <c r="X979" s="1202"/>
      <c r="Y979" s="1202"/>
      <c r="Z979" s="1202"/>
      <c r="AA979" s="1202"/>
      <c r="AB979" s="1202"/>
      <c r="AC979" s="1202"/>
      <c r="AD979" s="1202"/>
      <c r="AE979" s="1203"/>
      <c r="AF979" s="115"/>
      <c r="AG979" s="11"/>
      <c r="AH979" s="11"/>
      <c r="AI979" s="116"/>
      <c r="AJ979" s="2340"/>
      <c r="AK979" s="2341"/>
      <c r="AL979" s="2341"/>
      <c r="AM979" s="2341"/>
      <c r="AN979" s="2341"/>
      <c r="AO979" s="2341"/>
      <c r="AP979" s="2341"/>
      <c r="AQ979" s="2342"/>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2297" t="s">
        <v>1468</v>
      </c>
      <c r="E980" s="2298"/>
      <c r="F980" s="2298"/>
      <c r="G980" s="2298"/>
      <c r="H980" s="2298"/>
      <c r="I980" s="2298"/>
      <c r="J980" s="2298"/>
      <c r="K980" s="2298"/>
      <c r="L980" s="2298"/>
      <c r="M980" s="2298"/>
      <c r="N980" s="2298"/>
      <c r="O980" s="2298"/>
      <c r="P980" s="2298"/>
      <c r="Q980" s="2298"/>
      <c r="R980" s="2298"/>
      <c r="S980" s="2298"/>
      <c r="T980" s="2298"/>
      <c r="U980" s="2298"/>
      <c r="V980" s="2298"/>
      <c r="W980" s="2298"/>
      <c r="X980" s="2298"/>
      <c r="Y980" s="2298"/>
      <c r="Z980" s="2298"/>
      <c r="AA980" s="2298"/>
      <c r="AB980" s="2298"/>
      <c r="AC980" s="2298"/>
      <c r="AD980" s="2298"/>
      <c r="AE980" s="2299"/>
      <c r="AF980" s="117"/>
      <c r="AG980" s="2309" t="s">
        <v>693</v>
      </c>
      <c r="AH980" s="2310"/>
      <c r="AI980" s="125"/>
      <c r="AJ980" s="2334">
        <f>ROUND(IF(AG980="yes",AJ975*0.05,0),0)</f>
        <v>0</v>
      </c>
      <c r="AK980" s="2335"/>
      <c r="AL980" s="2335"/>
      <c r="AM980" s="2335"/>
      <c r="AN980" s="2335"/>
      <c r="AO980" s="2335"/>
      <c r="AP980" s="2335"/>
      <c r="AQ980" s="2336"/>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5" customHeight="1">
      <c r="A981" s="51"/>
      <c r="B981" s="409"/>
      <c r="C981" s="120"/>
      <c r="D981" s="2374" t="s">
        <v>1466</v>
      </c>
      <c r="E981" s="2375"/>
      <c r="F981" s="2375"/>
      <c r="G981" s="2375"/>
      <c r="H981" s="2375"/>
      <c r="I981" s="2375"/>
      <c r="J981" s="2375"/>
      <c r="K981" s="2375"/>
      <c r="L981" s="2375"/>
      <c r="M981" s="2375"/>
      <c r="N981" s="2375"/>
      <c r="O981" s="2375"/>
      <c r="P981" s="2375"/>
      <c r="Q981" s="2375"/>
      <c r="R981" s="2375"/>
      <c r="S981" s="2375"/>
      <c r="T981" s="2375"/>
      <c r="U981" s="2375"/>
      <c r="V981" s="2375"/>
      <c r="W981" s="2375"/>
      <c r="X981" s="2375"/>
      <c r="Y981" s="2375"/>
      <c r="Z981" s="2375"/>
      <c r="AA981" s="2375"/>
      <c r="AB981" s="2375"/>
      <c r="AC981" s="2375"/>
      <c r="AD981" s="2375"/>
      <c r="AE981" s="2376"/>
      <c r="AF981" s="110"/>
      <c r="AG981" s="112"/>
      <c r="AH981" s="112"/>
      <c r="AI981" s="121"/>
      <c r="AJ981" s="2337"/>
      <c r="AK981" s="2338"/>
      <c r="AL981" s="2338"/>
      <c r="AM981" s="2338"/>
      <c r="AN981" s="2338"/>
      <c r="AO981" s="2338"/>
      <c r="AP981" s="2338"/>
      <c r="AQ981" s="2339"/>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374"/>
      <c r="E982" s="2375"/>
      <c r="F982" s="2375"/>
      <c r="G982" s="2375"/>
      <c r="H982" s="2375"/>
      <c r="I982" s="2375"/>
      <c r="J982" s="2375"/>
      <c r="K982" s="2375"/>
      <c r="L982" s="2375"/>
      <c r="M982" s="2375"/>
      <c r="N982" s="2375"/>
      <c r="O982" s="2375"/>
      <c r="P982" s="2375"/>
      <c r="Q982" s="2375"/>
      <c r="R982" s="2375"/>
      <c r="S982" s="2375"/>
      <c r="T982" s="2375"/>
      <c r="U982" s="2375"/>
      <c r="V982" s="2375"/>
      <c r="W982" s="2375"/>
      <c r="X982" s="2375"/>
      <c r="Y982" s="2375"/>
      <c r="Z982" s="2375"/>
      <c r="AA982" s="2375"/>
      <c r="AB982" s="2375"/>
      <c r="AC982" s="2375"/>
      <c r="AD982" s="2375"/>
      <c r="AE982" s="2376"/>
      <c r="AF982" s="110"/>
      <c r="AG982" s="112"/>
      <c r="AH982" s="112"/>
      <c r="AI982" s="121"/>
      <c r="AJ982" s="2337"/>
      <c r="AK982" s="2338"/>
      <c r="AL982" s="2338"/>
      <c r="AM982" s="2338"/>
      <c r="AN982" s="2338"/>
      <c r="AO982" s="2338"/>
      <c r="AP982" s="2338"/>
      <c r="AQ982" s="2339"/>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374"/>
      <c r="E983" s="2375"/>
      <c r="F983" s="2375"/>
      <c r="G983" s="2375"/>
      <c r="H983" s="2375"/>
      <c r="I983" s="2375"/>
      <c r="J983" s="2375"/>
      <c r="K983" s="2375"/>
      <c r="L983" s="2375"/>
      <c r="M983" s="2375"/>
      <c r="N983" s="2375"/>
      <c r="O983" s="2375"/>
      <c r="P983" s="2375"/>
      <c r="Q983" s="2375"/>
      <c r="R983" s="2375"/>
      <c r="S983" s="2375"/>
      <c r="T983" s="2375"/>
      <c r="U983" s="2375"/>
      <c r="V983" s="2375"/>
      <c r="W983" s="2375"/>
      <c r="X983" s="2375"/>
      <c r="Y983" s="2375"/>
      <c r="Z983" s="2375"/>
      <c r="AA983" s="2375"/>
      <c r="AB983" s="2375"/>
      <c r="AC983" s="2375"/>
      <c r="AD983" s="2375"/>
      <c r="AE983" s="2376"/>
      <c r="AF983" s="110"/>
      <c r="AG983" s="112"/>
      <c r="AH983" s="112"/>
      <c r="AI983" s="121"/>
      <c r="AJ983" s="2337"/>
      <c r="AK983" s="2338"/>
      <c r="AL983" s="2338"/>
      <c r="AM983" s="2338"/>
      <c r="AN983" s="2338"/>
      <c r="AO983" s="2338"/>
      <c r="AP983" s="2338"/>
      <c r="AQ983" s="2339"/>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374"/>
      <c r="E984" s="2375"/>
      <c r="F984" s="2375"/>
      <c r="G984" s="2375"/>
      <c r="H984" s="2375"/>
      <c r="I984" s="2375"/>
      <c r="J984" s="2375"/>
      <c r="K984" s="2375"/>
      <c r="L984" s="2375"/>
      <c r="M984" s="2375"/>
      <c r="N984" s="2375"/>
      <c r="O984" s="2375"/>
      <c r="P984" s="2375"/>
      <c r="Q984" s="2375"/>
      <c r="R984" s="2375"/>
      <c r="S984" s="2375"/>
      <c r="T984" s="2375"/>
      <c r="U984" s="2375"/>
      <c r="V984" s="2375"/>
      <c r="W984" s="2375"/>
      <c r="X984" s="2375"/>
      <c r="Y984" s="2375"/>
      <c r="Z984" s="2375"/>
      <c r="AA984" s="2375"/>
      <c r="AB984" s="2375"/>
      <c r="AC984" s="2375"/>
      <c r="AD984" s="2375"/>
      <c r="AE984" s="2376"/>
      <c r="AF984" s="110"/>
      <c r="AG984" s="112"/>
      <c r="AH984" s="112"/>
      <c r="AI984" s="121"/>
      <c r="AJ984" s="2337"/>
      <c r="AK984" s="2338"/>
      <c r="AL984" s="2338"/>
      <c r="AM984" s="2338"/>
      <c r="AN984" s="2338"/>
      <c r="AO984" s="2338"/>
      <c r="AP984" s="2338"/>
      <c r="AQ984" s="2339"/>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377"/>
      <c r="E985" s="2378"/>
      <c r="F985" s="2378"/>
      <c r="G985" s="2378"/>
      <c r="H985" s="2378"/>
      <c r="I985" s="2378"/>
      <c r="J985" s="2378"/>
      <c r="K985" s="2378"/>
      <c r="L985" s="2378"/>
      <c r="M985" s="2378"/>
      <c r="N985" s="2378"/>
      <c r="O985" s="2378"/>
      <c r="P985" s="2378"/>
      <c r="Q985" s="2378"/>
      <c r="R985" s="2378"/>
      <c r="S985" s="2378"/>
      <c r="T985" s="2378"/>
      <c r="U985" s="2378"/>
      <c r="V985" s="2378"/>
      <c r="W985" s="2378"/>
      <c r="X985" s="2378"/>
      <c r="Y985" s="2378"/>
      <c r="Z985" s="2378"/>
      <c r="AA985" s="2378"/>
      <c r="AB985" s="2378"/>
      <c r="AC985" s="2378"/>
      <c r="AD985" s="2378"/>
      <c r="AE985" s="2379"/>
      <c r="AF985" s="115"/>
      <c r="AG985" s="11"/>
      <c r="AH985" s="11"/>
      <c r="AI985" s="116"/>
      <c r="AJ985" s="2340"/>
      <c r="AK985" s="2341"/>
      <c r="AL985" s="2341"/>
      <c r="AM985" s="2341"/>
      <c r="AN985" s="2341"/>
      <c r="AO985" s="2341"/>
      <c r="AP985" s="2341"/>
      <c r="AQ985" s="2342"/>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297" t="s">
        <v>1990</v>
      </c>
      <c r="E986" s="2298"/>
      <c r="F986" s="2298"/>
      <c r="G986" s="2298"/>
      <c r="H986" s="2298"/>
      <c r="I986" s="2298"/>
      <c r="J986" s="2298"/>
      <c r="K986" s="2298"/>
      <c r="L986" s="2298"/>
      <c r="M986" s="2298"/>
      <c r="N986" s="2298"/>
      <c r="O986" s="2298"/>
      <c r="P986" s="2298"/>
      <c r="Q986" s="2298"/>
      <c r="R986" s="2298"/>
      <c r="S986" s="2298"/>
      <c r="T986" s="2298"/>
      <c r="U986" s="2298"/>
      <c r="V986" s="2298"/>
      <c r="W986" s="2298"/>
      <c r="X986" s="2298"/>
      <c r="Y986" s="2298"/>
      <c r="Z986" s="2298"/>
      <c r="AA986" s="2298"/>
      <c r="AB986" s="2298"/>
      <c r="AC986" s="2298"/>
      <c r="AD986" s="2298"/>
      <c r="AE986" s="2299"/>
      <c r="AF986" s="124"/>
      <c r="AG986" s="2309" t="s">
        <v>568</v>
      </c>
      <c r="AH986" s="2310"/>
      <c r="AI986" s="125"/>
      <c r="AJ986" s="2334">
        <f>ROUND(IF(AG986="yes",AJ975*0.1,0),0)</f>
        <v>5505216</v>
      </c>
      <c r="AK986" s="2335"/>
      <c r="AL986" s="2335"/>
      <c r="AM986" s="2335"/>
      <c r="AN986" s="2335"/>
      <c r="AO986" s="2335"/>
      <c r="AP986" s="2335"/>
      <c r="AQ986" s="2336"/>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2300" t="s">
        <v>1467</v>
      </c>
      <c r="E987" s="2301"/>
      <c r="F987" s="2301"/>
      <c r="G987" s="2301"/>
      <c r="H987" s="2301"/>
      <c r="I987" s="2301"/>
      <c r="J987" s="2301"/>
      <c r="K987" s="2301"/>
      <c r="L987" s="2301"/>
      <c r="M987" s="2301"/>
      <c r="N987" s="2301"/>
      <c r="O987" s="2301"/>
      <c r="P987" s="2301"/>
      <c r="Q987" s="2301"/>
      <c r="R987" s="2301"/>
      <c r="S987" s="2301"/>
      <c r="T987" s="2301"/>
      <c r="U987" s="2301"/>
      <c r="V987" s="2301"/>
      <c r="W987" s="2301"/>
      <c r="X987" s="2301"/>
      <c r="Y987" s="2301"/>
      <c r="Z987" s="2301"/>
      <c r="AA987" s="2301"/>
      <c r="AB987" s="2301"/>
      <c r="AC987" s="2301"/>
      <c r="AD987" s="2301"/>
      <c r="AE987" s="2302"/>
      <c r="AF987" s="110"/>
      <c r="AG987" s="25"/>
      <c r="AH987" s="25"/>
      <c r="AI987" s="121"/>
      <c r="AJ987" s="2337"/>
      <c r="AK987" s="2338"/>
      <c r="AL987" s="2338"/>
      <c r="AM987" s="2338"/>
      <c r="AN987" s="2338"/>
      <c r="AO987" s="2338"/>
      <c r="AP987" s="2338"/>
      <c r="AQ987" s="2339"/>
      <c r="AR987" s="961"/>
      <c r="AS987" s="961"/>
      <c r="AT987" s="961"/>
      <c r="AU987" s="961"/>
      <c r="AV987" s="961"/>
      <c r="AW987" s="961"/>
      <c r="AX987" s="961"/>
      <c r="AY987" s="961"/>
      <c r="AZ987" s="61"/>
      <c r="BA987" s="977">
        <f>G753+O796</f>
        <v>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2300"/>
      <c r="E988" s="2301"/>
      <c r="F988" s="2301"/>
      <c r="G988" s="2301"/>
      <c r="H988" s="2301"/>
      <c r="I988" s="2301"/>
      <c r="J988" s="2301"/>
      <c r="K988" s="2301"/>
      <c r="L988" s="2301"/>
      <c r="M988" s="2301"/>
      <c r="N988" s="2301"/>
      <c r="O988" s="2301"/>
      <c r="P988" s="2301"/>
      <c r="Q988" s="2301"/>
      <c r="R988" s="2301"/>
      <c r="S988" s="2301"/>
      <c r="T988" s="2301"/>
      <c r="U988" s="2301"/>
      <c r="V988" s="2301"/>
      <c r="W988" s="2301"/>
      <c r="X988" s="2301"/>
      <c r="Y988" s="2301"/>
      <c r="Z988" s="2301"/>
      <c r="AA988" s="2301"/>
      <c r="AB988" s="2301"/>
      <c r="AC988" s="2301"/>
      <c r="AD988" s="2301"/>
      <c r="AE988" s="2302"/>
      <c r="AF988" s="110"/>
      <c r="AG988" s="112"/>
      <c r="AH988" s="112"/>
      <c r="AI988" s="121"/>
      <c r="AJ988" s="2337"/>
      <c r="AK988" s="2338"/>
      <c r="AL988" s="2338"/>
      <c r="AM988" s="2338"/>
      <c r="AN988" s="2338"/>
      <c r="AO988" s="2338"/>
      <c r="AP988" s="2338"/>
      <c r="AQ988" s="2339"/>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2313"/>
      <c r="E989" s="2314"/>
      <c r="F989" s="2314"/>
      <c r="G989" s="2314"/>
      <c r="H989" s="2314"/>
      <c r="I989" s="2314"/>
      <c r="J989" s="2314"/>
      <c r="K989" s="2314"/>
      <c r="L989" s="2314"/>
      <c r="M989" s="2314"/>
      <c r="N989" s="2314"/>
      <c r="O989" s="2314"/>
      <c r="P989" s="2314"/>
      <c r="Q989" s="2314"/>
      <c r="R989" s="2314"/>
      <c r="S989" s="2314"/>
      <c r="T989" s="2314"/>
      <c r="U989" s="2314"/>
      <c r="V989" s="2314"/>
      <c r="W989" s="2314"/>
      <c r="X989" s="2314"/>
      <c r="Y989" s="2314"/>
      <c r="Z989" s="2314"/>
      <c r="AA989" s="2314"/>
      <c r="AB989" s="2314"/>
      <c r="AC989" s="2314"/>
      <c r="AD989" s="2314"/>
      <c r="AE989" s="2315"/>
      <c r="AF989" s="115"/>
      <c r="AG989" s="11"/>
      <c r="AH989" s="11"/>
      <c r="AI989" s="116"/>
      <c r="AJ989" s="2340"/>
      <c r="AK989" s="2341"/>
      <c r="AL989" s="2341"/>
      <c r="AM989" s="2341"/>
      <c r="AN989" s="2341"/>
      <c r="AO989" s="2341"/>
      <c r="AP989" s="2341"/>
      <c r="AQ989" s="2342"/>
      <c r="AR989" s="961"/>
      <c r="AS989" s="961"/>
      <c r="AT989" s="961"/>
      <c r="AU989" s="961"/>
      <c r="AV989" s="961"/>
      <c r="AW989" s="961"/>
      <c r="AX989" s="961"/>
      <c r="AY989" s="961"/>
      <c r="AZ989" s="61"/>
      <c r="BA989" s="976">
        <f>ROUNDDOWN(X1027/I1027,2)</f>
        <v>0.88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297" t="s">
        <v>1469</v>
      </c>
      <c r="E990" s="2298"/>
      <c r="F990" s="2298"/>
      <c r="G990" s="2298"/>
      <c r="H990" s="2298"/>
      <c r="I990" s="2298"/>
      <c r="J990" s="2298"/>
      <c r="K990" s="2298"/>
      <c r="L990" s="2298"/>
      <c r="M990" s="2298"/>
      <c r="N990" s="2298"/>
      <c r="O990" s="2298"/>
      <c r="P990" s="2298"/>
      <c r="Q990" s="2298"/>
      <c r="R990" s="2298"/>
      <c r="S990" s="2298"/>
      <c r="T990" s="2298"/>
      <c r="U990" s="2298"/>
      <c r="V990" s="2298"/>
      <c r="W990" s="2298"/>
      <c r="X990" s="2298"/>
      <c r="Y990" s="2298"/>
      <c r="Z990" s="2298"/>
      <c r="AA990" s="2298"/>
      <c r="AB990" s="2298"/>
      <c r="AC990" s="2298"/>
      <c r="AD990" s="2298"/>
      <c r="AE990" s="2299"/>
      <c r="AF990" s="117"/>
      <c r="AG990" s="2309" t="s">
        <v>693</v>
      </c>
      <c r="AH990" s="2310"/>
      <c r="AI990" s="125"/>
      <c r="AJ990" s="2334">
        <f>ROUND(IF(AG990="yes",AJ975*0.02,0),0)</f>
        <v>0</v>
      </c>
      <c r="AK990" s="2335"/>
      <c r="AL990" s="2335"/>
      <c r="AM990" s="2335"/>
      <c r="AN990" s="2335"/>
      <c r="AO990" s="2335"/>
      <c r="AP990" s="2335"/>
      <c r="AQ990" s="2336"/>
      <c r="AR990" s="961"/>
      <c r="AS990" s="961"/>
      <c r="AT990" s="961"/>
      <c r="AU990" s="961"/>
      <c r="AV990" s="961"/>
      <c r="AW990" s="961"/>
      <c r="AX990" s="961"/>
      <c r="AY990" s="961"/>
      <c r="AZ990" s="61"/>
      <c r="BA990" s="976">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313" t="s">
        <v>1470</v>
      </c>
      <c r="E991" s="2314"/>
      <c r="F991" s="2314"/>
      <c r="G991" s="2314"/>
      <c r="H991" s="2314"/>
      <c r="I991" s="2314"/>
      <c r="J991" s="2314"/>
      <c r="K991" s="2314"/>
      <c r="L991" s="2314"/>
      <c r="M991" s="2314"/>
      <c r="N991" s="2314"/>
      <c r="O991" s="2314"/>
      <c r="P991" s="2314"/>
      <c r="Q991" s="2314"/>
      <c r="R991" s="2314"/>
      <c r="S991" s="2314"/>
      <c r="T991" s="2314"/>
      <c r="U991" s="2314"/>
      <c r="V991" s="2314"/>
      <c r="W991" s="2314"/>
      <c r="X991" s="2314"/>
      <c r="Y991" s="2314"/>
      <c r="Z991" s="2314"/>
      <c r="AA991" s="2314"/>
      <c r="AB991" s="2314"/>
      <c r="AC991" s="2314"/>
      <c r="AD991" s="2314"/>
      <c r="AE991" s="2315"/>
      <c r="AF991" s="115"/>
      <c r="AG991" s="11"/>
      <c r="AH991" s="11"/>
      <c r="AI991" s="116"/>
      <c r="AJ991" s="2340"/>
      <c r="AK991" s="2341"/>
      <c r="AL991" s="2341"/>
      <c r="AM991" s="2341"/>
      <c r="AN991" s="2341"/>
      <c r="AO991" s="2341"/>
      <c r="AP991" s="2341"/>
      <c r="AQ991" s="2342"/>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220</v>
      </c>
      <c r="D992" s="2297" t="s">
        <v>1471</v>
      </c>
      <c r="E992" s="2298"/>
      <c r="F992" s="2298"/>
      <c r="G992" s="2298"/>
      <c r="H992" s="2298"/>
      <c r="I992" s="2298"/>
      <c r="J992" s="2298"/>
      <c r="K992" s="2298"/>
      <c r="L992" s="2298"/>
      <c r="M992" s="2298"/>
      <c r="N992" s="2298"/>
      <c r="O992" s="2298"/>
      <c r="P992" s="2298"/>
      <c r="Q992" s="2298"/>
      <c r="R992" s="2298"/>
      <c r="S992" s="2298"/>
      <c r="T992" s="2298"/>
      <c r="U992" s="2298"/>
      <c r="V992" s="2298"/>
      <c r="W992" s="2298"/>
      <c r="X992" s="2298"/>
      <c r="Y992" s="2298"/>
      <c r="Z992" s="2298"/>
      <c r="AA992" s="2298"/>
      <c r="AB992" s="2298"/>
      <c r="AC992" s="2298"/>
      <c r="AD992" s="2298"/>
      <c r="AE992" s="2299"/>
      <c r="AF992" s="117"/>
      <c r="AG992" s="2309" t="s">
        <v>693</v>
      </c>
      <c r="AH992" s="2310"/>
      <c r="AI992" s="117"/>
      <c r="AJ992" s="2334">
        <f>ROUND(IF(AG992="yes",AJ975*0.02,0),0)</f>
        <v>0</v>
      </c>
      <c r="AK992" s="2335"/>
      <c r="AL992" s="2335"/>
      <c r="AM992" s="2335"/>
      <c r="AN992" s="2335"/>
      <c r="AO992" s="2335"/>
      <c r="AP992" s="2335"/>
      <c r="AQ992" s="2336"/>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2300" t="s">
        <v>1472</v>
      </c>
      <c r="E993" s="2301"/>
      <c r="F993" s="2301"/>
      <c r="G993" s="2301"/>
      <c r="H993" s="2301"/>
      <c r="I993" s="2301"/>
      <c r="J993" s="2301"/>
      <c r="K993" s="2301"/>
      <c r="L993" s="2301"/>
      <c r="M993" s="2301"/>
      <c r="N993" s="2301"/>
      <c r="O993" s="2301"/>
      <c r="P993" s="2301"/>
      <c r="Q993" s="2301"/>
      <c r="R993" s="2301"/>
      <c r="S993" s="2301"/>
      <c r="T993" s="2301"/>
      <c r="U993" s="2301"/>
      <c r="V993" s="2301"/>
      <c r="W993" s="2301"/>
      <c r="X993" s="2301"/>
      <c r="Y993" s="2301"/>
      <c r="Z993" s="2301"/>
      <c r="AA993" s="2301"/>
      <c r="AB993" s="2301"/>
      <c r="AC993" s="2301"/>
      <c r="AD993" s="2301"/>
      <c r="AE993" s="2302"/>
      <c r="AF993" s="110"/>
      <c r="AG993" s="25"/>
      <c r="AH993" s="25"/>
      <c r="AI993" s="112"/>
      <c r="AJ993" s="2337"/>
      <c r="AK993" s="2338"/>
      <c r="AL993" s="2338"/>
      <c r="AM993" s="2338"/>
      <c r="AN993" s="2338"/>
      <c r="AO993" s="2338"/>
      <c r="AP993" s="2338"/>
      <c r="AQ993" s="2339"/>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2313"/>
      <c r="E994" s="2314"/>
      <c r="F994" s="2314"/>
      <c r="G994" s="2314"/>
      <c r="H994" s="2314"/>
      <c r="I994" s="2314"/>
      <c r="J994" s="2314"/>
      <c r="K994" s="2314"/>
      <c r="L994" s="2314"/>
      <c r="M994" s="2314"/>
      <c r="N994" s="2314"/>
      <c r="O994" s="2314"/>
      <c r="P994" s="2314"/>
      <c r="Q994" s="2314"/>
      <c r="R994" s="2314"/>
      <c r="S994" s="2314"/>
      <c r="T994" s="2314"/>
      <c r="U994" s="2314"/>
      <c r="V994" s="2314"/>
      <c r="W994" s="2314"/>
      <c r="X994" s="2314"/>
      <c r="Y994" s="2314"/>
      <c r="Z994" s="2314"/>
      <c r="AA994" s="2314"/>
      <c r="AB994" s="2314"/>
      <c r="AC994" s="2314"/>
      <c r="AD994" s="2314"/>
      <c r="AE994" s="2315"/>
      <c r="AF994" s="115"/>
      <c r="AG994" s="11"/>
      <c r="AH994" s="11"/>
      <c r="AI994" s="116"/>
      <c r="AJ994" s="2340"/>
      <c r="AK994" s="2341"/>
      <c r="AL994" s="2341"/>
      <c r="AM994" s="2341"/>
      <c r="AN994" s="2341"/>
      <c r="AO994" s="2341"/>
      <c r="AP994" s="2341"/>
      <c r="AQ994" s="2342"/>
      <c r="AR994" s="961"/>
      <c r="AS994" s="961"/>
      <c r="AT994" s="961"/>
      <c r="AU994" s="961"/>
      <c r="AV994" s="961"/>
      <c r="AW994" s="961"/>
      <c r="AX994" s="961"/>
      <c r="AY994" s="961"/>
    </row>
    <row r="995" spans="1:96" s="711" customFormat="1" ht="12.75" customHeight="1">
      <c r="A995" s="51"/>
      <c r="B995" s="117"/>
      <c r="C995" s="118" t="s">
        <v>223</v>
      </c>
      <c r="D995" s="2346" t="s">
        <v>1473</v>
      </c>
      <c r="E995" s="2347"/>
      <c r="F995" s="2347"/>
      <c r="G995" s="2347"/>
      <c r="H995" s="2347"/>
      <c r="I995" s="2347"/>
      <c r="J995" s="2347"/>
      <c r="K995" s="2347"/>
      <c r="L995" s="2347"/>
      <c r="M995" s="2347"/>
      <c r="N995" s="2347"/>
      <c r="O995" s="2347"/>
      <c r="P995" s="2347"/>
      <c r="Q995" s="2347"/>
      <c r="R995" s="2347"/>
      <c r="S995" s="2347"/>
      <c r="T995" s="2347"/>
      <c r="U995" s="2347"/>
      <c r="V995" s="2347"/>
      <c r="W995" s="2347"/>
      <c r="X995" s="2347"/>
      <c r="Y995" s="2347"/>
      <c r="Z995" s="2347"/>
      <c r="AA995" s="2347"/>
      <c r="AB995" s="2347"/>
      <c r="AC995" s="2347"/>
      <c r="AD995" s="2347"/>
      <c r="AE995" s="2348"/>
      <c r="AF995" s="117"/>
      <c r="AG995" s="2309" t="s">
        <v>693</v>
      </c>
      <c r="AH995" s="2310"/>
      <c r="AI995" s="125"/>
      <c r="AJ995" s="2334">
        <f>IF(AG995="yes",AJ975*BA995,0)</f>
        <v>0</v>
      </c>
      <c r="AK995" s="2335"/>
      <c r="AL995" s="2335"/>
      <c r="AM995" s="2335"/>
      <c r="AN995" s="2335"/>
      <c r="AO995" s="2335"/>
      <c r="AP995" s="2335"/>
      <c r="AQ995" s="2336"/>
      <c r="AR995" s="961"/>
      <c r="AS995" s="961"/>
      <c r="AT995" s="961"/>
      <c r="AU995" s="961"/>
      <c r="AV995" s="961"/>
      <c r="AW995" s="961"/>
      <c r="AX995" s="961"/>
      <c r="AY995" s="961"/>
      <c r="BA995" s="322">
        <f>IF(SUM(BA997:BA1005)&lt;=0.1,SUM(BA997:BA1005),0.1)</f>
        <v>0</v>
      </c>
      <c r="CR995" s="25"/>
    </row>
    <row r="996" spans="1:96" ht="12.75" customHeight="1">
      <c r="A996" s="51"/>
      <c r="B996" s="110"/>
      <c r="C996" s="111"/>
      <c r="D996" s="2300" t="s">
        <v>1474</v>
      </c>
      <c r="E996" s="2301"/>
      <c r="F996" s="2301"/>
      <c r="G996" s="2301"/>
      <c r="H996" s="2301"/>
      <c r="I996" s="2301"/>
      <c r="J996" s="2301"/>
      <c r="K996" s="2301"/>
      <c r="L996" s="2301"/>
      <c r="M996" s="2301"/>
      <c r="N996" s="2301"/>
      <c r="O996" s="2301"/>
      <c r="P996" s="2301"/>
      <c r="Q996" s="2301"/>
      <c r="R996" s="2301"/>
      <c r="S996" s="2301"/>
      <c r="T996" s="2301"/>
      <c r="U996" s="2301"/>
      <c r="V996" s="2301"/>
      <c r="W996" s="2301"/>
      <c r="X996" s="2301"/>
      <c r="Y996" s="2301"/>
      <c r="Z996" s="2301"/>
      <c r="AA996" s="2301"/>
      <c r="AB996" s="2301"/>
      <c r="AC996" s="2301"/>
      <c r="AD996" s="2301"/>
      <c r="AE996" s="2302"/>
      <c r="AF996" s="110"/>
      <c r="AG996" s="112"/>
      <c r="AH996" s="112"/>
      <c r="AI996" s="121"/>
      <c r="AJ996" s="2337"/>
      <c r="AK996" s="2338"/>
      <c r="AL996" s="2338"/>
      <c r="AM996" s="2338"/>
      <c r="AN996" s="2338"/>
      <c r="AO996" s="2338"/>
      <c r="AP996" s="2338"/>
      <c r="AQ996" s="2339"/>
      <c r="AR996" s="961"/>
      <c r="AS996" s="961"/>
      <c r="AT996" s="961"/>
      <c r="AU996" s="961"/>
      <c r="AV996" s="961"/>
      <c r="AW996" s="961"/>
      <c r="AX996" s="961"/>
      <c r="AY996" s="961"/>
    </row>
    <row r="997" spans="1:96" ht="12.75" customHeight="1">
      <c r="A997" s="51"/>
      <c r="B997" s="110"/>
      <c r="C997" s="111"/>
      <c r="D997" s="2300"/>
      <c r="E997" s="2301"/>
      <c r="F997" s="2301"/>
      <c r="G997" s="2301"/>
      <c r="H997" s="2301"/>
      <c r="I997" s="2301"/>
      <c r="J997" s="2301"/>
      <c r="K997" s="2301"/>
      <c r="L997" s="2301"/>
      <c r="M997" s="2301"/>
      <c r="N997" s="2301"/>
      <c r="O997" s="2301"/>
      <c r="P997" s="2301"/>
      <c r="Q997" s="2301"/>
      <c r="R997" s="2301"/>
      <c r="S997" s="2301"/>
      <c r="T997" s="2301"/>
      <c r="U997" s="2301"/>
      <c r="V997" s="2301"/>
      <c r="W997" s="2301"/>
      <c r="X997" s="2301"/>
      <c r="Y997" s="2301"/>
      <c r="Z997" s="2301"/>
      <c r="AA997" s="2301"/>
      <c r="AB997" s="2301"/>
      <c r="AC997" s="2301"/>
      <c r="AD997" s="2301"/>
      <c r="AE997" s="2302"/>
      <c r="AF997" s="110"/>
      <c r="AG997" s="112"/>
      <c r="AH997" s="112"/>
      <c r="AI997" s="121"/>
      <c r="AJ997" s="2337"/>
      <c r="AK997" s="2338"/>
      <c r="AL997" s="2338"/>
      <c r="AM997" s="2338"/>
      <c r="AN997" s="2338"/>
      <c r="AO997" s="2338"/>
      <c r="AP997" s="2338"/>
      <c r="AQ997" s="2339"/>
      <c r="AR997" s="961"/>
      <c r="AS997" s="961"/>
      <c r="AT997" s="961"/>
      <c r="AU997" s="961"/>
      <c r="AV997" s="961"/>
      <c r="AW997" s="961"/>
      <c r="AX997" s="961"/>
      <c r="AY997" s="961"/>
      <c r="BA997" s="320">
        <f>IF(A1044="Yes",0.05,0)</f>
        <v>0</v>
      </c>
    </row>
    <row r="998" spans="1:96" ht="15" customHeight="1">
      <c r="A998" s="51"/>
      <c r="B998" s="119"/>
      <c r="C998" s="120"/>
      <c r="D998" s="2313"/>
      <c r="E998" s="2314"/>
      <c r="F998" s="2314"/>
      <c r="G998" s="2314"/>
      <c r="H998" s="2314"/>
      <c r="I998" s="2314"/>
      <c r="J998" s="2314"/>
      <c r="K998" s="2314"/>
      <c r="L998" s="2314"/>
      <c r="M998" s="2314"/>
      <c r="N998" s="2314"/>
      <c r="O998" s="2314"/>
      <c r="P998" s="2314"/>
      <c r="Q998" s="2314"/>
      <c r="R998" s="2314"/>
      <c r="S998" s="2314"/>
      <c r="T998" s="2314"/>
      <c r="U998" s="2314"/>
      <c r="V998" s="2314"/>
      <c r="W998" s="2314"/>
      <c r="X998" s="2314"/>
      <c r="Y998" s="2314"/>
      <c r="Z998" s="2314"/>
      <c r="AA998" s="2314"/>
      <c r="AB998" s="2314"/>
      <c r="AC998" s="2314"/>
      <c r="AD998" s="2314"/>
      <c r="AE998" s="2315"/>
      <c r="AF998" s="115"/>
      <c r="AG998" s="11"/>
      <c r="AH998" s="11"/>
      <c r="AI998" s="116"/>
      <c r="AJ998" s="2340"/>
      <c r="AK998" s="2341"/>
      <c r="AL998" s="2341"/>
      <c r="AM998" s="2341"/>
      <c r="AN998" s="2341"/>
      <c r="AO998" s="2341"/>
      <c r="AP998" s="2341"/>
      <c r="AQ998" s="2342"/>
      <c r="AR998" s="961"/>
      <c r="AS998" s="961"/>
      <c r="AT998" s="961"/>
      <c r="AU998" s="961"/>
      <c r="AV998" s="961"/>
      <c r="AW998" s="961"/>
      <c r="AX998" s="961"/>
      <c r="AY998" s="961"/>
      <c r="BA998" s="320">
        <f>IF(A1050="Yes",0.02,0)</f>
        <v>0</v>
      </c>
    </row>
    <row r="999" spans="1:96" s="711" customFormat="1" ht="15" customHeight="1">
      <c r="A999" s="51"/>
      <c r="B999" s="117"/>
      <c r="C999" s="118" t="s">
        <v>228</v>
      </c>
      <c r="D999" s="2392" t="s">
        <v>1475</v>
      </c>
      <c r="E999" s="2393"/>
      <c r="F999" s="2393"/>
      <c r="G999" s="2393"/>
      <c r="H999" s="2393"/>
      <c r="I999" s="2393"/>
      <c r="J999" s="2393"/>
      <c r="K999" s="2393"/>
      <c r="L999" s="2393"/>
      <c r="M999" s="2393"/>
      <c r="N999" s="2393"/>
      <c r="O999" s="2393"/>
      <c r="P999" s="2393"/>
      <c r="Q999" s="2393"/>
      <c r="R999" s="2393"/>
      <c r="S999" s="2393"/>
      <c r="T999" s="2393"/>
      <c r="U999" s="2393"/>
      <c r="V999" s="2393"/>
      <c r="W999" s="2393"/>
      <c r="X999" s="2393"/>
      <c r="Y999" s="2393"/>
      <c r="Z999" s="2393"/>
      <c r="AA999" s="2393"/>
      <c r="AB999" s="2393"/>
      <c r="AC999" s="2393"/>
      <c r="AD999" s="2393"/>
      <c r="AE999" s="2394"/>
      <c r="AF999" s="117"/>
      <c r="AG999" s="2309" t="s">
        <v>693</v>
      </c>
      <c r="AH999" s="2310"/>
      <c r="AI999" s="125"/>
      <c r="AJ999" s="2362" t="s">
        <v>615</v>
      </c>
      <c r="AK999" s="2363"/>
      <c r="AL999" s="2363"/>
      <c r="AM999" s="2363"/>
      <c r="AN999" s="2363"/>
      <c r="AO999" s="2363"/>
      <c r="AP999" s="2363"/>
      <c r="AQ999" s="2364"/>
      <c r="AR999" s="961"/>
      <c r="AS999" s="961"/>
      <c r="AT999" s="961"/>
      <c r="AU999" s="961"/>
      <c r="AV999" s="961"/>
      <c r="AW999" s="961"/>
      <c r="AX999" s="961"/>
      <c r="AY999" s="961"/>
      <c r="BA999" s="320">
        <f>IF(A1056="Yes",0.04,0)</f>
        <v>0</v>
      </c>
      <c r="CR999" s="25"/>
    </row>
    <row r="1000" spans="1:96" ht="13.2">
      <c r="A1000" s="51"/>
      <c r="B1000" s="119"/>
      <c r="C1000" s="122"/>
      <c r="D1000" s="2395"/>
      <c r="E1000" s="2396"/>
      <c r="F1000" s="2396"/>
      <c r="G1000" s="2396"/>
      <c r="H1000" s="2396"/>
      <c r="I1000" s="2396"/>
      <c r="J1000" s="2396"/>
      <c r="K1000" s="2396"/>
      <c r="L1000" s="2396"/>
      <c r="M1000" s="2396"/>
      <c r="N1000" s="2396"/>
      <c r="O1000" s="2396"/>
      <c r="P1000" s="2396"/>
      <c r="Q1000" s="2396"/>
      <c r="R1000" s="2396"/>
      <c r="S1000" s="2396"/>
      <c r="T1000" s="2396"/>
      <c r="U1000" s="2396"/>
      <c r="V1000" s="2396"/>
      <c r="W1000" s="2396"/>
      <c r="X1000" s="2396"/>
      <c r="Y1000" s="2396"/>
      <c r="Z1000" s="2396"/>
      <c r="AA1000" s="2396"/>
      <c r="AB1000" s="2396"/>
      <c r="AC1000" s="2396"/>
      <c r="AD1000" s="2396"/>
      <c r="AE1000" s="2397"/>
      <c r="AF1000" s="2380">
        <f>IF(AG999="yes","Please Select Type and Enter Amount:",0)</f>
        <v>0</v>
      </c>
      <c r="AG1000" s="2381"/>
      <c r="AH1000" s="2381"/>
      <c r="AI1000" s="2382"/>
      <c r="AJ1000" s="2365"/>
      <c r="AK1000" s="2366"/>
      <c r="AL1000" s="2366"/>
      <c r="AM1000" s="2366"/>
      <c r="AN1000" s="2366"/>
      <c r="AO1000" s="2366"/>
      <c r="AP1000" s="2366"/>
      <c r="AQ1000" s="2367"/>
      <c r="AR1000" s="961"/>
      <c r="AS1000" s="961"/>
      <c r="AT1000" s="961"/>
      <c r="AU1000" s="961"/>
      <c r="AV1000" s="961"/>
      <c r="AW1000" s="961"/>
      <c r="AX1000" s="961"/>
      <c r="AY1000" s="961"/>
      <c r="BA1000" s="320">
        <f>IF(A1063="Yes",0.04,0)</f>
        <v>0</v>
      </c>
    </row>
    <row r="1001" spans="1:96" ht="12.75" customHeight="1">
      <c r="A1001" s="51"/>
      <c r="B1001" s="119"/>
      <c r="C1001" s="122"/>
      <c r="D1001" s="2300" t="s">
        <v>1476</v>
      </c>
      <c r="E1001" s="2301"/>
      <c r="F1001" s="2301"/>
      <c r="G1001" s="2301"/>
      <c r="H1001" s="2301"/>
      <c r="I1001" s="2301"/>
      <c r="J1001" s="2301"/>
      <c r="K1001" s="2301"/>
      <c r="L1001" s="2301"/>
      <c r="M1001" s="2301"/>
      <c r="N1001" s="2301"/>
      <c r="O1001" s="2301"/>
      <c r="P1001" s="2301"/>
      <c r="Q1001" s="2301"/>
      <c r="R1001" s="2301"/>
      <c r="S1001" s="2301"/>
      <c r="T1001" s="2301"/>
      <c r="U1001" s="2301"/>
      <c r="V1001" s="2301"/>
      <c r="W1001" s="2301"/>
      <c r="X1001" s="2301"/>
      <c r="Y1001" s="2301"/>
      <c r="Z1001" s="2301"/>
      <c r="AA1001" s="2301"/>
      <c r="AB1001" s="2301"/>
      <c r="AC1001" s="2301"/>
      <c r="AD1001" s="2301"/>
      <c r="AE1001" s="2302"/>
      <c r="AF1001" s="2380"/>
      <c r="AG1001" s="2381"/>
      <c r="AH1001" s="2381"/>
      <c r="AI1001" s="2382"/>
      <c r="AJ1001" s="2365"/>
      <c r="AK1001" s="2366"/>
      <c r="AL1001" s="2366"/>
      <c r="AM1001" s="2366"/>
      <c r="AN1001" s="2366"/>
      <c r="AO1001" s="2366"/>
      <c r="AP1001" s="2366"/>
      <c r="AQ1001" s="2367"/>
      <c r="AR1001" s="961"/>
      <c r="AS1001" s="961"/>
      <c r="AT1001" s="961"/>
      <c r="AU1001" s="961"/>
      <c r="AV1001" s="961"/>
      <c r="AW1001" s="961"/>
      <c r="AX1001" s="961"/>
      <c r="AY1001" s="961"/>
      <c r="BA1001" s="320">
        <f>IF(A1066="Yes",0.01,0)</f>
        <v>0</v>
      </c>
    </row>
    <row r="1002" spans="1:96" ht="12.75" customHeight="1">
      <c r="A1002" s="51"/>
      <c r="B1002" s="119"/>
      <c r="C1002" s="122"/>
      <c r="D1002" s="2300"/>
      <c r="E1002" s="2301"/>
      <c r="F1002" s="2301"/>
      <c r="G1002" s="2301"/>
      <c r="H1002" s="2301"/>
      <c r="I1002" s="2301"/>
      <c r="J1002" s="2301"/>
      <c r="K1002" s="2301"/>
      <c r="L1002" s="2301"/>
      <c r="M1002" s="2301"/>
      <c r="N1002" s="2301"/>
      <c r="O1002" s="2301"/>
      <c r="P1002" s="2301"/>
      <c r="Q1002" s="2301"/>
      <c r="R1002" s="2301"/>
      <c r="S1002" s="2301"/>
      <c r="T1002" s="2301"/>
      <c r="U1002" s="2301"/>
      <c r="V1002" s="2301"/>
      <c r="W1002" s="2301"/>
      <c r="X1002" s="2301"/>
      <c r="Y1002" s="2301"/>
      <c r="Z1002" s="2301"/>
      <c r="AA1002" s="2301"/>
      <c r="AB1002" s="2301"/>
      <c r="AC1002" s="2301"/>
      <c r="AD1002" s="2301"/>
      <c r="AE1002" s="2302"/>
      <c r="AF1002" s="2380"/>
      <c r="AG1002" s="2381"/>
      <c r="AH1002" s="2381"/>
      <c r="AI1002" s="2382"/>
      <c r="AJ1002" s="2365"/>
      <c r="AK1002" s="2366"/>
      <c r="AL1002" s="2366"/>
      <c r="AM1002" s="2366"/>
      <c r="AN1002" s="2366"/>
      <c r="AO1002" s="2366"/>
      <c r="AP1002" s="2366"/>
      <c r="AQ1002" s="2367"/>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364</v>
      </c>
      <c r="E1003" s="133"/>
      <c r="F1003" s="133"/>
      <c r="G1003" s="160"/>
      <c r="H1003" s="160"/>
      <c r="I1003" s="81"/>
      <c r="J1003" s="2398" t="s">
        <v>615</v>
      </c>
      <c r="K1003" s="2399"/>
      <c r="L1003" s="2399"/>
      <c r="M1003" s="2399"/>
      <c r="N1003" s="2399"/>
      <c r="O1003" s="2399"/>
      <c r="P1003" s="2399"/>
      <c r="Q1003" s="2399"/>
      <c r="R1003" s="2399"/>
      <c r="S1003" s="2399"/>
      <c r="T1003" s="2399"/>
      <c r="U1003" s="2399"/>
      <c r="V1003" s="2399"/>
      <c r="W1003" s="2399"/>
      <c r="X1003" s="2399"/>
      <c r="Y1003" s="2399"/>
      <c r="Z1003" s="2399"/>
      <c r="AA1003" s="2399"/>
      <c r="AB1003" s="2399"/>
      <c r="AC1003" s="2399"/>
      <c r="AD1003" s="2399"/>
      <c r="AE1003" s="2400"/>
      <c r="AF1003" s="2383"/>
      <c r="AG1003" s="2384"/>
      <c r="AH1003" s="2384"/>
      <c r="AI1003" s="2385"/>
      <c r="AJ1003" s="2368"/>
      <c r="AK1003" s="2369"/>
      <c r="AL1003" s="2369"/>
      <c r="AM1003" s="2369"/>
      <c r="AN1003" s="2369"/>
      <c r="AO1003" s="2369"/>
      <c r="AP1003" s="2369"/>
      <c r="AQ1003" s="2370"/>
      <c r="AR1003" s="961"/>
      <c r="AS1003" s="961"/>
      <c r="AT1003" s="961"/>
      <c r="AU1003" s="961"/>
      <c r="AV1003" s="961"/>
      <c r="AW1003" s="961"/>
      <c r="AX1003" s="961"/>
      <c r="AY1003" s="961"/>
      <c r="BA1003" s="320">
        <f>IF(A1074="Yes",0.01,0)</f>
        <v>0</v>
      </c>
      <c r="CR1003" s="25"/>
    </row>
    <row r="1004" spans="1:96" ht="12.75" customHeight="1">
      <c r="A1004" s="51"/>
      <c r="B1004" s="117"/>
      <c r="C1004" s="118" t="s">
        <v>234</v>
      </c>
      <c r="D1004" s="2297" t="s">
        <v>1477</v>
      </c>
      <c r="E1004" s="2298"/>
      <c r="F1004" s="2298"/>
      <c r="G1004" s="2298"/>
      <c r="H1004" s="2298"/>
      <c r="I1004" s="2298"/>
      <c r="J1004" s="2298"/>
      <c r="K1004" s="2298"/>
      <c r="L1004" s="2298"/>
      <c r="M1004" s="2298"/>
      <c r="N1004" s="2298"/>
      <c r="O1004" s="2298"/>
      <c r="P1004" s="2298"/>
      <c r="Q1004" s="2298"/>
      <c r="R1004" s="2298"/>
      <c r="S1004" s="2298"/>
      <c r="T1004" s="2298"/>
      <c r="U1004" s="2298"/>
      <c r="V1004" s="2298"/>
      <c r="W1004" s="2298"/>
      <c r="X1004" s="2298"/>
      <c r="Y1004" s="2298"/>
      <c r="Z1004" s="2298"/>
      <c r="AA1004" s="2298"/>
      <c r="AB1004" s="2298"/>
      <c r="AC1004" s="2298"/>
      <c r="AD1004" s="2298"/>
      <c r="AE1004" s="2299"/>
      <c r="AF1004" s="117"/>
      <c r="AG1004" s="2309" t="s">
        <v>693</v>
      </c>
      <c r="AH1004" s="2310"/>
      <c r="AI1004" s="125"/>
      <c r="AJ1004" s="2362" t="s">
        <v>615</v>
      </c>
      <c r="AK1004" s="2363"/>
      <c r="AL1004" s="2363"/>
      <c r="AM1004" s="2363"/>
      <c r="AN1004" s="2363"/>
      <c r="AO1004" s="2363"/>
      <c r="AP1004" s="2363"/>
      <c r="AQ1004" s="2364"/>
      <c r="AR1004" s="961"/>
      <c r="AS1004" s="961"/>
      <c r="AT1004" s="961"/>
      <c r="AU1004" s="961"/>
      <c r="AV1004" s="961"/>
      <c r="AW1004" s="961"/>
      <c r="AX1004" s="961"/>
      <c r="AY1004" s="961"/>
      <c r="BA1004" s="320">
        <f>IF(A1078="Yes",0.02,0)</f>
        <v>0</v>
      </c>
    </row>
    <row r="1005" spans="1:96" ht="12.75" customHeight="1">
      <c r="A1005" s="51"/>
      <c r="B1005" s="110"/>
      <c r="C1005" s="111"/>
      <c r="D1005" s="2300" t="s">
        <v>1997</v>
      </c>
      <c r="E1005" s="2301"/>
      <c r="F1005" s="2301"/>
      <c r="G1005" s="2301"/>
      <c r="H1005" s="2301"/>
      <c r="I1005" s="2301"/>
      <c r="J1005" s="2301"/>
      <c r="K1005" s="2301"/>
      <c r="L1005" s="2301"/>
      <c r="M1005" s="2301"/>
      <c r="N1005" s="2301"/>
      <c r="O1005" s="2301"/>
      <c r="P1005" s="2301"/>
      <c r="Q1005" s="2301"/>
      <c r="R1005" s="2301"/>
      <c r="S1005" s="2301"/>
      <c r="T1005" s="2301"/>
      <c r="U1005" s="2301"/>
      <c r="V1005" s="2301"/>
      <c r="W1005" s="2301"/>
      <c r="X1005" s="2301"/>
      <c r="Y1005" s="2301"/>
      <c r="Z1005" s="2301"/>
      <c r="AA1005" s="2301"/>
      <c r="AB1005" s="2301"/>
      <c r="AC1005" s="2301"/>
      <c r="AD1005" s="2301"/>
      <c r="AE1005" s="2302"/>
      <c r="AF1005" s="2386">
        <f>IF(AG1004="yes","Please Enter Amount:",0)</f>
        <v>0</v>
      </c>
      <c r="AG1005" s="2387"/>
      <c r="AH1005" s="2387"/>
      <c r="AI1005" s="2388"/>
      <c r="AJ1005" s="2365"/>
      <c r="AK1005" s="2366"/>
      <c r="AL1005" s="2366"/>
      <c r="AM1005" s="2366"/>
      <c r="AN1005" s="2366"/>
      <c r="AO1005" s="2366"/>
      <c r="AP1005" s="2366"/>
      <c r="AQ1005" s="2367"/>
      <c r="AR1005" s="961"/>
      <c r="AS1005" s="961"/>
      <c r="AT1005" s="961"/>
      <c r="AU1005" s="961"/>
      <c r="AV1005" s="961"/>
      <c r="AW1005" s="961"/>
      <c r="AX1005" s="961"/>
      <c r="AY1005" s="961"/>
      <c r="BA1005" s="321">
        <f>IF(A1082="Yes",0.02,0)</f>
        <v>0</v>
      </c>
    </row>
    <row r="1006" spans="1:96" ht="12.75" customHeight="1">
      <c r="A1006" s="51"/>
      <c r="B1006" s="110"/>
      <c r="C1006" s="111"/>
      <c r="D1006" s="2300"/>
      <c r="E1006" s="2301"/>
      <c r="F1006" s="2301"/>
      <c r="G1006" s="2301"/>
      <c r="H1006" s="2301"/>
      <c r="I1006" s="2301"/>
      <c r="J1006" s="2301"/>
      <c r="K1006" s="2301"/>
      <c r="L1006" s="2301"/>
      <c r="M1006" s="2301"/>
      <c r="N1006" s="2301"/>
      <c r="O1006" s="2301"/>
      <c r="P1006" s="2301"/>
      <c r="Q1006" s="2301"/>
      <c r="R1006" s="2301"/>
      <c r="S1006" s="2301"/>
      <c r="T1006" s="2301"/>
      <c r="U1006" s="2301"/>
      <c r="V1006" s="2301"/>
      <c r="W1006" s="2301"/>
      <c r="X1006" s="2301"/>
      <c r="Y1006" s="2301"/>
      <c r="Z1006" s="2301"/>
      <c r="AA1006" s="2301"/>
      <c r="AB1006" s="2301"/>
      <c r="AC1006" s="2301"/>
      <c r="AD1006" s="2301"/>
      <c r="AE1006" s="2302"/>
      <c r="AF1006" s="2386"/>
      <c r="AG1006" s="2387"/>
      <c r="AH1006" s="2387"/>
      <c r="AI1006" s="2388"/>
      <c r="AJ1006" s="2365"/>
      <c r="AK1006" s="2366"/>
      <c r="AL1006" s="2366"/>
      <c r="AM1006" s="2366"/>
      <c r="AN1006" s="2366"/>
      <c r="AO1006" s="2366"/>
      <c r="AP1006" s="2366"/>
      <c r="AQ1006" s="2367"/>
      <c r="AR1006" s="961"/>
      <c r="AS1006" s="961"/>
      <c r="AT1006" s="961"/>
      <c r="AU1006" s="961"/>
      <c r="AV1006" s="961"/>
      <c r="AW1006" s="961"/>
      <c r="AX1006" s="961"/>
      <c r="AY1006" s="961"/>
    </row>
    <row r="1007" spans="1:96" ht="12.75" customHeight="1">
      <c r="A1007" s="51"/>
      <c r="B1007" s="123"/>
      <c r="C1007" s="122"/>
      <c r="D1007" s="2313"/>
      <c r="E1007" s="2314"/>
      <c r="F1007" s="2314"/>
      <c r="G1007" s="2314"/>
      <c r="H1007" s="2314"/>
      <c r="I1007" s="2314"/>
      <c r="J1007" s="2314"/>
      <c r="K1007" s="2314"/>
      <c r="L1007" s="2314"/>
      <c r="M1007" s="2314"/>
      <c r="N1007" s="2314"/>
      <c r="O1007" s="2314"/>
      <c r="P1007" s="2314"/>
      <c r="Q1007" s="2314"/>
      <c r="R1007" s="2314"/>
      <c r="S1007" s="2314"/>
      <c r="T1007" s="2314"/>
      <c r="U1007" s="2314"/>
      <c r="V1007" s="2314"/>
      <c r="W1007" s="2314"/>
      <c r="X1007" s="2314"/>
      <c r="Y1007" s="2314"/>
      <c r="Z1007" s="2314"/>
      <c r="AA1007" s="2314"/>
      <c r="AB1007" s="2314"/>
      <c r="AC1007" s="2314"/>
      <c r="AD1007" s="2314"/>
      <c r="AE1007" s="2315"/>
      <c r="AF1007" s="2389"/>
      <c r="AG1007" s="2390"/>
      <c r="AH1007" s="2390"/>
      <c r="AI1007" s="2391"/>
      <c r="AJ1007" s="2368"/>
      <c r="AK1007" s="2369"/>
      <c r="AL1007" s="2369"/>
      <c r="AM1007" s="2369"/>
      <c r="AN1007" s="2369"/>
      <c r="AO1007" s="2369"/>
      <c r="AP1007" s="2369"/>
      <c r="AQ1007" s="2370"/>
      <c r="AR1007" s="961"/>
      <c r="AS1007" s="961"/>
      <c r="AT1007" s="961"/>
      <c r="AU1007" s="961"/>
      <c r="AV1007" s="961"/>
      <c r="AW1007" s="961"/>
      <c r="AX1007" s="961"/>
      <c r="AY1007" s="961"/>
    </row>
    <row r="1008" spans="1:96" s="711" customFormat="1" ht="12.75" customHeight="1">
      <c r="A1008" s="51"/>
      <c r="B1008" s="117"/>
      <c r="C1008" s="118" t="s">
        <v>239</v>
      </c>
      <c r="D1008" s="2346" t="s">
        <v>1478</v>
      </c>
      <c r="E1008" s="2347"/>
      <c r="F1008" s="2347"/>
      <c r="G1008" s="2347"/>
      <c r="H1008" s="2347"/>
      <c r="I1008" s="2347"/>
      <c r="J1008" s="2347"/>
      <c r="K1008" s="2347"/>
      <c r="L1008" s="2347"/>
      <c r="M1008" s="2347"/>
      <c r="N1008" s="2347"/>
      <c r="O1008" s="2347"/>
      <c r="P1008" s="2347"/>
      <c r="Q1008" s="2347"/>
      <c r="R1008" s="2347"/>
      <c r="S1008" s="2347"/>
      <c r="T1008" s="2347"/>
      <c r="U1008" s="2347"/>
      <c r="V1008" s="2347"/>
      <c r="W1008" s="2347"/>
      <c r="X1008" s="2347"/>
      <c r="Y1008" s="2347"/>
      <c r="Z1008" s="2347"/>
      <c r="AA1008" s="2347"/>
      <c r="AB1008" s="2347"/>
      <c r="AC1008" s="2347"/>
      <c r="AD1008" s="2347"/>
      <c r="AE1008" s="2348"/>
      <c r="AF1008" s="117"/>
      <c r="AG1008" s="2309" t="s">
        <v>568</v>
      </c>
      <c r="AH1008" s="2310"/>
      <c r="AI1008" s="125"/>
      <c r="AJ1008" s="2334">
        <f>ROUND(IF(AG1008="yes",(AJ975*0.1),0),0)</f>
        <v>5505216</v>
      </c>
      <c r="AK1008" s="2335"/>
      <c r="AL1008" s="2335"/>
      <c r="AM1008" s="2335"/>
      <c r="AN1008" s="2335"/>
      <c r="AO1008" s="2335"/>
      <c r="AP1008" s="2335"/>
      <c r="AQ1008" s="2336"/>
      <c r="AR1008" s="961"/>
      <c r="AS1008" s="961"/>
      <c r="AT1008" s="961"/>
      <c r="AU1008" s="961"/>
      <c r="AV1008" s="961"/>
      <c r="AW1008" s="961"/>
      <c r="AX1008" s="961"/>
      <c r="AY1008" s="961"/>
      <c r="CR1008" s="25"/>
    </row>
    <row r="1009" spans="1:96" ht="12.75" customHeight="1">
      <c r="A1009" s="51"/>
      <c r="B1009" s="110"/>
      <c r="C1009" s="111"/>
      <c r="D1009" s="2300" t="s">
        <v>1479</v>
      </c>
      <c r="E1009" s="2301"/>
      <c r="F1009" s="2301"/>
      <c r="G1009" s="2301"/>
      <c r="H1009" s="2301"/>
      <c r="I1009" s="2301"/>
      <c r="J1009" s="2301"/>
      <c r="K1009" s="2301"/>
      <c r="L1009" s="2301"/>
      <c r="M1009" s="2301"/>
      <c r="N1009" s="2301"/>
      <c r="O1009" s="2301"/>
      <c r="P1009" s="2301"/>
      <c r="Q1009" s="2301"/>
      <c r="R1009" s="2301"/>
      <c r="S1009" s="2301"/>
      <c r="T1009" s="2301"/>
      <c r="U1009" s="2301"/>
      <c r="V1009" s="2301"/>
      <c r="W1009" s="2301"/>
      <c r="X1009" s="2301"/>
      <c r="Y1009" s="2301"/>
      <c r="Z1009" s="2301"/>
      <c r="AA1009" s="2301"/>
      <c r="AB1009" s="2301"/>
      <c r="AC1009" s="2301"/>
      <c r="AD1009" s="2301"/>
      <c r="AE1009" s="2302"/>
      <c r="AF1009" s="110"/>
      <c r="AG1009" s="112"/>
      <c r="AH1009" s="112"/>
      <c r="AI1009" s="121"/>
      <c r="AJ1009" s="2337"/>
      <c r="AK1009" s="2338"/>
      <c r="AL1009" s="2338"/>
      <c r="AM1009" s="2338"/>
      <c r="AN1009" s="2338"/>
      <c r="AO1009" s="2338"/>
      <c r="AP1009" s="2338"/>
      <c r="AQ1009" s="2339"/>
      <c r="AR1009" s="961"/>
      <c r="AS1009" s="961"/>
      <c r="AT1009" s="961"/>
      <c r="AU1009" s="961"/>
      <c r="AV1009" s="961"/>
      <c r="AW1009" s="961"/>
      <c r="AX1009" s="961"/>
      <c r="AY1009" s="961"/>
    </row>
    <row r="1010" spans="1:96" ht="12.75" customHeight="1">
      <c r="A1010" s="51"/>
      <c r="B1010" s="115"/>
      <c r="C1010" s="111"/>
      <c r="D1010" s="2313"/>
      <c r="E1010" s="2314"/>
      <c r="F1010" s="2314"/>
      <c r="G1010" s="2314"/>
      <c r="H1010" s="2314"/>
      <c r="I1010" s="2314"/>
      <c r="J1010" s="2314"/>
      <c r="K1010" s="2314"/>
      <c r="L1010" s="2314"/>
      <c r="M1010" s="2314"/>
      <c r="N1010" s="2314"/>
      <c r="O1010" s="2314"/>
      <c r="P1010" s="2314"/>
      <c r="Q1010" s="2314"/>
      <c r="R1010" s="2314"/>
      <c r="S1010" s="2314"/>
      <c r="T1010" s="2314"/>
      <c r="U1010" s="2314"/>
      <c r="V1010" s="2314"/>
      <c r="W1010" s="2314"/>
      <c r="X1010" s="2314"/>
      <c r="Y1010" s="2314"/>
      <c r="Z1010" s="2314"/>
      <c r="AA1010" s="2314"/>
      <c r="AB1010" s="2314"/>
      <c r="AC1010" s="2314"/>
      <c r="AD1010" s="2314"/>
      <c r="AE1010" s="2315"/>
      <c r="AF1010" s="110"/>
      <c r="AG1010" s="112"/>
      <c r="AH1010" s="112"/>
      <c r="AI1010" s="121"/>
      <c r="AJ1010" s="2340"/>
      <c r="AK1010" s="2341"/>
      <c r="AL1010" s="2341"/>
      <c r="AM1010" s="2341"/>
      <c r="AN1010" s="2341"/>
      <c r="AO1010" s="2341"/>
      <c r="AP1010" s="2341"/>
      <c r="AQ1010" s="2342"/>
      <c r="AR1010" s="961"/>
      <c r="AS1010" s="961"/>
      <c r="AT1010" s="961"/>
      <c r="AU1010" s="961"/>
      <c r="AV1010" s="961"/>
      <c r="AW1010" s="961"/>
      <c r="AX1010" s="961"/>
      <c r="AY1010" s="961"/>
    </row>
    <row r="1011" spans="1:96" s="711" customFormat="1" ht="12.75" customHeight="1">
      <c r="A1011" s="51"/>
      <c r="B1011" s="110"/>
      <c r="C1011" s="524" t="s">
        <v>712</v>
      </c>
      <c r="D1011" s="2297" t="s">
        <v>1993</v>
      </c>
      <c r="E1011" s="2298"/>
      <c r="F1011" s="2298"/>
      <c r="G1011" s="2298"/>
      <c r="H1011" s="2298"/>
      <c r="I1011" s="2298"/>
      <c r="J1011" s="2298"/>
      <c r="K1011" s="2298"/>
      <c r="L1011" s="2298"/>
      <c r="M1011" s="2298"/>
      <c r="N1011" s="2298"/>
      <c r="O1011" s="2298"/>
      <c r="P1011" s="2298"/>
      <c r="Q1011" s="2298"/>
      <c r="R1011" s="2298"/>
      <c r="S1011" s="2298"/>
      <c r="T1011" s="2298"/>
      <c r="U1011" s="2298"/>
      <c r="V1011" s="2298"/>
      <c r="W1011" s="2298"/>
      <c r="X1011" s="2298"/>
      <c r="Y1011" s="2298"/>
      <c r="Z1011" s="2298"/>
      <c r="AA1011" s="2298"/>
      <c r="AB1011" s="2298"/>
      <c r="AC1011" s="2298"/>
      <c r="AD1011" s="2298"/>
      <c r="AE1011" s="2299"/>
      <c r="AF1011" s="117"/>
      <c r="AG1011" s="2309" t="s">
        <v>693</v>
      </c>
      <c r="AH1011" s="2310"/>
      <c r="AI1011" s="125"/>
      <c r="AJ1011" s="2334">
        <f>ROUND(IF(AG1011="yes",(AJ975*0.15),0),0)</f>
        <v>0</v>
      </c>
      <c r="AK1011" s="2335"/>
      <c r="AL1011" s="2335"/>
      <c r="AM1011" s="2335"/>
      <c r="AN1011" s="2335"/>
      <c r="AO1011" s="2335"/>
      <c r="AP1011" s="2335"/>
      <c r="AQ1011" s="2336"/>
      <c r="AR1011" s="961"/>
      <c r="AS1011" s="961"/>
      <c r="AT1011" s="961"/>
      <c r="AU1011" s="961"/>
      <c r="AV1011" s="961"/>
      <c r="AW1011" s="961"/>
      <c r="AX1011" s="961"/>
      <c r="AY1011" s="961"/>
      <c r="CR1011" s="25"/>
    </row>
    <row r="1012" spans="1:96" s="711" customFormat="1" ht="12.75" customHeight="1">
      <c r="A1012" s="51"/>
      <c r="B1012" s="110"/>
      <c r="C1012" s="111"/>
      <c r="D1012" s="2328" t="s">
        <v>1994</v>
      </c>
      <c r="E1012" s="2329"/>
      <c r="F1012" s="2329"/>
      <c r="G1012" s="2329"/>
      <c r="H1012" s="2329"/>
      <c r="I1012" s="2329"/>
      <c r="J1012" s="2329"/>
      <c r="K1012" s="2329"/>
      <c r="L1012" s="2329"/>
      <c r="M1012" s="2329"/>
      <c r="N1012" s="2329"/>
      <c r="O1012" s="2329"/>
      <c r="P1012" s="2329"/>
      <c r="Q1012" s="2329"/>
      <c r="R1012" s="2329"/>
      <c r="S1012" s="2329"/>
      <c r="T1012" s="2329"/>
      <c r="U1012" s="2329"/>
      <c r="V1012" s="2329"/>
      <c r="W1012" s="2329"/>
      <c r="X1012" s="2329"/>
      <c r="Y1012" s="2329"/>
      <c r="Z1012" s="2329"/>
      <c r="AA1012" s="2329"/>
      <c r="AB1012" s="2329"/>
      <c r="AC1012" s="2329"/>
      <c r="AD1012" s="2329"/>
      <c r="AE1012" s="2330"/>
      <c r="AF1012" s="978"/>
      <c r="AG1012" s="979"/>
      <c r="AH1012" s="979"/>
      <c r="AI1012" s="980"/>
      <c r="AJ1012" s="2337"/>
      <c r="AK1012" s="2338"/>
      <c r="AL1012" s="2338"/>
      <c r="AM1012" s="2338"/>
      <c r="AN1012" s="2338"/>
      <c r="AO1012" s="2338"/>
      <c r="AP1012" s="2338"/>
      <c r="AQ1012" s="2339"/>
      <c r="AR1012" s="961"/>
      <c r="AS1012" s="961"/>
      <c r="AT1012" s="961"/>
      <c r="AU1012" s="961"/>
      <c r="AV1012" s="961"/>
      <c r="AW1012" s="961"/>
      <c r="AX1012" s="961"/>
      <c r="AY1012" s="961"/>
      <c r="CR1012" s="25"/>
    </row>
    <row r="1013" spans="1:96" s="711" customFormat="1" ht="12.75" customHeight="1">
      <c r="A1013" s="51"/>
      <c r="B1013" s="110"/>
      <c r="C1013" s="111"/>
      <c r="D1013" s="2328"/>
      <c r="E1013" s="2329"/>
      <c r="F1013" s="2329"/>
      <c r="G1013" s="2329"/>
      <c r="H1013" s="2329"/>
      <c r="I1013" s="2329"/>
      <c r="J1013" s="2329"/>
      <c r="K1013" s="2329"/>
      <c r="L1013" s="2329"/>
      <c r="M1013" s="2329"/>
      <c r="N1013" s="2329"/>
      <c r="O1013" s="2329"/>
      <c r="P1013" s="2329"/>
      <c r="Q1013" s="2329"/>
      <c r="R1013" s="2329"/>
      <c r="S1013" s="2329"/>
      <c r="T1013" s="2329"/>
      <c r="U1013" s="2329"/>
      <c r="V1013" s="2329"/>
      <c r="W1013" s="2329"/>
      <c r="X1013" s="2329"/>
      <c r="Y1013" s="2329"/>
      <c r="Z1013" s="2329"/>
      <c r="AA1013" s="2329"/>
      <c r="AB1013" s="2329"/>
      <c r="AC1013" s="2329"/>
      <c r="AD1013" s="2329"/>
      <c r="AE1013" s="2330"/>
      <c r="AF1013" s="978"/>
      <c r="AG1013" s="979"/>
      <c r="AH1013" s="979"/>
      <c r="AI1013" s="980"/>
      <c r="AJ1013" s="2337"/>
      <c r="AK1013" s="2338"/>
      <c r="AL1013" s="2338"/>
      <c r="AM1013" s="2338"/>
      <c r="AN1013" s="2338"/>
      <c r="AO1013" s="2338"/>
      <c r="AP1013" s="2338"/>
      <c r="AQ1013" s="2339"/>
      <c r="AR1013" s="961"/>
      <c r="AS1013" s="961"/>
      <c r="AT1013" s="961"/>
      <c r="AU1013" s="961"/>
      <c r="AV1013" s="961"/>
      <c r="AW1013" s="961"/>
      <c r="AX1013" s="961"/>
      <c r="AY1013" s="961"/>
      <c r="CR1013" s="25"/>
    </row>
    <row r="1014" spans="1:96" s="711" customFormat="1" ht="12.75" customHeight="1">
      <c r="A1014" s="51"/>
      <c r="B1014" s="110"/>
      <c r="C1014" s="111"/>
      <c r="D1014" s="2331"/>
      <c r="E1014" s="2332"/>
      <c r="F1014" s="2332"/>
      <c r="G1014" s="2332"/>
      <c r="H1014" s="2332"/>
      <c r="I1014" s="2332"/>
      <c r="J1014" s="2332"/>
      <c r="K1014" s="2332"/>
      <c r="L1014" s="2332"/>
      <c r="M1014" s="2332"/>
      <c r="N1014" s="2332"/>
      <c r="O1014" s="2332"/>
      <c r="P1014" s="2332"/>
      <c r="Q1014" s="2332"/>
      <c r="R1014" s="2332"/>
      <c r="S1014" s="2332"/>
      <c r="T1014" s="2332"/>
      <c r="U1014" s="2332"/>
      <c r="V1014" s="2332"/>
      <c r="W1014" s="2332"/>
      <c r="X1014" s="2332"/>
      <c r="Y1014" s="2332"/>
      <c r="Z1014" s="2332"/>
      <c r="AA1014" s="2332"/>
      <c r="AB1014" s="2332"/>
      <c r="AC1014" s="2332"/>
      <c r="AD1014" s="2332"/>
      <c r="AE1014" s="2333"/>
      <c r="AF1014" s="981"/>
      <c r="AG1014" s="982"/>
      <c r="AH1014" s="982"/>
      <c r="AI1014" s="983"/>
      <c r="AJ1014" s="2340"/>
      <c r="AK1014" s="2341"/>
      <c r="AL1014" s="2341"/>
      <c r="AM1014" s="2341"/>
      <c r="AN1014" s="2341"/>
      <c r="AO1014" s="2341"/>
      <c r="AP1014" s="2341"/>
      <c r="AQ1014" s="2342"/>
      <c r="AR1014" s="961"/>
      <c r="AS1014" s="961"/>
      <c r="AT1014" s="961"/>
      <c r="AU1014" s="961"/>
      <c r="AV1014" s="961"/>
      <c r="AW1014" s="961"/>
      <c r="AX1014" s="961"/>
      <c r="AY1014" s="961"/>
      <c r="CR1014" s="25"/>
    </row>
    <row r="1015" spans="1:96" s="711" customFormat="1" ht="12.75" customHeight="1">
      <c r="A1015" s="51"/>
      <c r="B1015" s="110"/>
      <c r="C1015" s="524" t="s">
        <v>712</v>
      </c>
      <c r="D1015" s="2346" t="s">
        <v>1995</v>
      </c>
      <c r="E1015" s="2347"/>
      <c r="F1015" s="2347"/>
      <c r="G1015" s="2347"/>
      <c r="H1015" s="2347"/>
      <c r="I1015" s="2347"/>
      <c r="J1015" s="2347"/>
      <c r="K1015" s="2347"/>
      <c r="L1015" s="2347"/>
      <c r="M1015" s="2347"/>
      <c r="N1015" s="2347"/>
      <c r="O1015" s="2347"/>
      <c r="P1015" s="2347"/>
      <c r="Q1015" s="2347"/>
      <c r="R1015" s="2347"/>
      <c r="S1015" s="2347"/>
      <c r="T1015" s="2347"/>
      <c r="U1015" s="2347"/>
      <c r="V1015" s="2347"/>
      <c r="W1015" s="2347"/>
      <c r="X1015" s="2347"/>
      <c r="Y1015" s="2347"/>
      <c r="Z1015" s="2347"/>
      <c r="AA1015" s="2347"/>
      <c r="AB1015" s="2347"/>
      <c r="AC1015" s="2347"/>
      <c r="AD1015" s="2347"/>
      <c r="AE1015" s="2348"/>
      <c r="AF1015" s="110"/>
      <c r="AG1015" s="2311" t="s">
        <v>693</v>
      </c>
      <c r="AH1015" s="2312"/>
      <c r="AI1015" s="121"/>
      <c r="AJ1015" s="2334">
        <f>ROUND(IF(AND(AG1015="yes",AJ1011=0),(AJ975*0.1),0),0)</f>
        <v>0</v>
      </c>
      <c r="AK1015" s="2335"/>
      <c r="AL1015" s="2335"/>
      <c r="AM1015" s="2335"/>
      <c r="AN1015" s="2335"/>
      <c r="AO1015" s="2335"/>
      <c r="AP1015" s="2335"/>
      <c r="AQ1015" s="2336"/>
      <c r="AR1015" s="961"/>
      <c r="AS1015" s="961"/>
      <c r="AT1015" s="961"/>
      <c r="AU1015" s="961"/>
      <c r="AV1015" s="961"/>
      <c r="AW1015" s="961"/>
      <c r="AX1015" s="961"/>
      <c r="AY1015" s="961"/>
      <c r="CR1015" s="25"/>
    </row>
    <row r="1016" spans="1:96" s="711" customFormat="1" ht="12.75" customHeight="1">
      <c r="A1016" s="51"/>
      <c r="B1016" s="110"/>
      <c r="C1016" s="111"/>
      <c r="D1016" s="2328" t="s">
        <v>1996</v>
      </c>
      <c r="E1016" s="2329"/>
      <c r="F1016" s="2329"/>
      <c r="G1016" s="2329"/>
      <c r="H1016" s="2329"/>
      <c r="I1016" s="2329"/>
      <c r="J1016" s="2329"/>
      <c r="K1016" s="2329"/>
      <c r="L1016" s="2329"/>
      <c r="M1016" s="2329"/>
      <c r="N1016" s="2329"/>
      <c r="O1016" s="2329"/>
      <c r="P1016" s="2329"/>
      <c r="Q1016" s="2329"/>
      <c r="R1016" s="2329"/>
      <c r="S1016" s="2329"/>
      <c r="T1016" s="2329"/>
      <c r="U1016" s="2329"/>
      <c r="V1016" s="2329"/>
      <c r="W1016" s="2329"/>
      <c r="X1016" s="2329"/>
      <c r="Y1016" s="2329"/>
      <c r="Z1016" s="2329"/>
      <c r="AA1016" s="2329"/>
      <c r="AB1016" s="2329"/>
      <c r="AC1016" s="2329"/>
      <c r="AD1016" s="2329"/>
      <c r="AE1016" s="2330"/>
      <c r="AF1016" s="110"/>
      <c r="AG1016" s="112"/>
      <c r="AH1016" s="112"/>
      <c r="AI1016" s="121"/>
      <c r="AJ1016" s="2337"/>
      <c r="AK1016" s="2338"/>
      <c r="AL1016" s="2338"/>
      <c r="AM1016" s="2338"/>
      <c r="AN1016" s="2338"/>
      <c r="AO1016" s="2338"/>
      <c r="AP1016" s="2338"/>
      <c r="AQ1016" s="2339"/>
      <c r="AR1016" s="961"/>
      <c r="AS1016" s="961"/>
      <c r="AT1016" s="961"/>
      <c r="AU1016" s="961"/>
      <c r="AV1016" s="961"/>
      <c r="AW1016" s="961"/>
      <c r="AX1016" s="961"/>
      <c r="AY1016" s="961"/>
      <c r="CR1016" s="25"/>
    </row>
    <row r="1017" spans="1:96" s="711" customFormat="1" ht="12.75" customHeight="1">
      <c r="A1017" s="51"/>
      <c r="B1017" s="110"/>
      <c r="C1017" s="111"/>
      <c r="D1017" s="2328"/>
      <c r="E1017" s="2329"/>
      <c r="F1017" s="2329"/>
      <c r="G1017" s="2329"/>
      <c r="H1017" s="2329"/>
      <c r="I1017" s="2329"/>
      <c r="J1017" s="2329"/>
      <c r="K1017" s="2329"/>
      <c r="L1017" s="2329"/>
      <c r="M1017" s="2329"/>
      <c r="N1017" s="2329"/>
      <c r="O1017" s="2329"/>
      <c r="P1017" s="2329"/>
      <c r="Q1017" s="2329"/>
      <c r="R1017" s="2329"/>
      <c r="S1017" s="2329"/>
      <c r="T1017" s="2329"/>
      <c r="U1017" s="2329"/>
      <c r="V1017" s="2329"/>
      <c r="W1017" s="2329"/>
      <c r="X1017" s="2329"/>
      <c r="Y1017" s="2329"/>
      <c r="Z1017" s="2329"/>
      <c r="AA1017" s="2329"/>
      <c r="AB1017" s="2329"/>
      <c r="AC1017" s="2329"/>
      <c r="AD1017" s="2329"/>
      <c r="AE1017" s="2330"/>
      <c r="AF1017" s="110"/>
      <c r="AG1017" s="112"/>
      <c r="AH1017" s="112"/>
      <c r="AI1017" s="121"/>
      <c r="AJ1017" s="2337"/>
      <c r="AK1017" s="2338"/>
      <c r="AL1017" s="2338"/>
      <c r="AM1017" s="2338"/>
      <c r="AN1017" s="2338"/>
      <c r="AO1017" s="2338"/>
      <c r="AP1017" s="2338"/>
      <c r="AQ1017" s="2339"/>
      <c r="AR1017" s="961"/>
      <c r="AS1017" s="961"/>
      <c r="AT1017" s="961"/>
      <c r="AU1017" s="961"/>
      <c r="AV1017" s="961"/>
      <c r="AW1017" s="961"/>
      <c r="AX1017" s="961"/>
      <c r="AY1017" s="961"/>
      <c r="CR1017" s="25"/>
    </row>
    <row r="1018" spans="1:96" s="711" customFormat="1" ht="12.75" customHeight="1">
      <c r="A1018" s="51"/>
      <c r="B1018" s="110"/>
      <c r="C1018" s="111"/>
      <c r="D1018" s="2328"/>
      <c r="E1018" s="2329"/>
      <c r="F1018" s="2329"/>
      <c r="G1018" s="2329"/>
      <c r="H1018" s="2329"/>
      <c r="I1018" s="2329"/>
      <c r="J1018" s="2329"/>
      <c r="K1018" s="2329"/>
      <c r="L1018" s="2329"/>
      <c r="M1018" s="2329"/>
      <c r="N1018" s="2329"/>
      <c r="O1018" s="2329"/>
      <c r="P1018" s="2329"/>
      <c r="Q1018" s="2329"/>
      <c r="R1018" s="2329"/>
      <c r="S1018" s="2329"/>
      <c r="T1018" s="2329"/>
      <c r="U1018" s="2329"/>
      <c r="V1018" s="2329"/>
      <c r="W1018" s="2329"/>
      <c r="X1018" s="2329"/>
      <c r="Y1018" s="2329"/>
      <c r="Z1018" s="2329"/>
      <c r="AA1018" s="2329"/>
      <c r="AB1018" s="2329"/>
      <c r="AC1018" s="2329"/>
      <c r="AD1018" s="2329"/>
      <c r="AE1018" s="2330"/>
      <c r="AF1018" s="110"/>
      <c r="AG1018" s="112"/>
      <c r="AH1018" s="112"/>
      <c r="AI1018" s="121"/>
      <c r="AJ1018" s="2337"/>
      <c r="AK1018" s="2338"/>
      <c r="AL1018" s="2338"/>
      <c r="AM1018" s="2338"/>
      <c r="AN1018" s="2338"/>
      <c r="AO1018" s="2338"/>
      <c r="AP1018" s="2338"/>
      <c r="AQ1018" s="2339"/>
      <c r="AR1018" s="961"/>
      <c r="AS1018" s="961"/>
      <c r="AT1018" s="961"/>
      <c r="AU1018" s="961"/>
      <c r="AV1018" s="961"/>
      <c r="AW1018" s="961"/>
      <c r="AX1018" s="961"/>
      <c r="AY1018" s="961"/>
      <c r="CR1018" s="25"/>
    </row>
    <row r="1019" spans="1:96" s="711" customFormat="1" ht="12.75" customHeight="1">
      <c r="A1019" s="51"/>
      <c r="B1019" s="110"/>
      <c r="C1019" s="111"/>
      <c r="D1019" s="2331"/>
      <c r="E1019" s="2332"/>
      <c r="F1019" s="2332"/>
      <c r="G1019" s="2332"/>
      <c r="H1019" s="2332"/>
      <c r="I1019" s="2332"/>
      <c r="J1019" s="2332"/>
      <c r="K1019" s="2332"/>
      <c r="L1019" s="2332"/>
      <c r="M1019" s="2332"/>
      <c r="N1019" s="2332"/>
      <c r="O1019" s="2332"/>
      <c r="P1019" s="2332"/>
      <c r="Q1019" s="2332"/>
      <c r="R1019" s="2332"/>
      <c r="S1019" s="2332"/>
      <c r="T1019" s="2332"/>
      <c r="U1019" s="2332"/>
      <c r="V1019" s="2332"/>
      <c r="W1019" s="2332"/>
      <c r="X1019" s="2332"/>
      <c r="Y1019" s="2332"/>
      <c r="Z1019" s="2332"/>
      <c r="AA1019" s="2332"/>
      <c r="AB1019" s="2332"/>
      <c r="AC1019" s="2332"/>
      <c r="AD1019" s="2332"/>
      <c r="AE1019" s="2333"/>
      <c r="AF1019" s="110"/>
      <c r="AG1019" s="112"/>
      <c r="AH1019" s="112"/>
      <c r="AI1019" s="121"/>
      <c r="AJ1019" s="2337"/>
      <c r="AK1019" s="2338"/>
      <c r="AL1019" s="2338"/>
      <c r="AM1019" s="2338"/>
      <c r="AN1019" s="2338"/>
      <c r="AO1019" s="2338"/>
      <c r="AP1019" s="2338"/>
      <c r="AQ1019" s="2339"/>
      <c r="AR1019" s="961"/>
      <c r="AS1019" s="961"/>
      <c r="AT1019" s="961"/>
      <c r="AU1019" s="961"/>
      <c r="AV1019" s="961"/>
      <c r="AW1019" s="961"/>
      <c r="AX1019" s="961"/>
      <c r="AY1019" s="961"/>
      <c r="CR1019" s="25"/>
    </row>
    <row r="1020" spans="1:96" s="711" customFormat="1" ht="12.75" customHeight="1">
      <c r="A1020" s="51"/>
      <c r="B1020" s="117"/>
      <c r="C1020" s="198" t="s">
        <v>1083</v>
      </c>
      <c r="D1020" s="2297" t="s">
        <v>1480</v>
      </c>
      <c r="E1020" s="2298"/>
      <c r="F1020" s="2298"/>
      <c r="G1020" s="2298"/>
      <c r="H1020" s="2298"/>
      <c r="I1020" s="2298"/>
      <c r="J1020" s="2298"/>
      <c r="K1020" s="2298"/>
      <c r="L1020" s="2298"/>
      <c r="M1020" s="2298"/>
      <c r="N1020" s="2298"/>
      <c r="O1020" s="2298"/>
      <c r="P1020" s="2298"/>
      <c r="Q1020" s="2298"/>
      <c r="R1020" s="2298"/>
      <c r="S1020" s="2298"/>
      <c r="T1020" s="2298"/>
      <c r="U1020" s="2298"/>
      <c r="V1020" s="2298"/>
      <c r="W1020" s="2298"/>
      <c r="X1020" s="2298"/>
      <c r="Y1020" s="2298"/>
      <c r="Z1020" s="2298"/>
      <c r="AA1020" s="2298"/>
      <c r="AB1020" s="2298"/>
      <c r="AC1020" s="2298"/>
      <c r="AD1020" s="2298"/>
      <c r="AE1020" s="2299"/>
      <c r="AF1020" s="117"/>
      <c r="AG1020" s="2309" t="s">
        <v>693</v>
      </c>
      <c r="AH1020" s="2310"/>
      <c r="AI1020" s="125"/>
      <c r="AJ1020" s="2334">
        <f>ROUND(IF(AG1020="yes",(AJ975*0.1),0),0)</f>
        <v>0</v>
      </c>
      <c r="AK1020" s="2335"/>
      <c r="AL1020" s="2335"/>
      <c r="AM1020" s="2335"/>
      <c r="AN1020" s="2335"/>
      <c r="AO1020" s="2335"/>
      <c r="AP1020" s="2335"/>
      <c r="AQ1020" s="2336"/>
      <c r="AR1020" s="961"/>
      <c r="AS1020" s="961"/>
      <c r="AT1020" s="961"/>
      <c r="AU1020" s="961"/>
      <c r="AV1020" s="961"/>
      <c r="AW1020" s="961"/>
      <c r="AX1020" s="961"/>
      <c r="AY1020" s="961"/>
      <c r="CR1020" s="25"/>
    </row>
    <row r="1021" spans="1:96" ht="12.75" customHeight="1">
      <c r="A1021" s="51"/>
      <c r="B1021" s="110"/>
      <c r="C1021" s="111"/>
      <c r="D1021" s="2300" t="s">
        <v>2701</v>
      </c>
      <c r="E1021" s="2301"/>
      <c r="F1021" s="2301"/>
      <c r="G1021" s="2301"/>
      <c r="H1021" s="2301"/>
      <c r="I1021" s="2301"/>
      <c r="J1021" s="2301"/>
      <c r="K1021" s="2301"/>
      <c r="L1021" s="2301"/>
      <c r="M1021" s="2301"/>
      <c r="N1021" s="2301"/>
      <c r="O1021" s="2301"/>
      <c r="P1021" s="2301"/>
      <c r="Q1021" s="2301"/>
      <c r="R1021" s="2301"/>
      <c r="S1021" s="2301"/>
      <c r="T1021" s="2301"/>
      <c r="U1021" s="2301"/>
      <c r="V1021" s="2301"/>
      <c r="W1021" s="2301"/>
      <c r="X1021" s="2301"/>
      <c r="Y1021" s="2301"/>
      <c r="Z1021" s="2301"/>
      <c r="AA1021" s="2301"/>
      <c r="AB1021" s="2301"/>
      <c r="AC1021" s="2301"/>
      <c r="AD1021" s="2301"/>
      <c r="AE1021" s="2302"/>
      <c r="AF1021" s="110"/>
      <c r="AG1021" s="112"/>
      <c r="AH1021" s="112"/>
      <c r="AI1021" s="121"/>
      <c r="AJ1021" s="2337"/>
      <c r="AK1021" s="2338"/>
      <c r="AL1021" s="2338"/>
      <c r="AM1021" s="2338"/>
      <c r="AN1021" s="2338"/>
      <c r="AO1021" s="2338"/>
      <c r="AP1021" s="2338"/>
      <c r="AQ1021" s="2339"/>
      <c r="AR1021" s="961"/>
      <c r="AS1021" s="961"/>
      <c r="AT1021" s="961"/>
      <c r="AU1021" s="961"/>
      <c r="AV1021" s="961"/>
      <c r="AW1021" s="961"/>
      <c r="AX1021" s="961"/>
      <c r="AY1021" s="961"/>
    </row>
    <row r="1022" spans="1:96" ht="12.75" customHeight="1">
      <c r="A1022" s="51"/>
      <c r="B1022" s="110"/>
      <c r="C1022" s="111"/>
      <c r="D1022" s="2300"/>
      <c r="E1022" s="2301"/>
      <c r="F1022" s="2301"/>
      <c r="G1022" s="2301"/>
      <c r="H1022" s="2301"/>
      <c r="I1022" s="2301"/>
      <c r="J1022" s="2301"/>
      <c r="K1022" s="2301"/>
      <c r="L1022" s="2301"/>
      <c r="M1022" s="2301"/>
      <c r="N1022" s="2301"/>
      <c r="O1022" s="2301"/>
      <c r="P1022" s="2301"/>
      <c r="Q1022" s="2301"/>
      <c r="R1022" s="2301"/>
      <c r="S1022" s="2301"/>
      <c r="T1022" s="2301"/>
      <c r="U1022" s="2301"/>
      <c r="V1022" s="2301"/>
      <c r="W1022" s="2301"/>
      <c r="X1022" s="2301"/>
      <c r="Y1022" s="2301"/>
      <c r="Z1022" s="2301"/>
      <c r="AA1022" s="2301"/>
      <c r="AB1022" s="2301"/>
      <c r="AC1022" s="2301"/>
      <c r="AD1022" s="2301"/>
      <c r="AE1022" s="2302"/>
      <c r="AF1022" s="110"/>
      <c r="AG1022" s="112"/>
      <c r="AH1022" s="112"/>
      <c r="AI1022" s="121"/>
      <c r="AJ1022" s="2337"/>
      <c r="AK1022" s="2338"/>
      <c r="AL1022" s="2338"/>
      <c r="AM1022" s="2338"/>
      <c r="AN1022" s="2338"/>
      <c r="AO1022" s="2338"/>
      <c r="AP1022" s="2338"/>
      <c r="AQ1022" s="2339"/>
      <c r="AR1022" s="961"/>
      <c r="AS1022" s="961"/>
      <c r="AT1022" s="961"/>
      <c r="AU1022" s="961"/>
      <c r="AV1022" s="961"/>
      <c r="AW1022" s="961"/>
      <c r="AX1022" s="961"/>
      <c r="AY1022" s="961"/>
    </row>
    <row r="1023" spans="1:96" s="674" customFormat="1" ht="12.75" customHeight="1">
      <c r="A1023" s="51"/>
      <c r="B1023" s="110"/>
      <c r="C1023" s="111"/>
      <c r="D1023" s="2313"/>
      <c r="E1023" s="2314"/>
      <c r="F1023" s="2314"/>
      <c r="G1023" s="2314"/>
      <c r="H1023" s="2314"/>
      <c r="I1023" s="2314"/>
      <c r="J1023" s="2314"/>
      <c r="K1023" s="2314"/>
      <c r="L1023" s="2314"/>
      <c r="M1023" s="2314"/>
      <c r="N1023" s="2314"/>
      <c r="O1023" s="2314"/>
      <c r="P1023" s="2314"/>
      <c r="Q1023" s="2314"/>
      <c r="R1023" s="2314"/>
      <c r="S1023" s="2314"/>
      <c r="T1023" s="2314"/>
      <c r="U1023" s="2314"/>
      <c r="V1023" s="2314"/>
      <c r="W1023" s="2314"/>
      <c r="X1023" s="2314"/>
      <c r="Y1023" s="2314"/>
      <c r="Z1023" s="2314"/>
      <c r="AA1023" s="2314"/>
      <c r="AB1023" s="2314"/>
      <c r="AC1023" s="2314"/>
      <c r="AD1023" s="2314"/>
      <c r="AE1023" s="2315"/>
      <c r="AF1023" s="110"/>
      <c r="AG1023" s="112"/>
      <c r="AH1023" s="112"/>
      <c r="AI1023" s="121"/>
      <c r="AJ1023" s="2340"/>
      <c r="AK1023" s="2341"/>
      <c r="AL1023" s="2341"/>
      <c r="AM1023" s="2341"/>
      <c r="AN1023" s="2341"/>
      <c r="AO1023" s="2341"/>
      <c r="AP1023" s="2341"/>
      <c r="AQ1023" s="2342"/>
      <c r="AR1023" s="961"/>
      <c r="AS1023" s="961"/>
      <c r="AT1023" s="961"/>
      <c r="AU1023" s="961"/>
      <c r="AV1023" s="961"/>
      <c r="AW1023" s="961"/>
      <c r="AX1023" s="961"/>
      <c r="AY1023" s="961"/>
      <c r="CR1023" s="25"/>
    </row>
    <row r="1024" spans="1:96" ht="12.75" customHeight="1">
      <c r="A1024" s="51"/>
      <c r="B1024" s="117"/>
      <c r="C1024" s="198" t="s">
        <v>1991</v>
      </c>
      <c r="D1024" s="2346" t="s">
        <v>2177</v>
      </c>
      <c r="E1024" s="2347"/>
      <c r="F1024" s="2347"/>
      <c r="G1024" s="2347"/>
      <c r="H1024" s="2347"/>
      <c r="I1024" s="2347"/>
      <c r="J1024" s="2347"/>
      <c r="K1024" s="2347"/>
      <c r="L1024" s="2347"/>
      <c r="M1024" s="2347"/>
      <c r="N1024" s="2347"/>
      <c r="O1024" s="2347"/>
      <c r="P1024" s="2347"/>
      <c r="Q1024" s="2347"/>
      <c r="R1024" s="2347"/>
      <c r="S1024" s="2347"/>
      <c r="T1024" s="2347"/>
      <c r="U1024" s="2347"/>
      <c r="V1024" s="2347"/>
      <c r="W1024" s="2347"/>
      <c r="X1024" s="2347"/>
      <c r="Y1024" s="2347"/>
      <c r="Z1024" s="2347"/>
      <c r="AA1024" s="2347"/>
      <c r="AB1024" s="2347"/>
      <c r="AC1024" s="2347"/>
      <c r="AD1024" s="2347"/>
      <c r="AE1024" s="2348"/>
      <c r="AF1024" s="117"/>
      <c r="AG1024" s="2307" t="str">
        <f>IF(X1027&gt;0,"Yes","No")</f>
        <v>Yes</v>
      </c>
      <c r="AH1024" s="2308"/>
      <c r="AI1024" s="125"/>
      <c r="AJ1024" s="2316">
        <f>IF((X1027=0),0,BA989*AJ975)</f>
        <v>48445899.039999999</v>
      </c>
      <c r="AK1024" s="2317"/>
      <c r="AL1024" s="2317"/>
      <c r="AM1024" s="2317"/>
      <c r="AN1024" s="2317"/>
      <c r="AO1024" s="2317"/>
      <c r="AP1024" s="2317"/>
      <c r="AQ1024" s="2318"/>
      <c r="AR1024" s="961"/>
      <c r="AS1024" s="961"/>
      <c r="AT1024" s="961"/>
      <c r="AU1024" s="961"/>
      <c r="AV1024" s="961"/>
      <c r="AW1024" s="961"/>
      <c r="AX1024" s="961"/>
      <c r="AY1024" s="961"/>
    </row>
    <row r="1025" spans="1:96" ht="12.75" customHeight="1">
      <c r="A1025" s="51"/>
      <c r="B1025" s="110"/>
      <c r="C1025" s="694"/>
      <c r="D1025" s="2300" t="s">
        <v>1482</v>
      </c>
      <c r="E1025" s="2301"/>
      <c r="F1025" s="2301"/>
      <c r="G1025" s="2301"/>
      <c r="H1025" s="2301"/>
      <c r="I1025" s="2301"/>
      <c r="J1025" s="2301"/>
      <c r="K1025" s="2301"/>
      <c r="L1025" s="2301"/>
      <c r="M1025" s="2301"/>
      <c r="N1025" s="2301"/>
      <c r="O1025" s="2301"/>
      <c r="P1025" s="2301"/>
      <c r="Q1025" s="2301"/>
      <c r="R1025" s="2301"/>
      <c r="S1025" s="2301"/>
      <c r="T1025" s="2301"/>
      <c r="U1025" s="2301"/>
      <c r="V1025" s="2301"/>
      <c r="W1025" s="2301"/>
      <c r="X1025" s="2301"/>
      <c r="Y1025" s="2301"/>
      <c r="Z1025" s="2301"/>
      <c r="AA1025" s="2301"/>
      <c r="AB1025" s="2301"/>
      <c r="AC1025" s="2301"/>
      <c r="AD1025" s="2301"/>
      <c r="AE1025" s="2302"/>
      <c r="AF1025" s="110"/>
      <c r="AG1025" s="695"/>
      <c r="AH1025" s="695"/>
      <c r="AI1025" s="121"/>
      <c r="AJ1025" s="2319"/>
      <c r="AK1025" s="2320"/>
      <c r="AL1025" s="2320"/>
      <c r="AM1025" s="2320"/>
      <c r="AN1025" s="2320"/>
      <c r="AO1025" s="2320"/>
      <c r="AP1025" s="2320"/>
      <c r="AQ1025" s="2321"/>
      <c r="AR1025" s="961"/>
      <c r="AS1025" s="961"/>
      <c r="AT1025" s="961"/>
      <c r="AU1025" s="961"/>
      <c r="AV1025" s="961"/>
      <c r="AW1025" s="961"/>
      <c r="AX1025" s="961"/>
      <c r="AY1025" s="961"/>
    </row>
    <row r="1026" spans="1:96" ht="12.75" customHeight="1">
      <c r="A1026" s="51"/>
      <c r="B1026" s="110"/>
      <c r="C1026" s="694"/>
      <c r="D1026" s="2300"/>
      <c r="E1026" s="2301"/>
      <c r="F1026" s="2301"/>
      <c r="G1026" s="2301"/>
      <c r="H1026" s="2301"/>
      <c r="I1026" s="2301"/>
      <c r="J1026" s="2301"/>
      <c r="K1026" s="2301"/>
      <c r="L1026" s="2301"/>
      <c r="M1026" s="2301"/>
      <c r="N1026" s="2301"/>
      <c r="O1026" s="2301"/>
      <c r="P1026" s="2301"/>
      <c r="Q1026" s="2301"/>
      <c r="R1026" s="2301"/>
      <c r="S1026" s="2301"/>
      <c r="T1026" s="2301"/>
      <c r="U1026" s="2301"/>
      <c r="V1026" s="2301"/>
      <c r="W1026" s="2301"/>
      <c r="X1026" s="2301"/>
      <c r="Y1026" s="2301"/>
      <c r="Z1026" s="2301"/>
      <c r="AA1026" s="2301"/>
      <c r="AB1026" s="2301"/>
      <c r="AC1026" s="2301"/>
      <c r="AD1026" s="2301"/>
      <c r="AE1026" s="2302"/>
      <c r="AF1026" s="110"/>
      <c r="AG1026" s="695"/>
      <c r="AH1026" s="695"/>
      <c r="AI1026" s="121"/>
      <c r="AJ1026" s="2319"/>
      <c r="AK1026" s="2320"/>
      <c r="AL1026" s="2320"/>
      <c r="AM1026" s="2320"/>
      <c r="AN1026" s="2320"/>
      <c r="AO1026" s="2320"/>
      <c r="AP1026" s="2320"/>
      <c r="AQ1026" s="2321"/>
      <c r="AR1026" s="961"/>
      <c r="AS1026" s="961"/>
      <c r="AT1026" s="961"/>
      <c r="AU1026" s="961"/>
      <c r="AV1026" s="961"/>
      <c r="AW1026" s="961"/>
      <c r="AX1026" s="961"/>
      <c r="AY1026" s="961"/>
    </row>
    <row r="1027" spans="1:96" s="711" customFormat="1" ht="12.75" customHeight="1">
      <c r="A1027" s="51"/>
      <c r="B1027" s="115"/>
      <c r="C1027" s="116"/>
      <c r="D1027" s="199" t="s">
        <v>1027</v>
      </c>
      <c r="E1027" s="200"/>
      <c r="F1027" s="200"/>
      <c r="G1027" s="200"/>
      <c r="H1027" s="200"/>
      <c r="I1027" s="2305">
        <f>BA987</f>
        <v>72</v>
      </c>
      <c r="J1027" s="2306"/>
      <c r="K1027" s="11"/>
      <c r="L1027" s="200"/>
      <c r="M1027" s="200"/>
      <c r="N1027" s="200"/>
      <c r="O1027" s="200"/>
      <c r="P1027" s="200"/>
      <c r="Q1027" s="200"/>
      <c r="R1027" s="200"/>
      <c r="S1027" s="200"/>
      <c r="T1027" s="200"/>
      <c r="U1027" s="200"/>
      <c r="V1027" s="201" t="s">
        <v>1028</v>
      </c>
      <c r="W1027" s="80"/>
      <c r="X1027" s="2303">
        <f>BG635</f>
        <v>64</v>
      </c>
      <c r="Y1027" s="2304"/>
      <c r="Z1027" s="80"/>
      <c r="AA1027" s="80"/>
      <c r="AB1027" s="80"/>
      <c r="AC1027" s="80"/>
      <c r="AD1027" s="80"/>
      <c r="AE1027" s="81"/>
      <c r="AF1027" s="987"/>
      <c r="AG1027" s="988"/>
      <c r="AH1027" s="988"/>
      <c r="AI1027" s="989"/>
      <c r="AJ1027" s="2322"/>
      <c r="AK1027" s="2323"/>
      <c r="AL1027" s="2323"/>
      <c r="AM1027" s="2323"/>
      <c r="AN1027" s="2323"/>
      <c r="AO1027" s="2323"/>
      <c r="AP1027" s="2323"/>
      <c r="AQ1027" s="2324"/>
      <c r="AR1027" s="961"/>
      <c r="AS1027" s="961"/>
      <c r="AT1027" s="961"/>
      <c r="AU1027" s="961"/>
      <c r="AV1027" s="961"/>
      <c r="AW1027" s="961"/>
      <c r="AX1027" s="961"/>
      <c r="AY1027" s="961"/>
      <c r="CR1027" s="25"/>
    </row>
    <row r="1028" spans="1:96" ht="12.75" customHeight="1">
      <c r="A1028" s="51"/>
      <c r="B1028" s="117"/>
      <c r="C1028" s="198" t="s">
        <v>1992</v>
      </c>
      <c r="D1028" s="2297" t="s">
        <v>2178</v>
      </c>
      <c r="E1028" s="2298"/>
      <c r="F1028" s="2298"/>
      <c r="G1028" s="2298"/>
      <c r="H1028" s="2298"/>
      <c r="I1028" s="2298"/>
      <c r="J1028" s="2298"/>
      <c r="K1028" s="2298"/>
      <c r="L1028" s="2298"/>
      <c r="M1028" s="2298"/>
      <c r="N1028" s="2298"/>
      <c r="O1028" s="2298"/>
      <c r="P1028" s="2298"/>
      <c r="Q1028" s="2298"/>
      <c r="R1028" s="2298"/>
      <c r="S1028" s="2298"/>
      <c r="T1028" s="2298"/>
      <c r="U1028" s="2298"/>
      <c r="V1028" s="2298"/>
      <c r="W1028" s="2298"/>
      <c r="X1028" s="2298"/>
      <c r="Y1028" s="2298"/>
      <c r="Z1028" s="2298"/>
      <c r="AA1028" s="2298"/>
      <c r="AB1028" s="2298"/>
      <c r="AC1028" s="2298"/>
      <c r="AD1028" s="2298"/>
      <c r="AE1028" s="2299"/>
      <c r="AF1028" s="110"/>
      <c r="AG1028" s="2307" t="str">
        <f>IF(X1031&gt;0,"Yes","No")</f>
        <v>Yes</v>
      </c>
      <c r="AH1028" s="2308"/>
      <c r="AI1028" s="121"/>
      <c r="AJ1028" s="2316">
        <f>IF((X1031=0),0,(2*BA990)*AJ975)</f>
        <v>12111474.76</v>
      </c>
      <c r="AK1028" s="2317"/>
      <c r="AL1028" s="2317"/>
      <c r="AM1028" s="2317"/>
      <c r="AN1028" s="2317"/>
      <c r="AO1028" s="2317"/>
      <c r="AP1028" s="2317"/>
      <c r="AQ1028" s="2318"/>
      <c r="AR1028" s="961"/>
      <c r="AS1028" s="961"/>
      <c r="AT1028" s="961"/>
      <c r="AU1028" s="961"/>
      <c r="AV1028" s="961"/>
      <c r="AW1028" s="961"/>
      <c r="AX1028" s="961"/>
      <c r="AY1028" s="961"/>
    </row>
    <row r="1029" spans="1:96" ht="12.75" customHeight="1">
      <c r="A1029" s="51"/>
      <c r="B1029" s="110"/>
      <c r="C1029" s="694"/>
      <c r="D1029" s="2300" t="s">
        <v>1481</v>
      </c>
      <c r="E1029" s="2301"/>
      <c r="F1029" s="2301"/>
      <c r="G1029" s="2301"/>
      <c r="H1029" s="2301"/>
      <c r="I1029" s="2301"/>
      <c r="J1029" s="2301"/>
      <c r="K1029" s="2301"/>
      <c r="L1029" s="2301"/>
      <c r="M1029" s="2301"/>
      <c r="N1029" s="2301"/>
      <c r="O1029" s="2301"/>
      <c r="P1029" s="2301"/>
      <c r="Q1029" s="2301"/>
      <c r="R1029" s="2301"/>
      <c r="S1029" s="2301"/>
      <c r="T1029" s="2301"/>
      <c r="U1029" s="2301"/>
      <c r="V1029" s="2301"/>
      <c r="W1029" s="2301"/>
      <c r="X1029" s="2301"/>
      <c r="Y1029" s="2301"/>
      <c r="Z1029" s="2301"/>
      <c r="AA1029" s="2301"/>
      <c r="AB1029" s="2301"/>
      <c r="AC1029" s="2301"/>
      <c r="AD1029" s="2301"/>
      <c r="AE1029" s="2302"/>
      <c r="AF1029" s="110"/>
      <c r="AG1029" s="695"/>
      <c r="AH1029" s="695"/>
      <c r="AI1029" s="121"/>
      <c r="AJ1029" s="2319"/>
      <c r="AK1029" s="2320"/>
      <c r="AL1029" s="2320"/>
      <c r="AM1029" s="2320"/>
      <c r="AN1029" s="2320"/>
      <c r="AO1029" s="2320"/>
      <c r="AP1029" s="2320"/>
      <c r="AQ1029" s="2321"/>
      <c r="AR1029" s="961"/>
      <c r="AS1029" s="961"/>
      <c r="AT1029" s="961"/>
      <c r="AU1029" s="961"/>
      <c r="AV1029" s="961"/>
      <c r="AW1029" s="961"/>
      <c r="AX1029" s="961"/>
      <c r="AY1029" s="961"/>
    </row>
    <row r="1030" spans="1:96" ht="12.75" customHeight="1">
      <c r="A1030" s="51"/>
      <c r="B1030" s="110"/>
      <c r="C1030" s="121"/>
      <c r="D1030" s="2300"/>
      <c r="E1030" s="2301"/>
      <c r="F1030" s="2301"/>
      <c r="G1030" s="2301"/>
      <c r="H1030" s="2301"/>
      <c r="I1030" s="2301"/>
      <c r="J1030" s="2301"/>
      <c r="K1030" s="2301"/>
      <c r="L1030" s="2301"/>
      <c r="M1030" s="2301"/>
      <c r="N1030" s="2301"/>
      <c r="O1030" s="2301"/>
      <c r="P1030" s="2301"/>
      <c r="Q1030" s="2301"/>
      <c r="R1030" s="2301"/>
      <c r="S1030" s="2301"/>
      <c r="T1030" s="2301"/>
      <c r="U1030" s="2301"/>
      <c r="V1030" s="2301"/>
      <c r="W1030" s="2301"/>
      <c r="X1030" s="2301"/>
      <c r="Y1030" s="2301"/>
      <c r="Z1030" s="2301"/>
      <c r="AA1030" s="2301"/>
      <c r="AB1030" s="2301"/>
      <c r="AC1030" s="2301"/>
      <c r="AD1030" s="2301"/>
      <c r="AE1030" s="2302"/>
      <c r="AF1030" s="984"/>
      <c r="AG1030" s="985"/>
      <c r="AH1030" s="985"/>
      <c r="AI1030" s="986"/>
      <c r="AJ1030" s="2319"/>
      <c r="AK1030" s="2320"/>
      <c r="AL1030" s="2320"/>
      <c r="AM1030" s="2320"/>
      <c r="AN1030" s="2320"/>
      <c r="AO1030" s="2320"/>
      <c r="AP1030" s="2320"/>
      <c r="AQ1030" s="2321"/>
      <c r="AR1030" s="961"/>
      <c r="AS1030" s="961"/>
      <c r="AT1030" s="961"/>
      <c r="AU1030" s="961"/>
      <c r="AV1030" s="961"/>
      <c r="AW1030" s="961"/>
      <c r="AX1030" s="961"/>
      <c r="AY1030" s="961"/>
    </row>
    <row r="1031" spans="1:96" s="711" customFormat="1" ht="12.75" customHeight="1">
      <c r="A1031" s="51"/>
      <c r="B1031" s="115"/>
      <c r="C1031" s="116"/>
      <c r="D1031" s="199" t="s">
        <v>1027</v>
      </c>
      <c r="E1031" s="200"/>
      <c r="F1031" s="200"/>
      <c r="G1031" s="200"/>
      <c r="H1031" s="200"/>
      <c r="I1031" s="2305">
        <f>BA987</f>
        <v>72</v>
      </c>
      <c r="J1031" s="2306"/>
      <c r="K1031" s="51"/>
      <c r="L1031" s="200"/>
      <c r="M1031" s="200"/>
      <c r="N1031" s="200"/>
      <c r="O1031" s="200"/>
      <c r="P1031" s="200"/>
      <c r="Q1031" s="200"/>
      <c r="R1031" s="200"/>
      <c r="S1031" s="200"/>
      <c r="T1031" s="200"/>
      <c r="U1031" s="200"/>
      <c r="V1031" s="201" t="s">
        <v>1029</v>
      </c>
      <c r="X1031" s="2303">
        <f>BK635</f>
        <v>8</v>
      </c>
      <c r="Y1031" s="2304"/>
      <c r="AF1031" s="987"/>
      <c r="AG1031" s="988"/>
      <c r="AH1031" s="988"/>
      <c r="AI1031" s="989"/>
      <c r="AJ1031" s="2322"/>
      <c r="AK1031" s="2323"/>
      <c r="AL1031" s="2323"/>
      <c r="AM1031" s="2323"/>
      <c r="AN1031" s="2323"/>
      <c r="AO1031" s="2323"/>
      <c r="AP1031" s="2323"/>
      <c r="AQ1031" s="2324"/>
      <c r="AR1031" s="961"/>
      <c r="AS1031" s="961"/>
      <c r="AT1031" s="961"/>
      <c r="AU1031" s="961"/>
      <c r="AV1031" s="961"/>
      <c r="AW1031" s="961"/>
      <c r="AX1031" s="961"/>
      <c r="AY1031" s="961"/>
      <c r="CR1031" s="25"/>
    </row>
    <row r="1032" spans="1:96" ht="12.75" customHeight="1">
      <c r="A1032" s="51"/>
      <c r="B1032" s="158"/>
      <c r="C1032" s="159"/>
      <c r="D1032" s="2295" t="s">
        <v>536</v>
      </c>
      <c r="E1032" s="2295"/>
      <c r="F1032" s="2295"/>
      <c r="G1032" s="2295"/>
      <c r="H1032" s="2295"/>
      <c r="I1032" s="2295"/>
      <c r="J1032" s="2295"/>
      <c r="K1032" s="2295"/>
      <c r="L1032" s="2295"/>
      <c r="M1032" s="2295"/>
      <c r="N1032" s="2295"/>
      <c r="O1032" s="2295"/>
      <c r="P1032" s="2295"/>
      <c r="Q1032" s="2295"/>
      <c r="R1032" s="2295"/>
      <c r="S1032" s="2295"/>
      <c r="T1032" s="2295"/>
      <c r="U1032" s="2295"/>
      <c r="V1032" s="2295"/>
      <c r="W1032" s="2295"/>
      <c r="X1032" s="2295"/>
      <c r="Y1032" s="2295"/>
      <c r="Z1032" s="2295"/>
      <c r="AA1032" s="2295"/>
      <c r="AB1032" s="2295"/>
      <c r="AC1032" s="2295"/>
      <c r="AD1032" s="2295"/>
      <c r="AE1032" s="2295"/>
      <c r="AF1032" s="2295"/>
      <c r="AG1032" s="2295"/>
      <c r="AH1032" s="2295"/>
      <c r="AI1032" s="2296"/>
      <c r="AJ1032" s="2325">
        <f>SUM(AJ975:AQ1031)</f>
        <v>137630395.79999998</v>
      </c>
      <c r="AK1032" s="2326"/>
      <c r="AL1032" s="2326"/>
      <c r="AM1032" s="2326"/>
      <c r="AN1032" s="2326"/>
      <c r="AO1032" s="2326"/>
      <c r="AP1032" s="2326"/>
      <c r="AQ1032" s="2327"/>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248" t="str">
        <f>IF(ISNA(IF((AJ999&gt;(AJ975*0.15)),"(f) cannot be greater than 15% of unadjusted eligible basis.",0)),"",(IF((AJ999&gt;(AJ975*0.15)),"(f) cannot be greater than 15% of unadjusted eligible basis.",0)))</f>
        <v>(f) cannot be greater than 15% of unadjusted eligible basis.</v>
      </c>
      <c r="C1039" s="2248"/>
      <c r="D1039" s="2248"/>
      <c r="E1039" s="2248"/>
      <c r="F1039" s="2248"/>
      <c r="G1039" s="2248"/>
      <c r="H1039" s="2248"/>
      <c r="I1039" s="2248"/>
      <c r="J1039" s="2248"/>
      <c r="K1039" s="2248"/>
      <c r="L1039" s="2248"/>
      <c r="M1039" s="2248"/>
      <c r="N1039" s="2248"/>
      <c r="O1039" s="2248"/>
      <c r="P1039" s="2248"/>
      <c r="Q1039" s="2248"/>
      <c r="R1039" s="2248"/>
      <c r="S1039" s="2248"/>
      <c r="T1039" s="2248"/>
      <c r="U1039" s="2248"/>
      <c r="V1039" s="2248"/>
      <c r="W1039" s="2248"/>
      <c r="X1039" s="2248"/>
      <c r="Y1039" s="2248"/>
      <c r="Z1039" s="2248"/>
      <c r="AA1039" s="2248"/>
      <c r="AB1039" s="2248"/>
      <c r="AC1039" s="2248"/>
      <c r="AD1039" s="2248"/>
      <c r="AE1039" s="2248"/>
      <c r="AF1039" s="2248"/>
      <c r="AG1039" s="2248"/>
      <c r="AH1039" s="2248"/>
      <c r="AI1039" s="2248"/>
      <c r="AJ1039" s="2248"/>
      <c r="AK1039" s="2248"/>
      <c r="AL1039" s="105"/>
      <c r="AM1039" s="961"/>
      <c r="AN1039" s="961"/>
      <c r="AO1039" s="961"/>
      <c r="AP1039" s="961"/>
      <c r="AQ1039" s="961"/>
      <c r="AR1039" s="961"/>
      <c r="AS1039" s="961"/>
      <c r="AT1039" s="961"/>
      <c r="AU1039" s="961"/>
      <c r="AV1039" s="961"/>
      <c r="AW1039" s="961"/>
      <c r="AX1039" s="961"/>
      <c r="AY1039" s="961"/>
    </row>
    <row r="1040" spans="1:96" ht="12.6" customHeight="1" thickBot="1">
      <c r="A1040" s="2199" t="s">
        <v>833</v>
      </c>
      <c r="B1040" s="2199"/>
      <c r="C1040" s="2199"/>
      <c r="D1040" s="2199"/>
      <c r="E1040" s="2199"/>
      <c r="F1040" s="2199"/>
      <c r="G1040" s="2199"/>
      <c r="H1040" s="2199"/>
      <c r="I1040" s="2199"/>
      <c r="J1040" s="2199"/>
      <c r="K1040" s="2199"/>
      <c r="L1040" s="2199"/>
      <c r="M1040" s="2199"/>
      <c r="N1040" s="2199"/>
      <c r="O1040" s="2199"/>
      <c r="P1040" s="2199"/>
      <c r="Q1040" s="2199"/>
      <c r="R1040" s="2199"/>
      <c r="S1040" s="2199"/>
      <c r="T1040" s="2199"/>
      <c r="U1040" s="2199"/>
      <c r="V1040" s="2199"/>
      <c r="W1040" s="2199"/>
      <c r="X1040" s="2199"/>
      <c r="Y1040" s="2199"/>
      <c r="Z1040" s="2199"/>
      <c r="AA1040" s="2199"/>
      <c r="AB1040" s="2199"/>
      <c r="AC1040" s="2199"/>
      <c r="AD1040" s="2199"/>
      <c r="AE1040" s="2199"/>
      <c r="AF1040" s="2199"/>
      <c r="AG1040" s="2199"/>
      <c r="AH1040" s="2199"/>
      <c r="AI1040" s="2199"/>
      <c r="AJ1040" s="2199"/>
      <c r="AK1040" s="2199"/>
      <c r="AL1040" s="219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834</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835</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93" t="s">
        <v>615</v>
      </c>
      <c r="B1044" s="1893"/>
      <c r="C1044" s="13">
        <v>1</v>
      </c>
      <c r="D1044" s="1734" t="s">
        <v>1187</v>
      </c>
      <c r="E1044" s="1734"/>
      <c r="F1044" s="1734"/>
      <c r="G1044" s="1734"/>
      <c r="H1044" s="1734"/>
      <c r="I1044" s="1734"/>
      <c r="J1044" s="1734"/>
      <c r="K1044" s="1734"/>
      <c r="L1044" s="1734"/>
      <c r="M1044" s="1734"/>
      <c r="N1044" s="1734"/>
      <c r="O1044" s="1734"/>
      <c r="P1044" s="1734"/>
      <c r="Q1044" s="1734"/>
      <c r="R1044" s="1734"/>
      <c r="S1044" s="1734"/>
      <c r="T1044" s="1734"/>
      <c r="U1044" s="1734"/>
      <c r="V1044" s="1734"/>
      <c r="W1044" s="1734"/>
      <c r="X1044" s="1734"/>
      <c r="Y1044" s="1734"/>
      <c r="Z1044" s="1734"/>
      <c r="AA1044" s="1734"/>
      <c r="AB1044" s="1734"/>
      <c r="AC1044" s="1734"/>
      <c r="AD1044" s="1734"/>
      <c r="AE1044" s="1734"/>
      <c r="AF1044" s="1734"/>
      <c r="AG1044" s="1734"/>
      <c r="AH1044" s="1734"/>
      <c r="AI1044" s="1734"/>
      <c r="AJ1044" s="1734"/>
      <c r="AK1044" s="1734"/>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34"/>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4"/>
      <c r="AF1045" s="1734"/>
      <c r="AG1045" s="1734"/>
      <c r="AH1045" s="1734"/>
      <c r="AI1045" s="1734"/>
      <c r="AJ1045" s="1734"/>
      <c r="AK1045" s="1734"/>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34"/>
      <c r="E1046" s="1734"/>
      <c r="F1046" s="1734"/>
      <c r="G1046" s="1734"/>
      <c r="H1046" s="1734"/>
      <c r="I1046" s="1734"/>
      <c r="J1046" s="1734"/>
      <c r="K1046" s="1734"/>
      <c r="L1046" s="1734"/>
      <c r="M1046" s="1734"/>
      <c r="N1046" s="1734"/>
      <c r="O1046" s="1734"/>
      <c r="P1046" s="1734"/>
      <c r="Q1046" s="1734"/>
      <c r="R1046" s="1734"/>
      <c r="S1046" s="1734"/>
      <c r="T1046" s="1734"/>
      <c r="U1046" s="1734"/>
      <c r="V1046" s="1734"/>
      <c r="W1046" s="1734"/>
      <c r="X1046" s="1734"/>
      <c r="Y1046" s="1734"/>
      <c r="Z1046" s="1734"/>
      <c r="AA1046" s="1734"/>
      <c r="AB1046" s="1734"/>
      <c r="AC1046" s="1734"/>
      <c r="AD1046" s="1734"/>
      <c r="AE1046" s="1734"/>
      <c r="AF1046" s="1734"/>
      <c r="AG1046" s="1734"/>
      <c r="AH1046" s="1734"/>
      <c r="AI1046" s="1734"/>
      <c r="AJ1046" s="1734"/>
      <c r="AK1046" s="1734"/>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34"/>
      <c r="E1047" s="1734"/>
      <c r="F1047" s="1734"/>
      <c r="G1047" s="1734"/>
      <c r="H1047" s="1734"/>
      <c r="I1047" s="1734"/>
      <c r="J1047" s="1734"/>
      <c r="K1047" s="1734"/>
      <c r="L1047" s="1734"/>
      <c r="M1047" s="1734"/>
      <c r="N1047" s="1734"/>
      <c r="O1047" s="1734"/>
      <c r="P1047" s="1734"/>
      <c r="Q1047" s="1734"/>
      <c r="R1047" s="1734"/>
      <c r="S1047" s="1734"/>
      <c r="T1047" s="1734"/>
      <c r="U1047" s="1734"/>
      <c r="V1047" s="1734"/>
      <c r="W1047" s="1734"/>
      <c r="X1047" s="1734"/>
      <c r="Y1047" s="1734"/>
      <c r="Z1047" s="1734"/>
      <c r="AA1047" s="1734"/>
      <c r="AB1047" s="1734"/>
      <c r="AC1047" s="1734"/>
      <c r="AD1047" s="1734"/>
      <c r="AE1047" s="1734"/>
      <c r="AF1047" s="1734"/>
      <c r="AG1047" s="1734"/>
      <c r="AH1047" s="1734"/>
      <c r="AI1047" s="1734"/>
      <c r="AJ1047" s="1734"/>
      <c r="AK1047" s="1734"/>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34"/>
      <c r="E1048" s="1734"/>
      <c r="F1048" s="1734"/>
      <c r="G1048" s="1734"/>
      <c r="H1048" s="1734"/>
      <c r="I1048" s="1734"/>
      <c r="J1048" s="1734"/>
      <c r="K1048" s="1734"/>
      <c r="L1048" s="1734"/>
      <c r="M1048" s="1734"/>
      <c r="N1048" s="1734"/>
      <c r="O1048" s="1734"/>
      <c r="P1048" s="1734"/>
      <c r="Q1048" s="1734"/>
      <c r="R1048" s="1734"/>
      <c r="S1048" s="1734"/>
      <c r="T1048" s="1734"/>
      <c r="U1048" s="1734"/>
      <c r="V1048" s="1734"/>
      <c r="W1048" s="1734"/>
      <c r="X1048" s="1734"/>
      <c r="Y1048" s="1734"/>
      <c r="Z1048" s="1734"/>
      <c r="AA1048" s="1734"/>
      <c r="AB1048" s="1734"/>
      <c r="AC1048" s="1734"/>
      <c r="AD1048" s="1734"/>
      <c r="AE1048" s="1734"/>
      <c r="AF1048" s="1734"/>
      <c r="AG1048" s="1734"/>
      <c r="AH1048" s="1734"/>
      <c r="AI1048" s="1734"/>
      <c r="AJ1048" s="1734"/>
      <c r="AK1048" s="1734"/>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34"/>
      <c r="E1049" s="1734"/>
      <c r="F1049" s="1734"/>
      <c r="G1049" s="1734"/>
      <c r="H1049" s="1734"/>
      <c r="I1049" s="1734"/>
      <c r="J1049" s="1734"/>
      <c r="K1049" s="1734"/>
      <c r="L1049" s="1734"/>
      <c r="M1049" s="1734"/>
      <c r="N1049" s="1734"/>
      <c r="O1049" s="1734"/>
      <c r="P1049" s="1734"/>
      <c r="Q1049" s="1734"/>
      <c r="R1049" s="1734"/>
      <c r="S1049" s="1734"/>
      <c r="T1049" s="1734"/>
      <c r="U1049" s="1734"/>
      <c r="V1049" s="1734"/>
      <c r="W1049" s="1734"/>
      <c r="X1049" s="1734"/>
      <c r="Y1049" s="1734"/>
      <c r="Z1049" s="1734"/>
      <c r="AA1049" s="1734"/>
      <c r="AB1049" s="1734"/>
      <c r="AC1049" s="1734"/>
      <c r="AD1049" s="1734"/>
      <c r="AE1049" s="1734"/>
      <c r="AF1049" s="1734"/>
      <c r="AG1049" s="1734"/>
      <c r="AH1049" s="1734"/>
      <c r="AI1049" s="1734"/>
      <c r="AJ1049" s="1734"/>
      <c r="AK1049" s="1734"/>
      <c r="AL1049" s="105"/>
      <c r="AM1049" s="961"/>
      <c r="AN1049" s="961"/>
      <c r="AO1049" s="961"/>
      <c r="AP1049" s="961"/>
      <c r="AQ1049" s="961"/>
      <c r="AR1049" s="961"/>
      <c r="AS1049" s="961"/>
      <c r="AT1049" s="961"/>
      <c r="AU1049" s="961"/>
      <c r="AV1049" s="961"/>
      <c r="AW1049" s="961"/>
      <c r="AX1049" s="961"/>
      <c r="AY1049" s="961"/>
    </row>
    <row r="1050" spans="1:51" ht="12.6" customHeight="1">
      <c r="A1050" s="1893" t="s">
        <v>615</v>
      </c>
      <c r="B1050" s="1893"/>
      <c r="C1050" s="13">
        <v>2</v>
      </c>
      <c r="D1050" s="1734" t="s">
        <v>1186</v>
      </c>
      <c r="E1050" s="1734"/>
      <c r="F1050" s="1734"/>
      <c r="G1050" s="1734"/>
      <c r="H1050" s="1734"/>
      <c r="I1050" s="1734"/>
      <c r="J1050" s="1734"/>
      <c r="K1050" s="1734"/>
      <c r="L1050" s="1734"/>
      <c r="M1050" s="1734"/>
      <c r="N1050" s="1734"/>
      <c r="O1050" s="1734"/>
      <c r="P1050" s="1734"/>
      <c r="Q1050" s="1734"/>
      <c r="R1050" s="1734"/>
      <c r="S1050" s="1734"/>
      <c r="T1050" s="1734"/>
      <c r="U1050" s="1734"/>
      <c r="V1050" s="1734"/>
      <c r="W1050" s="1734"/>
      <c r="X1050" s="1734"/>
      <c r="Y1050" s="1734"/>
      <c r="Z1050" s="1734"/>
      <c r="AA1050" s="1734"/>
      <c r="AB1050" s="1734"/>
      <c r="AC1050" s="1734"/>
      <c r="AD1050" s="1734"/>
      <c r="AE1050" s="1734"/>
      <c r="AF1050" s="1734"/>
      <c r="AG1050" s="1734"/>
      <c r="AH1050" s="1734"/>
      <c r="AI1050" s="1734"/>
      <c r="AJ1050" s="1734"/>
      <c r="AK1050" s="1734"/>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34"/>
      <c r="E1051" s="1734"/>
      <c r="F1051" s="1734"/>
      <c r="G1051" s="1734"/>
      <c r="H1051" s="1734"/>
      <c r="I1051" s="1734"/>
      <c r="J1051" s="1734"/>
      <c r="K1051" s="1734"/>
      <c r="L1051" s="1734"/>
      <c r="M1051" s="1734"/>
      <c r="N1051" s="1734"/>
      <c r="O1051" s="1734"/>
      <c r="P1051" s="1734"/>
      <c r="Q1051" s="1734"/>
      <c r="R1051" s="1734"/>
      <c r="S1051" s="1734"/>
      <c r="T1051" s="1734"/>
      <c r="U1051" s="1734"/>
      <c r="V1051" s="1734"/>
      <c r="W1051" s="1734"/>
      <c r="X1051" s="1734"/>
      <c r="Y1051" s="1734"/>
      <c r="Z1051" s="1734"/>
      <c r="AA1051" s="1734"/>
      <c r="AB1051" s="1734"/>
      <c r="AC1051" s="1734"/>
      <c r="AD1051" s="1734"/>
      <c r="AE1051" s="1734"/>
      <c r="AF1051" s="1734"/>
      <c r="AG1051" s="1734"/>
      <c r="AH1051" s="1734"/>
      <c r="AI1051" s="1734"/>
      <c r="AJ1051" s="1734"/>
      <c r="AK1051" s="1734"/>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34"/>
      <c r="E1052" s="1734"/>
      <c r="F1052" s="1734"/>
      <c r="G1052" s="1734"/>
      <c r="H1052" s="1734"/>
      <c r="I1052" s="1734"/>
      <c r="J1052" s="1734"/>
      <c r="K1052" s="1734"/>
      <c r="L1052" s="1734"/>
      <c r="M1052" s="1734"/>
      <c r="N1052" s="1734"/>
      <c r="O1052" s="1734"/>
      <c r="P1052" s="1734"/>
      <c r="Q1052" s="1734"/>
      <c r="R1052" s="1734"/>
      <c r="S1052" s="1734"/>
      <c r="T1052" s="1734"/>
      <c r="U1052" s="1734"/>
      <c r="V1052" s="1734"/>
      <c r="W1052" s="1734"/>
      <c r="X1052" s="1734"/>
      <c r="Y1052" s="1734"/>
      <c r="Z1052" s="1734"/>
      <c r="AA1052" s="1734"/>
      <c r="AB1052" s="1734"/>
      <c r="AC1052" s="1734"/>
      <c r="AD1052" s="1734"/>
      <c r="AE1052" s="1734"/>
      <c r="AF1052" s="1734"/>
      <c r="AG1052" s="1734"/>
      <c r="AH1052" s="1734"/>
      <c r="AI1052" s="1734"/>
      <c r="AJ1052" s="1734"/>
      <c r="AK1052" s="1734"/>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34"/>
      <c r="E1053" s="1734"/>
      <c r="F1053" s="1734"/>
      <c r="G1053" s="1734"/>
      <c r="H1053" s="1734"/>
      <c r="I1053" s="1734"/>
      <c r="J1053" s="1734"/>
      <c r="K1053" s="1734"/>
      <c r="L1053" s="1734"/>
      <c r="M1053" s="1734"/>
      <c r="N1053" s="1734"/>
      <c r="O1053" s="1734"/>
      <c r="P1053" s="1734"/>
      <c r="Q1053" s="1734"/>
      <c r="R1053" s="1734"/>
      <c r="S1053" s="1734"/>
      <c r="T1053" s="1734"/>
      <c r="U1053" s="1734"/>
      <c r="V1053" s="1734"/>
      <c r="W1053" s="1734"/>
      <c r="X1053" s="1734"/>
      <c r="Y1053" s="1734"/>
      <c r="Z1053" s="1734"/>
      <c r="AA1053" s="1734"/>
      <c r="AB1053" s="1734"/>
      <c r="AC1053" s="1734"/>
      <c r="AD1053" s="1734"/>
      <c r="AE1053" s="1734"/>
      <c r="AF1053" s="1734"/>
      <c r="AG1053" s="1734"/>
      <c r="AH1053" s="1734"/>
      <c r="AI1053" s="1734"/>
      <c r="AJ1053" s="1734"/>
      <c r="AK1053" s="1734"/>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34"/>
      <c r="E1054" s="1734"/>
      <c r="F1054" s="1734"/>
      <c r="G1054" s="1734"/>
      <c r="H1054" s="1734"/>
      <c r="I1054" s="1734"/>
      <c r="J1054" s="1734"/>
      <c r="K1054" s="1734"/>
      <c r="L1054" s="1734"/>
      <c r="M1054" s="1734"/>
      <c r="N1054" s="1734"/>
      <c r="O1054" s="1734"/>
      <c r="P1054" s="1734"/>
      <c r="Q1054" s="1734"/>
      <c r="R1054" s="1734"/>
      <c r="S1054" s="1734"/>
      <c r="T1054" s="1734"/>
      <c r="U1054" s="1734"/>
      <c r="V1054" s="1734"/>
      <c r="W1054" s="1734"/>
      <c r="X1054" s="1734"/>
      <c r="Y1054" s="1734"/>
      <c r="Z1054" s="1734"/>
      <c r="AA1054" s="1734"/>
      <c r="AB1054" s="1734"/>
      <c r="AC1054" s="1734"/>
      <c r="AD1054" s="1734"/>
      <c r="AE1054" s="1734"/>
      <c r="AF1054" s="1734"/>
      <c r="AG1054" s="1734"/>
      <c r="AH1054" s="1734"/>
      <c r="AI1054" s="1734"/>
      <c r="AJ1054" s="1734"/>
      <c r="AK1054" s="1734"/>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34"/>
      <c r="E1055" s="1734"/>
      <c r="F1055" s="1734"/>
      <c r="G1055" s="1734"/>
      <c r="H1055" s="1734"/>
      <c r="I1055" s="1734"/>
      <c r="J1055" s="1734"/>
      <c r="K1055" s="1734"/>
      <c r="L1055" s="1734"/>
      <c r="M1055" s="1734"/>
      <c r="N1055" s="1734"/>
      <c r="O1055" s="1734"/>
      <c r="P1055" s="1734"/>
      <c r="Q1055" s="1734"/>
      <c r="R1055" s="1734"/>
      <c r="S1055" s="1734"/>
      <c r="T1055" s="1734"/>
      <c r="U1055" s="1734"/>
      <c r="V1055" s="1734"/>
      <c r="W1055" s="1734"/>
      <c r="X1055" s="1734"/>
      <c r="Y1055" s="1734"/>
      <c r="Z1055" s="1734"/>
      <c r="AA1055" s="1734"/>
      <c r="AB1055" s="1734"/>
      <c r="AC1055" s="1734"/>
      <c r="AD1055" s="1734"/>
      <c r="AE1055" s="1734"/>
      <c r="AF1055" s="1734"/>
      <c r="AG1055" s="1734"/>
      <c r="AH1055" s="1734"/>
      <c r="AI1055" s="1734"/>
      <c r="AJ1055" s="1734"/>
      <c r="AK1055" s="1734"/>
    </row>
    <row r="1056" spans="1:51" ht="12.6" customHeight="1">
      <c r="A1056" s="1893" t="s">
        <v>615</v>
      </c>
      <c r="B1056" s="1893"/>
      <c r="C1056" s="13">
        <v>3</v>
      </c>
      <c r="D1056" s="1734" t="s">
        <v>1465</v>
      </c>
      <c r="E1056" s="1734"/>
      <c r="F1056" s="1734"/>
      <c r="G1056" s="1734"/>
      <c r="H1056" s="1734"/>
      <c r="I1056" s="1734"/>
      <c r="J1056" s="1734"/>
      <c r="K1056" s="1734"/>
      <c r="L1056" s="1734"/>
      <c r="M1056" s="1734"/>
      <c r="N1056" s="1734"/>
      <c r="O1056" s="1734"/>
      <c r="P1056" s="1734"/>
      <c r="Q1056" s="1734"/>
      <c r="R1056" s="1734"/>
      <c r="S1056" s="1734"/>
      <c r="T1056" s="1734"/>
      <c r="U1056" s="1734"/>
      <c r="V1056" s="1734"/>
      <c r="W1056" s="1734"/>
      <c r="X1056" s="1734"/>
      <c r="Y1056" s="1734"/>
      <c r="Z1056" s="1734"/>
      <c r="AA1056" s="1734"/>
      <c r="AB1056" s="1734"/>
      <c r="AC1056" s="1734"/>
      <c r="AD1056" s="1734"/>
      <c r="AE1056" s="1734"/>
      <c r="AF1056" s="1734"/>
      <c r="AG1056" s="1734"/>
      <c r="AH1056" s="1734"/>
      <c r="AI1056" s="1734"/>
      <c r="AJ1056" s="1734"/>
      <c r="AK1056" s="1734"/>
    </row>
    <row r="1057" spans="1:96" ht="12.6" customHeight="1">
      <c r="A1057" s="130"/>
      <c r="B1057" s="130"/>
      <c r="C1057" s="13"/>
      <c r="D1057" s="1734"/>
      <c r="E1057" s="1734"/>
      <c r="F1057" s="1734"/>
      <c r="G1057" s="1734"/>
      <c r="H1057" s="1734"/>
      <c r="I1057" s="1734"/>
      <c r="J1057" s="1734"/>
      <c r="K1057" s="1734"/>
      <c r="L1057" s="1734"/>
      <c r="M1057" s="1734"/>
      <c r="N1057" s="1734"/>
      <c r="O1057" s="1734"/>
      <c r="P1057" s="1734"/>
      <c r="Q1057" s="1734"/>
      <c r="R1057" s="1734"/>
      <c r="S1057" s="1734"/>
      <c r="T1057" s="1734"/>
      <c r="U1057" s="1734"/>
      <c r="V1057" s="1734"/>
      <c r="W1057" s="1734"/>
      <c r="X1057" s="1734"/>
      <c r="Y1057" s="1734"/>
      <c r="Z1057" s="1734"/>
      <c r="AA1057" s="1734"/>
      <c r="AB1057" s="1734"/>
      <c r="AC1057" s="1734"/>
      <c r="AD1057" s="1734"/>
      <c r="AE1057" s="1734"/>
      <c r="AF1057" s="1734"/>
      <c r="AG1057" s="1734"/>
      <c r="AH1057" s="1734"/>
      <c r="AI1057" s="1734"/>
      <c r="AJ1057" s="1734"/>
      <c r="AK1057" s="1734"/>
      <c r="AL1057" s="711"/>
    </row>
    <row r="1058" spans="1:96" ht="12.6" customHeight="1">
      <c r="A1058" s="130"/>
      <c r="B1058" s="130"/>
      <c r="C1058" s="13"/>
      <c r="D1058" s="1734"/>
      <c r="E1058" s="1734"/>
      <c r="F1058" s="1734"/>
      <c r="G1058" s="1734"/>
      <c r="H1058" s="1734"/>
      <c r="I1058" s="1734"/>
      <c r="J1058" s="1734"/>
      <c r="K1058" s="1734"/>
      <c r="L1058" s="1734"/>
      <c r="M1058" s="1734"/>
      <c r="N1058" s="1734"/>
      <c r="O1058" s="1734"/>
      <c r="P1058" s="1734"/>
      <c r="Q1058" s="1734"/>
      <c r="R1058" s="1734"/>
      <c r="S1058" s="1734"/>
      <c r="T1058" s="1734"/>
      <c r="U1058" s="1734"/>
      <c r="V1058" s="1734"/>
      <c r="W1058" s="1734"/>
      <c r="X1058" s="1734"/>
      <c r="Y1058" s="1734"/>
      <c r="Z1058" s="1734"/>
      <c r="AA1058" s="1734"/>
      <c r="AB1058" s="1734"/>
      <c r="AC1058" s="1734"/>
      <c r="AD1058" s="1734"/>
      <c r="AE1058" s="1734"/>
      <c r="AF1058" s="1734"/>
      <c r="AG1058" s="1734"/>
      <c r="AH1058" s="1734"/>
      <c r="AI1058" s="1734"/>
      <c r="AJ1058" s="1734"/>
      <c r="AK1058" s="1734"/>
    </row>
    <row r="1059" spans="1:96" s="711" customFormat="1" ht="12.6" customHeight="1">
      <c r="A1059" s="62"/>
      <c r="B1059" s="66"/>
      <c r="C1059" s="13"/>
      <c r="D1059" s="1734"/>
      <c r="E1059" s="1734"/>
      <c r="F1059" s="1734"/>
      <c r="G1059" s="1734"/>
      <c r="H1059" s="1734"/>
      <c r="I1059" s="1734"/>
      <c r="J1059" s="1734"/>
      <c r="K1059" s="1734"/>
      <c r="L1059" s="1734"/>
      <c r="M1059" s="1734"/>
      <c r="N1059" s="1734"/>
      <c r="O1059" s="1734"/>
      <c r="P1059" s="1734"/>
      <c r="Q1059" s="1734"/>
      <c r="R1059" s="1734"/>
      <c r="S1059" s="1734"/>
      <c r="T1059" s="1734"/>
      <c r="U1059" s="1734"/>
      <c r="V1059" s="1734"/>
      <c r="W1059" s="1734"/>
      <c r="X1059" s="1734"/>
      <c r="Y1059" s="1734"/>
      <c r="Z1059" s="1734"/>
      <c r="AA1059" s="1734"/>
      <c r="AB1059" s="1734"/>
      <c r="AC1059" s="1734"/>
      <c r="AD1059" s="1734"/>
      <c r="AE1059" s="1734"/>
      <c r="AF1059" s="1734"/>
      <c r="AG1059" s="1734"/>
      <c r="AH1059" s="1734"/>
      <c r="AI1059" s="1734"/>
      <c r="AJ1059" s="1734"/>
      <c r="AK1059" s="173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34"/>
      <c r="E1060" s="1734"/>
      <c r="F1060" s="1734"/>
      <c r="G1060" s="1734"/>
      <c r="H1060" s="1734"/>
      <c r="I1060" s="1734"/>
      <c r="J1060" s="1734"/>
      <c r="K1060" s="1734"/>
      <c r="L1060" s="1734"/>
      <c r="M1060" s="1734"/>
      <c r="N1060" s="1734"/>
      <c r="O1060" s="1734"/>
      <c r="P1060" s="1734"/>
      <c r="Q1060" s="1734"/>
      <c r="R1060" s="1734"/>
      <c r="S1060" s="1734"/>
      <c r="T1060" s="1734"/>
      <c r="U1060" s="1734"/>
      <c r="V1060" s="1734"/>
      <c r="W1060" s="1734"/>
      <c r="X1060" s="1734"/>
      <c r="Y1060" s="1734"/>
      <c r="Z1060" s="1734"/>
      <c r="AA1060" s="1734"/>
      <c r="AB1060" s="1734"/>
      <c r="AC1060" s="1734"/>
      <c r="AD1060" s="1734"/>
      <c r="AE1060" s="1734"/>
      <c r="AF1060" s="1734"/>
      <c r="AG1060" s="1734"/>
      <c r="AH1060" s="1734"/>
      <c r="AI1060" s="1734"/>
      <c r="AJ1060" s="1734"/>
      <c r="AK1060" s="1734"/>
    </row>
    <row r="1061" spans="1:96" ht="12.6" customHeight="1">
      <c r="A1061" s="62"/>
      <c r="B1061" s="66"/>
      <c r="C1061" s="13"/>
      <c r="D1061" s="1734"/>
      <c r="E1061" s="1734"/>
      <c r="F1061" s="1734"/>
      <c r="G1061" s="1734"/>
      <c r="H1061" s="1734"/>
      <c r="I1061" s="1734"/>
      <c r="J1061" s="1734"/>
      <c r="K1061" s="1734"/>
      <c r="L1061" s="1734"/>
      <c r="M1061" s="1734"/>
      <c r="N1061" s="1734"/>
      <c r="O1061" s="1734"/>
      <c r="P1061" s="1734"/>
      <c r="Q1061" s="1734"/>
      <c r="R1061" s="1734"/>
      <c r="S1061" s="1734"/>
      <c r="T1061" s="1734"/>
      <c r="U1061" s="1734"/>
      <c r="V1061" s="1734"/>
      <c r="W1061" s="1734"/>
      <c r="X1061" s="1734"/>
      <c r="Y1061" s="1734"/>
      <c r="Z1061" s="1734"/>
      <c r="AA1061" s="1734"/>
      <c r="AB1061" s="1734"/>
      <c r="AC1061" s="1734"/>
      <c r="AD1061" s="1734"/>
      <c r="AE1061" s="1734"/>
      <c r="AF1061" s="1734"/>
      <c r="AG1061" s="1734"/>
      <c r="AH1061" s="1734"/>
      <c r="AI1061" s="1734"/>
      <c r="AJ1061" s="1734"/>
      <c r="AK1061" s="1734"/>
    </row>
    <row r="1062" spans="1:96" ht="12.6" customHeight="1">
      <c r="A1062" s="62"/>
      <c r="B1062" s="66"/>
      <c r="C1062" s="13"/>
      <c r="D1062" s="1734"/>
      <c r="E1062" s="1734"/>
      <c r="F1062" s="1734"/>
      <c r="G1062" s="1734"/>
      <c r="H1062" s="1734"/>
      <c r="I1062" s="1734"/>
      <c r="J1062" s="1734"/>
      <c r="K1062" s="1734"/>
      <c r="L1062" s="1734"/>
      <c r="M1062" s="1734"/>
      <c r="N1062" s="1734"/>
      <c r="O1062" s="1734"/>
      <c r="P1062" s="1734"/>
      <c r="Q1062" s="1734"/>
      <c r="R1062" s="1734"/>
      <c r="S1062" s="1734"/>
      <c r="T1062" s="1734"/>
      <c r="U1062" s="1734"/>
      <c r="V1062" s="1734"/>
      <c r="W1062" s="1734"/>
      <c r="X1062" s="1734"/>
      <c r="Y1062" s="1734"/>
      <c r="Z1062" s="1734"/>
      <c r="AA1062" s="1734"/>
      <c r="AB1062" s="1734"/>
      <c r="AC1062" s="1734"/>
      <c r="AD1062" s="1734"/>
      <c r="AE1062" s="1734"/>
      <c r="AF1062" s="1734"/>
      <c r="AG1062" s="1734"/>
      <c r="AH1062" s="1734"/>
      <c r="AI1062" s="1734"/>
      <c r="AJ1062" s="1734"/>
      <c r="AK1062" s="1734"/>
    </row>
    <row r="1063" spans="1:96" ht="12.6" customHeight="1">
      <c r="A1063" s="1893" t="s">
        <v>615</v>
      </c>
      <c r="B1063" s="1893"/>
      <c r="C1063" s="13">
        <v>4</v>
      </c>
      <c r="D1063" s="1734" t="s">
        <v>1172</v>
      </c>
      <c r="E1063" s="1734"/>
      <c r="F1063" s="1734"/>
      <c r="G1063" s="1734"/>
      <c r="H1063" s="1734"/>
      <c r="I1063" s="1734"/>
      <c r="J1063" s="1734"/>
      <c r="K1063" s="1734"/>
      <c r="L1063" s="1734"/>
      <c r="M1063" s="1734"/>
      <c r="N1063" s="1734"/>
      <c r="O1063" s="1734"/>
      <c r="P1063" s="1734"/>
      <c r="Q1063" s="1734"/>
      <c r="R1063" s="1734"/>
      <c r="S1063" s="1734"/>
      <c r="T1063" s="1734"/>
      <c r="U1063" s="1734"/>
      <c r="V1063" s="1734"/>
      <c r="W1063" s="1734"/>
      <c r="X1063" s="1734"/>
      <c r="Y1063" s="1734"/>
      <c r="Z1063" s="1734"/>
      <c r="AA1063" s="1734"/>
      <c r="AB1063" s="1734"/>
      <c r="AC1063" s="1734"/>
      <c r="AD1063" s="1734"/>
      <c r="AE1063" s="1734"/>
      <c r="AF1063" s="1734"/>
      <c r="AG1063" s="1734"/>
      <c r="AH1063" s="1734"/>
      <c r="AI1063" s="1734"/>
      <c r="AJ1063" s="1734"/>
      <c r="AK1063" s="1734"/>
    </row>
    <row r="1064" spans="1:96" ht="12.6" customHeight="1">
      <c r="A1064" s="235"/>
      <c r="B1064" s="235"/>
      <c r="C1064" s="13"/>
      <c r="D1064" s="1734"/>
      <c r="E1064" s="1734"/>
      <c r="F1064" s="1734"/>
      <c r="G1064" s="1734"/>
      <c r="H1064" s="1734"/>
      <c r="I1064" s="1734"/>
      <c r="J1064" s="1734"/>
      <c r="K1064" s="1734"/>
      <c r="L1064" s="1734"/>
      <c r="M1064" s="1734"/>
      <c r="N1064" s="1734"/>
      <c r="O1064" s="1734"/>
      <c r="P1064" s="1734"/>
      <c r="Q1064" s="1734"/>
      <c r="R1064" s="1734"/>
      <c r="S1064" s="1734"/>
      <c r="T1064" s="1734"/>
      <c r="U1064" s="1734"/>
      <c r="V1064" s="1734"/>
      <c r="W1064" s="1734"/>
      <c r="X1064" s="1734"/>
      <c r="Y1064" s="1734"/>
      <c r="Z1064" s="1734"/>
      <c r="AA1064" s="1734"/>
      <c r="AB1064" s="1734"/>
      <c r="AC1064" s="1734"/>
      <c r="AD1064" s="1734"/>
      <c r="AE1064" s="1734"/>
      <c r="AF1064" s="1734"/>
      <c r="AG1064" s="1734"/>
      <c r="AH1064" s="1734"/>
      <c r="AI1064" s="1734"/>
      <c r="AJ1064" s="1734"/>
      <c r="AK1064" s="1734"/>
    </row>
    <row r="1065" spans="1:96" ht="12.6" customHeight="1">
      <c r="A1065" s="62"/>
      <c r="B1065" s="66"/>
      <c r="C1065" s="13"/>
      <c r="D1065" s="1734"/>
      <c r="E1065" s="1734"/>
      <c r="F1065" s="1734"/>
      <c r="G1065" s="1734"/>
      <c r="H1065" s="1734"/>
      <c r="I1065" s="1734"/>
      <c r="J1065" s="1734"/>
      <c r="K1065" s="1734"/>
      <c r="L1065" s="1734"/>
      <c r="M1065" s="1734"/>
      <c r="N1065" s="1734"/>
      <c r="O1065" s="1734"/>
      <c r="P1065" s="1734"/>
      <c r="Q1065" s="1734"/>
      <c r="R1065" s="1734"/>
      <c r="S1065" s="1734"/>
      <c r="T1065" s="1734"/>
      <c r="U1065" s="1734"/>
      <c r="V1065" s="1734"/>
      <c r="W1065" s="1734"/>
      <c r="X1065" s="1734"/>
      <c r="Y1065" s="1734"/>
      <c r="Z1065" s="1734"/>
      <c r="AA1065" s="1734"/>
      <c r="AB1065" s="1734"/>
      <c r="AC1065" s="1734"/>
      <c r="AD1065" s="1734"/>
      <c r="AE1065" s="1734"/>
      <c r="AF1065" s="1734"/>
      <c r="AG1065" s="1734"/>
      <c r="AH1065" s="1734"/>
      <c r="AI1065" s="1734"/>
      <c r="AJ1065" s="1734"/>
      <c r="AK1065" s="1734"/>
    </row>
    <row r="1066" spans="1:96" s="674" customFormat="1" ht="12.6" customHeight="1">
      <c r="A1066" s="1893" t="s">
        <v>615</v>
      </c>
      <c r="B1066" s="1893"/>
      <c r="C1066" s="13">
        <v>5</v>
      </c>
      <c r="D1066" s="1734" t="s">
        <v>1369</v>
      </c>
      <c r="E1066" s="1734"/>
      <c r="F1066" s="1734"/>
      <c r="G1066" s="1734"/>
      <c r="H1066" s="1734"/>
      <c r="I1066" s="1734"/>
      <c r="J1066" s="1734"/>
      <c r="K1066" s="1734"/>
      <c r="L1066" s="1734"/>
      <c r="M1066" s="1734"/>
      <c r="N1066" s="1734"/>
      <c r="O1066" s="1734"/>
      <c r="P1066" s="1734"/>
      <c r="Q1066" s="1734"/>
      <c r="R1066" s="1734"/>
      <c r="S1066" s="1734"/>
      <c r="T1066" s="1734"/>
      <c r="U1066" s="1734"/>
      <c r="V1066" s="1734"/>
      <c r="W1066" s="1734"/>
      <c r="X1066" s="1734"/>
      <c r="Y1066" s="1734"/>
      <c r="Z1066" s="1734"/>
      <c r="AA1066" s="1734"/>
      <c r="AB1066" s="1734"/>
      <c r="AC1066" s="1734"/>
      <c r="AD1066" s="1734"/>
      <c r="AE1066" s="1734"/>
      <c r="AF1066" s="1734"/>
      <c r="AG1066" s="1734"/>
      <c r="AH1066" s="1734"/>
      <c r="AI1066" s="1734"/>
      <c r="AJ1066" s="1734"/>
      <c r="AK1066" s="173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34"/>
      <c r="E1067" s="1734"/>
      <c r="F1067" s="1734"/>
      <c r="G1067" s="1734"/>
      <c r="H1067" s="1734"/>
      <c r="I1067" s="1734"/>
      <c r="J1067" s="1734"/>
      <c r="K1067" s="1734"/>
      <c r="L1067" s="1734"/>
      <c r="M1067" s="1734"/>
      <c r="N1067" s="1734"/>
      <c r="O1067" s="1734"/>
      <c r="P1067" s="1734"/>
      <c r="Q1067" s="1734"/>
      <c r="R1067" s="1734"/>
      <c r="S1067" s="1734"/>
      <c r="T1067" s="1734"/>
      <c r="U1067" s="1734"/>
      <c r="V1067" s="1734"/>
      <c r="W1067" s="1734"/>
      <c r="X1067" s="1734"/>
      <c r="Y1067" s="1734"/>
      <c r="Z1067" s="1734"/>
      <c r="AA1067" s="1734"/>
      <c r="AB1067" s="1734"/>
      <c r="AC1067" s="1734"/>
      <c r="AD1067" s="1734"/>
      <c r="AE1067" s="1734"/>
      <c r="AF1067" s="1734"/>
      <c r="AG1067" s="1734"/>
      <c r="AH1067" s="1734"/>
      <c r="AI1067" s="1734"/>
      <c r="AJ1067" s="1734"/>
      <c r="AK1067" s="1734"/>
    </row>
    <row r="1068" spans="1:96" ht="12.6" customHeight="1">
      <c r="A1068" s="235"/>
      <c r="B1068" s="235"/>
      <c r="C1068" s="13"/>
      <c r="D1068" s="1734"/>
      <c r="E1068" s="1734"/>
      <c r="F1068" s="1734"/>
      <c r="G1068" s="1734"/>
      <c r="H1068" s="1734"/>
      <c r="I1068" s="1734"/>
      <c r="J1068" s="1734"/>
      <c r="K1068" s="1734"/>
      <c r="L1068" s="1734"/>
      <c r="M1068" s="1734"/>
      <c r="N1068" s="1734"/>
      <c r="O1068" s="1734"/>
      <c r="P1068" s="1734"/>
      <c r="Q1068" s="1734"/>
      <c r="R1068" s="1734"/>
      <c r="S1068" s="1734"/>
      <c r="T1068" s="1734"/>
      <c r="U1068" s="1734"/>
      <c r="V1068" s="1734"/>
      <c r="W1068" s="1734"/>
      <c r="X1068" s="1734"/>
      <c r="Y1068" s="1734"/>
      <c r="Z1068" s="1734"/>
      <c r="AA1068" s="1734"/>
      <c r="AB1068" s="1734"/>
      <c r="AC1068" s="1734"/>
      <c r="AD1068" s="1734"/>
      <c r="AE1068" s="1734"/>
      <c r="AF1068" s="1734"/>
      <c r="AG1068" s="1734"/>
      <c r="AH1068" s="1734"/>
      <c r="AI1068" s="1734"/>
      <c r="AJ1068" s="1734"/>
      <c r="AK1068" s="1734"/>
    </row>
    <row r="1069" spans="1:96" ht="12.6" customHeight="1">
      <c r="A1069" s="235"/>
      <c r="B1069" s="235"/>
      <c r="C1069" s="13"/>
      <c r="D1069" s="1734"/>
      <c r="E1069" s="1734"/>
      <c r="F1069" s="1734"/>
      <c r="G1069" s="1734"/>
      <c r="H1069" s="1734"/>
      <c r="I1069" s="1734"/>
      <c r="J1069" s="1734"/>
      <c r="K1069" s="1734"/>
      <c r="L1069" s="1734"/>
      <c r="M1069" s="1734"/>
      <c r="N1069" s="1734"/>
      <c r="O1069" s="1734"/>
      <c r="P1069" s="1734"/>
      <c r="Q1069" s="1734"/>
      <c r="R1069" s="1734"/>
      <c r="S1069" s="1734"/>
      <c r="T1069" s="1734"/>
      <c r="U1069" s="1734"/>
      <c r="V1069" s="1734"/>
      <c r="W1069" s="1734"/>
      <c r="X1069" s="1734"/>
      <c r="Y1069" s="1734"/>
      <c r="Z1069" s="1734"/>
      <c r="AA1069" s="1734"/>
      <c r="AB1069" s="1734"/>
      <c r="AC1069" s="1734"/>
      <c r="AD1069" s="1734"/>
      <c r="AE1069" s="1734"/>
      <c r="AF1069" s="1734"/>
      <c r="AG1069" s="1734"/>
      <c r="AH1069" s="1734"/>
      <c r="AI1069" s="1734"/>
      <c r="AJ1069" s="1734"/>
      <c r="AK1069" s="1734"/>
      <c r="AL1069" s="674"/>
    </row>
    <row r="1070" spans="1:96" ht="12.6" customHeight="1">
      <c r="A1070" s="62"/>
      <c r="B1070" s="66"/>
      <c r="C1070" s="13"/>
      <c r="D1070" s="1734"/>
      <c r="E1070" s="1734"/>
      <c r="F1070" s="1734"/>
      <c r="G1070" s="1734"/>
      <c r="H1070" s="1734"/>
      <c r="I1070" s="1734"/>
      <c r="J1070" s="1734"/>
      <c r="K1070" s="1734"/>
      <c r="L1070" s="1734"/>
      <c r="M1070" s="1734"/>
      <c r="N1070" s="1734"/>
      <c r="O1070" s="1734"/>
      <c r="P1070" s="1734"/>
      <c r="Q1070" s="1734"/>
      <c r="R1070" s="1734"/>
      <c r="S1070" s="1734"/>
      <c r="T1070" s="1734"/>
      <c r="U1070" s="1734"/>
      <c r="V1070" s="1734"/>
      <c r="W1070" s="1734"/>
      <c r="X1070" s="1734"/>
      <c r="Y1070" s="1734"/>
      <c r="Z1070" s="1734"/>
      <c r="AA1070" s="1734"/>
      <c r="AB1070" s="1734"/>
      <c r="AC1070" s="1734"/>
      <c r="AD1070" s="1734"/>
      <c r="AE1070" s="1734"/>
      <c r="AF1070" s="1734"/>
      <c r="AG1070" s="1734"/>
      <c r="AH1070" s="1734"/>
      <c r="AI1070" s="1734"/>
      <c r="AJ1070" s="1734"/>
      <c r="AK1070" s="1734"/>
    </row>
    <row r="1071" spans="1:96" ht="12.6" customHeight="1">
      <c r="A1071" s="1893" t="s">
        <v>615</v>
      </c>
      <c r="B1071" s="1893"/>
      <c r="C1071" s="13">
        <v>6</v>
      </c>
      <c r="D1071" s="1734" t="s">
        <v>1173</v>
      </c>
      <c r="E1071" s="1734"/>
      <c r="F1071" s="1734"/>
      <c r="G1071" s="1734"/>
      <c r="H1071" s="1734"/>
      <c r="I1071" s="1734"/>
      <c r="J1071" s="1734"/>
      <c r="K1071" s="1734"/>
      <c r="L1071" s="1734"/>
      <c r="M1071" s="1734"/>
      <c r="N1071" s="1734"/>
      <c r="O1071" s="1734"/>
      <c r="P1071" s="1734"/>
      <c r="Q1071" s="1734"/>
      <c r="R1071" s="1734"/>
      <c r="S1071" s="1734"/>
      <c r="T1071" s="1734"/>
      <c r="U1071" s="1734"/>
      <c r="V1071" s="1734"/>
      <c r="W1071" s="1734"/>
      <c r="X1071" s="1734"/>
      <c r="Y1071" s="1734"/>
      <c r="Z1071" s="1734"/>
      <c r="AA1071" s="1734"/>
      <c r="AB1071" s="1734"/>
      <c r="AC1071" s="1734"/>
      <c r="AD1071" s="1734"/>
      <c r="AE1071" s="1734"/>
      <c r="AF1071" s="1734"/>
      <c r="AG1071" s="1734"/>
      <c r="AH1071" s="1734"/>
      <c r="AI1071" s="1734"/>
      <c r="AJ1071" s="1734"/>
      <c r="AK1071" s="1734"/>
    </row>
    <row r="1072" spans="1:96" ht="12.6" customHeight="1">
      <c r="A1072" s="62"/>
      <c r="B1072" s="317"/>
      <c r="C1072" s="13"/>
      <c r="D1072" s="1734"/>
      <c r="E1072" s="1734"/>
      <c r="F1072" s="1734"/>
      <c r="G1072" s="1734"/>
      <c r="H1072" s="1734"/>
      <c r="I1072" s="1734"/>
      <c r="J1072" s="1734"/>
      <c r="K1072" s="1734"/>
      <c r="L1072" s="1734"/>
      <c r="M1072" s="1734"/>
      <c r="N1072" s="1734"/>
      <c r="O1072" s="1734"/>
      <c r="P1072" s="1734"/>
      <c r="Q1072" s="1734"/>
      <c r="R1072" s="1734"/>
      <c r="S1072" s="1734"/>
      <c r="T1072" s="1734"/>
      <c r="U1072" s="1734"/>
      <c r="V1072" s="1734"/>
      <c r="W1072" s="1734"/>
      <c r="X1072" s="1734"/>
      <c r="Y1072" s="1734"/>
      <c r="Z1072" s="1734"/>
      <c r="AA1072" s="1734"/>
      <c r="AB1072" s="1734"/>
      <c r="AC1072" s="1734"/>
      <c r="AD1072" s="1734"/>
      <c r="AE1072" s="1734"/>
      <c r="AF1072" s="1734"/>
      <c r="AG1072" s="1734"/>
      <c r="AH1072" s="1734"/>
      <c r="AI1072" s="1734"/>
      <c r="AJ1072" s="1734"/>
      <c r="AK1072" s="1734"/>
    </row>
    <row r="1073" spans="1:96" ht="12.6" customHeight="1">
      <c r="A1073" s="62"/>
      <c r="B1073" s="66"/>
      <c r="C1073" s="13"/>
      <c r="D1073" s="1734"/>
      <c r="E1073" s="1734"/>
      <c r="F1073" s="1734"/>
      <c r="G1073" s="1734"/>
      <c r="H1073" s="1734"/>
      <c r="I1073" s="1734"/>
      <c r="J1073" s="1734"/>
      <c r="K1073" s="1734"/>
      <c r="L1073" s="1734"/>
      <c r="M1073" s="1734"/>
      <c r="N1073" s="1734"/>
      <c r="O1073" s="1734"/>
      <c r="P1073" s="1734"/>
      <c r="Q1073" s="1734"/>
      <c r="R1073" s="1734"/>
      <c r="S1073" s="1734"/>
      <c r="T1073" s="1734"/>
      <c r="U1073" s="1734"/>
      <c r="V1073" s="1734"/>
      <c r="W1073" s="1734"/>
      <c r="X1073" s="1734"/>
      <c r="Y1073" s="1734"/>
      <c r="Z1073" s="1734"/>
      <c r="AA1073" s="1734"/>
      <c r="AB1073" s="1734"/>
      <c r="AC1073" s="1734"/>
      <c r="AD1073" s="1734"/>
      <c r="AE1073" s="1734"/>
      <c r="AF1073" s="1734"/>
      <c r="AG1073" s="1734"/>
      <c r="AH1073" s="1734"/>
      <c r="AI1073" s="1734"/>
      <c r="AJ1073" s="1734"/>
      <c r="AK1073" s="1734"/>
    </row>
    <row r="1074" spans="1:96" ht="12.6" customHeight="1">
      <c r="A1074" s="1893" t="s">
        <v>615</v>
      </c>
      <c r="B1074" s="1893"/>
      <c r="C1074" s="318">
        <v>7</v>
      </c>
      <c r="D1074" s="1734" t="s">
        <v>1175</v>
      </c>
      <c r="E1074" s="1734"/>
      <c r="F1074" s="1734"/>
      <c r="G1074" s="1734"/>
      <c r="H1074" s="1734"/>
      <c r="I1074" s="1734"/>
      <c r="J1074" s="1734"/>
      <c r="K1074" s="1734"/>
      <c r="L1074" s="1734"/>
      <c r="M1074" s="1734"/>
      <c r="N1074" s="1734"/>
      <c r="O1074" s="1734"/>
      <c r="P1074" s="1734"/>
      <c r="Q1074" s="1734"/>
      <c r="R1074" s="1734"/>
      <c r="S1074" s="1734"/>
      <c r="T1074" s="1734"/>
      <c r="U1074" s="1734"/>
      <c r="V1074" s="1734"/>
      <c r="W1074" s="1734"/>
      <c r="X1074" s="1734"/>
      <c r="Y1074" s="1734"/>
      <c r="Z1074" s="1734"/>
      <c r="AA1074" s="1734"/>
      <c r="AB1074" s="1734"/>
      <c r="AC1074" s="1734"/>
      <c r="AD1074" s="1734"/>
      <c r="AE1074" s="1734"/>
      <c r="AF1074" s="1734"/>
      <c r="AG1074" s="1734"/>
      <c r="AH1074" s="1734"/>
      <c r="AI1074" s="1734"/>
      <c r="AJ1074" s="1734"/>
      <c r="AK1074" s="1734"/>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34"/>
      <c r="E1075" s="1734"/>
      <c r="F1075" s="1734"/>
      <c r="G1075" s="1734"/>
      <c r="H1075" s="1734"/>
      <c r="I1075" s="1734"/>
      <c r="J1075" s="1734"/>
      <c r="K1075" s="1734"/>
      <c r="L1075" s="1734"/>
      <c r="M1075" s="1734"/>
      <c r="N1075" s="1734"/>
      <c r="O1075" s="1734"/>
      <c r="P1075" s="1734"/>
      <c r="Q1075" s="1734"/>
      <c r="R1075" s="1734"/>
      <c r="S1075" s="1734"/>
      <c r="T1075" s="1734"/>
      <c r="U1075" s="1734"/>
      <c r="V1075" s="1734"/>
      <c r="W1075" s="1734"/>
      <c r="X1075" s="1734"/>
      <c r="Y1075" s="1734"/>
      <c r="Z1075" s="1734"/>
      <c r="AA1075" s="1734"/>
      <c r="AB1075" s="1734"/>
      <c r="AC1075" s="1734"/>
      <c r="AD1075" s="1734"/>
      <c r="AE1075" s="1734"/>
      <c r="AF1075" s="1734"/>
      <c r="AG1075" s="1734"/>
      <c r="AH1075" s="1734"/>
      <c r="AI1075" s="1734"/>
      <c r="AJ1075" s="1734"/>
      <c r="AK1075" s="1734"/>
    </row>
    <row r="1076" spans="1:96" ht="12.6" customHeight="1">
      <c r="A1076" s="235"/>
      <c r="B1076" s="235"/>
      <c r="C1076" s="319"/>
      <c r="D1076" s="1734"/>
      <c r="E1076" s="1734"/>
      <c r="F1076" s="1734"/>
      <c r="G1076" s="1734"/>
      <c r="H1076" s="1734"/>
      <c r="I1076" s="1734"/>
      <c r="J1076" s="1734"/>
      <c r="K1076" s="1734"/>
      <c r="L1076" s="1734"/>
      <c r="M1076" s="1734"/>
      <c r="N1076" s="1734"/>
      <c r="O1076" s="1734"/>
      <c r="P1076" s="1734"/>
      <c r="Q1076" s="1734"/>
      <c r="R1076" s="1734"/>
      <c r="S1076" s="1734"/>
      <c r="T1076" s="1734"/>
      <c r="U1076" s="1734"/>
      <c r="V1076" s="1734"/>
      <c r="W1076" s="1734"/>
      <c r="X1076" s="1734"/>
      <c r="Y1076" s="1734"/>
      <c r="Z1076" s="1734"/>
      <c r="AA1076" s="1734"/>
      <c r="AB1076" s="1734"/>
      <c r="AC1076" s="1734"/>
      <c r="AD1076" s="1734"/>
      <c r="AE1076" s="1734"/>
      <c r="AF1076" s="1734"/>
      <c r="AG1076" s="1734"/>
      <c r="AH1076" s="1734"/>
      <c r="AI1076" s="1734"/>
      <c r="AJ1076" s="1734"/>
      <c r="AK1076" s="1734"/>
    </row>
    <row r="1077" spans="1:96" s="674" customFormat="1" ht="12.6" customHeight="1">
      <c r="A1077" s="62"/>
      <c r="B1077" s="66"/>
      <c r="C1077" s="318"/>
      <c r="D1077" s="1734"/>
      <c r="E1077" s="1734"/>
      <c r="F1077" s="1734"/>
      <c r="G1077" s="1734"/>
      <c r="H1077" s="1734"/>
      <c r="I1077" s="1734"/>
      <c r="J1077" s="1734"/>
      <c r="K1077" s="1734"/>
      <c r="L1077" s="1734"/>
      <c r="M1077" s="1734"/>
      <c r="N1077" s="1734"/>
      <c r="O1077" s="1734"/>
      <c r="P1077" s="1734"/>
      <c r="Q1077" s="1734"/>
      <c r="R1077" s="1734"/>
      <c r="S1077" s="1734"/>
      <c r="T1077" s="1734"/>
      <c r="U1077" s="1734"/>
      <c r="V1077" s="1734"/>
      <c r="W1077" s="1734"/>
      <c r="X1077" s="1734"/>
      <c r="Y1077" s="1734"/>
      <c r="Z1077" s="1734"/>
      <c r="AA1077" s="1734"/>
      <c r="AB1077" s="1734"/>
      <c r="AC1077" s="1734"/>
      <c r="AD1077" s="1734"/>
      <c r="AE1077" s="1734"/>
      <c r="AF1077" s="1734"/>
      <c r="AG1077" s="1734"/>
      <c r="AH1077" s="1734"/>
      <c r="AI1077" s="1734"/>
      <c r="AJ1077" s="1734"/>
      <c r="AK1077" s="1734"/>
      <c r="AL1077" s="12"/>
      <c r="AM1077" s="39"/>
      <c r="AN1077" s="39"/>
      <c r="AO1077" s="39"/>
      <c r="AP1077" s="39"/>
      <c r="AQ1077" s="39"/>
      <c r="AR1077" s="39"/>
      <c r="AS1077" s="39"/>
      <c r="AT1077" s="39"/>
      <c r="AU1077" s="39"/>
      <c r="AV1077" s="39"/>
      <c r="AW1077" s="39"/>
      <c r="AX1077" s="39"/>
      <c r="AY1077" s="39"/>
      <c r="CR1077" s="25"/>
    </row>
    <row r="1078" spans="1:96" ht="12.6" customHeight="1">
      <c r="A1078" s="1893" t="s">
        <v>615</v>
      </c>
      <c r="B1078" s="1893"/>
      <c r="C1078" s="318">
        <v>8</v>
      </c>
      <c r="D1078" s="2249" t="s">
        <v>1989</v>
      </c>
      <c r="E1078" s="2249"/>
      <c r="F1078" s="2249"/>
      <c r="G1078" s="2249"/>
      <c r="H1078" s="2249"/>
      <c r="I1078" s="2249"/>
      <c r="J1078" s="2249"/>
      <c r="K1078" s="2249"/>
      <c r="L1078" s="2249"/>
      <c r="M1078" s="2249"/>
      <c r="N1078" s="2249"/>
      <c r="O1078" s="2249"/>
      <c r="P1078" s="2249"/>
      <c r="Q1078" s="2249"/>
      <c r="R1078" s="2249"/>
      <c r="S1078" s="2249"/>
      <c r="T1078" s="2249"/>
      <c r="U1078" s="2249"/>
      <c r="V1078" s="2249"/>
      <c r="W1078" s="2249"/>
      <c r="X1078" s="2249"/>
      <c r="Y1078" s="2249"/>
      <c r="Z1078" s="2249"/>
      <c r="AA1078" s="2249"/>
      <c r="AB1078" s="2249"/>
      <c r="AC1078" s="2249"/>
      <c r="AD1078" s="2249"/>
      <c r="AE1078" s="2249"/>
      <c r="AF1078" s="2249"/>
      <c r="AG1078" s="2249"/>
      <c r="AH1078" s="2249"/>
      <c r="AI1078" s="2249"/>
      <c r="AJ1078" s="2249"/>
      <c r="AK1078" s="2249"/>
    </row>
    <row r="1079" spans="1:96" ht="12.6" customHeight="1">
      <c r="A1079" s="235"/>
      <c r="B1079" s="235"/>
      <c r="C1079" s="318"/>
      <c r="D1079" s="2249"/>
      <c r="E1079" s="2249"/>
      <c r="F1079" s="2249"/>
      <c r="G1079" s="2249"/>
      <c r="H1079" s="2249"/>
      <c r="I1079" s="2249"/>
      <c r="J1079" s="2249"/>
      <c r="K1079" s="2249"/>
      <c r="L1079" s="2249"/>
      <c r="M1079" s="2249"/>
      <c r="N1079" s="2249"/>
      <c r="O1079" s="2249"/>
      <c r="P1079" s="2249"/>
      <c r="Q1079" s="2249"/>
      <c r="R1079" s="2249"/>
      <c r="S1079" s="2249"/>
      <c r="T1079" s="2249"/>
      <c r="U1079" s="2249"/>
      <c r="V1079" s="2249"/>
      <c r="W1079" s="2249"/>
      <c r="X1079" s="2249"/>
      <c r="Y1079" s="2249"/>
      <c r="Z1079" s="2249"/>
      <c r="AA1079" s="2249"/>
      <c r="AB1079" s="2249"/>
      <c r="AC1079" s="2249"/>
      <c r="AD1079" s="2249"/>
      <c r="AE1079" s="2249"/>
      <c r="AF1079" s="2249"/>
      <c r="AG1079" s="2249"/>
      <c r="AH1079" s="2249"/>
      <c r="AI1079" s="2249"/>
      <c r="AJ1079" s="2249"/>
      <c r="AK1079" s="2249"/>
    </row>
    <row r="1080" spans="1:96" ht="12.6" customHeight="1">
      <c r="A1080" s="235"/>
      <c r="B1080" s="235"/>
      <c r="C1080" s="318"/>
      <c r="D1080" s="2249"/>
      <c r="E1080" s="2249"/>
      <c r="F1080" s="2249"/>
      <c r="G1080" s="2249"/>
      <c r="H1080" s="2249"/>
      <c r="I1080" s="2249"/>
      <c r="J1080" s="2249"/>
      <c r="K1080" s="2249"/>
      <c r="L1080" s="2249"/>
      <c r="M1080" s="2249"/>
      <c r="N1080" s="2249"/>
      <c r="O1080" s="2249"/>
      <c r="P1080" s="2249"/>
      <c r="Q1080" s="2249"/>
      <c r="R1080" s="2249"/>
      <c r="S1080" s="2249"/>
      <c r="T1080" s="2249"/>
      <c r="U1080" s="2249"/>
      <c r="V1080" s="2249"/>
      <c r="W1080" s="2249"/>
      <c r="X1080" s="2249"/>
      <c r="Y1080" s="2249"/>
      <c r="Z1080" s="2249"/>
      <c r="AA1080" s="2249"/>
      <c r="AB1080" s="2249"/>
      <c r="AC1080" s="2249"/>
      <c r="AD1080" s="2249"/>
      <c r="AE1080" s="2249"/>
      <c r="AF1080" s="2249"/>
      <c r="AG1080" s="2249"/>
      <c r="AH1080" s="2249"/>
      <c r="AI1080" s="2249"/>
      <c r="AJ1080" s="2249"/>
      <c r="AK1080" s="2249"/>
      <c r="AL1080" s="674"/>
    </row>
    <row r="1081" spans="1:96" ht="12" customHeight="1">
      <c r="A1081" s="62"/>
      <c r="B1081" s="66"/>
      <c r="C1081" s="318"/>
      <c r="D1081" s="2249"/>
      <c r="E1081" s="2249"/>
      <c r="F1081" s="2249"/>
      <c r="G1081" s="2249"/>
      <c r="H1081" s="2249"/>
      <c r="I1081" s="2249"/>
      <c r="J1081" s="2249"/>
      <c r="K1081" s="2249"/>
      <c r="L1081" s="2249"/>
      <c r="M1081" s="2249"/>
      <c r="N1081" s="2249"/>
      <c r="O1081" s="2249"/>
      <c r="P1081" s="2249"/>
      <c r="Q1081" s="2249"/>
      <c r="R1081" s="2249"/>
      <c r="S1081" s="2249"/>
      <c r="T1081" s="2249"/>
      <c r="U1081" s="2249"/>
      <c r="V1081" s="2249"/>
      <c r="W1081" s="2249"/>
      <c r="X1081" s="2249"/>
      <c r="Y1081" s="2249"/>
      <c r="Z1081" s="2249"/>
      <c r="AA1081" s="2249"/>
      <c r="AB1081" s="2249"/>
      <c r="AC1081" s="2249"/>
      <c r="AD1081" s="2249"/>
      <c r="AE1081" s="2249"/>
      <c r="AF1081" s="2249"/>
      <c r="AG1081" s="2249"/>
      <c r="AH1081" s="2249"/>
      <c r="AI1081" s="2249"/>
      <c r="AJ1081" s="2249"/>
      <c r="AK1081" s="2249"/>
    </row>
    <row r="1082" spans="1:96" ht="12.6" customHeight="1">
      <c r="A1082" s="1893" t="s">
        <v>615</v>
      </c>
      <c r="B1082" s="1893"/>
      <c r="C1082" s="318">
        <v>9</v>
      </c>
      <c r="D1082" s="1734" t="s">
        <v>1174</v>
      </c>
      <c r="E1082" s="1734"/>
      <c r="F1082" s="1734"/>
      <c r="G1082" s="1734"/>
      <c r="H1082" s="1734"/>
      <c r="I1082" s="1734"/>
      <c r="J1082" s="1734"/>
      <c r="K1082" s="1734"/>
      <c r="L1082" s="1734"/>
      <c r="M1082" s="1734"/>
      <c r="N1082" s="1734"/>
      <c r="O1082" s="1734"/>
      <c r="P1082" s="1734"/>
      <c r="Q1082" s="1734"/>
      <c r="R1082" s="1734"/>
      <c r="S1082" s="1734"/>
      <c r="T1082" s="1734"/>
      <c r="U1082" s="1734"/>
      <c r="V1082" s="1734"/>
      <c r="W1082" s="1734"/>
      <c r="X1082" s="1734"/>
      <c r="Y1082" s="1734"/>
      <c r="Z1082" s="1734"/>
      <c r="AA1082" s="1734"/>
      <c r="AB1082" s="1734"/>
      <c r="AC1082" s="1734"/>
      <c r="AD1082" s="1734"/>
      <c r="AE1082" s="1734"/>
      <c r="AF1082" s="1734"/>
      <c r="AG1082" s="1734"/>
      <c r="AH1082" s="1734"/>
      <c r="AI1082" s="1734"/>
      <c r="AJ1082" s="1734"/>
      <c r="AK1082" s="1734"/>
    </row>
    <row r="1083" spans="1:96" ht="15" customHeight="1">
      <c r="A1083" s="62"/>
      <c r="B1083" s="66"/>
      <c r="C1083" s="318"/>
      <c r="D1083" s="1734"/>
      <c r="E1083" s="1734"/>
      <c r="F1083" s="1734"/>
      <c r="G1083" s="1734"/>
      <c r="H1083" s="1734"/>
      <c r="I1083" s="1734"/>
      <c r="J1083" s="1734"/>
      <c r="K1083" s="1734"/>
      <c r="L1083" s="1734"/>
      <c r="M1083" s="1734"/>
      <c r="N1083" s="1734"/>
      <c r="O1083" s="1734"/>
      <c r="P1083" s="1734"/>
      <c r="Q1083" s="1734"/>
      <c r="R1083" s="1734"/>
      <c r="S1083" s="1734"/>
      <c r="T1083" s="1734"/>
      <c r="U1083" s="1734"/>
      <c r="V1083" s="1734"/>
      <c r="W1083" s="1734"/>
      <c r="X1083" s="1734"/>
      <c r="Y1083" s="1734"/>
      <c r="Z1083" s="1734"/>
      <c r="AA1083" s="1734"/>
      <c r="AB1083" s="1734"/>
      <c r="AC1083" s="1734"/>
      <c r="AD1083" s="1734"/>
      <c r="AE1083" s="1734"/>
      <c r="AF1083" s="1734"/>
      <c r="AG1083" s="1734"/>
      <c r="AH1083" s="1734"/>
      <c r="AI1083" s="1734"/>
      <c r="AJ1083" s="1734"/>
      <c r="AK1083" s="1734"/>
    </row>
    <row r="1084" spans="1:96" ht="15" customHeight="1">
      <c r="D1084" s="1734"/>
      <c r="E1084" s="1734"/>
      <c r="F1084" s="1734"/>
      <c r="G1084" s="1734"/>
      <c r="H1084" s="1734"/>
      <c r="I1084" s="1734"/>
      <c r="J1084" s="1734"/>
      <c r="K1084" s="1734"/>
      <c r="L1084" s="1734"/>
      <c r="M1084" s="1734"/>
      <c r="N1084" s="1734"/>
      <c r="O1084" s="1734"/>
      <c r="P1084" s="1734"/>
      <c r="Q1084" s="1734"/>
      <c r="R1084" s="1734"/>
      <c r="S1084" s="1734"/>
      <c r="T1084" s="1734"/>
      <c r="U1084" s="1734"/>
      <c r="V1084" s="1734"/>
      <c r="W1084" s="1734"/>
      <c r="X1084" s="1734"/>
      <c r="Y1084" s="1734"/>
      <c r="Z1084" s="1734"/>
      <c r="AA1084" s="1734"/>
      <c r="AB1084" s="1734"/>
      <c r="AC1084" s="1734"/>
      <c r="AD1084" s="1734"/>
      <c r="AE1084" s="1734"/>
      <c r="AF1084" s="1734"/>
      <c r="AG1084" s="1734"/>
      <c r="AH1084" s="1734"/>
      <c r="AI1084" s="1734"/>
      <c r="AJ1084" s="1734"/>
      <c r="AK1084" s="1734"/>
    </row>
    <row r="1085" spans="1:96" ht="15" customHeight="1"/>
    <row r="1086" spans="1:96" ht="15" hidden="1" customHeight="1"/>
    <row r="1087" spans="1:96" ht="15" hidden="1" customHeight="1"/>
  </sheetData>
  <sheetProtection algorithmName="SHA-512" hashValue="wNjmRXeJG4dt1F6OP+XOmnxP2xoh/8PO/Y+w2E8EdRjj3oVtSvWRWqtAkVAopIPlbe7OFbdAXNNpBydZzWPP1g==" saltValue="iHEtfAnUJX9LARRRm/avx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Z693:AK693"/>
    <mergeCell ref="AK733:AO733"/>
    <mergeCell ref="AK734:AO734"/>
    <mergeCell ref="AK735:AO735"/>
    <mergeCell ref="AK736:AO736"/>
    <mergeCell ref="AK737:AO737"/>
    <mergeCell ref="CS657:CW657"/>
    <mergeCell ref="Z679:AK679"/>
    <mergeCell ref="AH734:AJ734"/>
    <mergeCell ref="CM663:CQ663"/>
    <mergeCell ref="CM652:CQ652"/>
    <mergeCell ref="DH657:DL657"/>
    <mergeCell ref="DM657:DQ657"/>
    <mergeCell ref="DR657:DV657"/>
    <mergeCell ref="AG659:AH659"/>
    <mergeCell ref="BS658:BW658"/>
    <mergeCell ref="BX658:CB658"/>
    <mergeCell ref="DR660:DV660"/>
    <mergeCell ref="CS658:CW658"/>
    <mergeCell ref="DH655:DL655"/>
    <mergeCell ref="DM655:DQ655"/>
    <mergeCell ref="BS654:BW654"/>
    <mergeCell ref="BS663:BW663"/>
    <mergeCell ref="CC663:CG663"/>
    <mergeCell ref="CX658:DB658"/>
    <mergeCell ref="DC658:DG658"/>
    <mergeCell ref="DH658:DL658"/>
    <mergeCell ref="DM658:DQ658"/>
    <mergeCell ref="DR658:DV658"/>
    <mergeCell ref="CS655:CW655"/>
    <mergeCell ref="CX655:DB655"/>
    <mergeCell ref="DC655:DG655"/>
    <mergeCell ref="AK750:AO750"/>
    <mergeCell ref="AK751:AO751"/>
    <mergeCell ref="AK752:AO752"/>
    <mergeCell ref="AH747:AJ747"/>
    <mergeCell ref="AH748:AJ748"/>
    <mergeCell ref="AH746:AJ746"/>
    <mergeCell ref="AH745:AJ745"/>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AH749:AJ749"/>
    <mergeCell ref="DC653:DG653"/>
    <mergeCell ref="DH653:DL653"/>
    <mergeCell ref="DM653:DQ653"/>
    <mergeCell ref="DR653:DV653"/>
    <mergeCell ref="AI673:AK673"/>
    <mergeCell ref="Z671:AK671"/>
    <mergeCell ref="DM650:DQ650"/>
    <mergeCell ref="DR650:DV650"/>
    <mergeCell ref="AO650:AS650"/>
    <mergeCell ref="Z663:AK663"/>
    <mergeCell ref="Z657:AE657"/>
    <mergeCell ref="Z662:AK662"/>
    <mergeCell ref="BX663:CB663"/>
    <mergeCell ref="BS657:BW657"/>
    <mergeCell ref="DH652:DL652"/>
    <mergeCell ref="DM652:DQ652"/>
    <mergeCell ref="DR652:DV652"/>
    <mergeCell ref="CS654:CW654"/>
    <mergeCell ref="CX654:DB654"/>
    <mergeCell ref="DC654:DG654"/>
    <mergeCell ref="DR655:DV655"/>
    <mergeCell ref="CS656:CW656"/>
    <mergeCell ref="CX656:DB656"/>
    <mergeCell ref="DC656:DG656"/>
    <mergeCell ref="CX657:DB657"/>
    <mergeCell ref="DR656:DV656"/>
    <mergeCell ref="DH654:DL654"/>
    <mergeCell ref="DM654:DQ654"/>
    <mergeCell ref="CH655:CL655"/>
    <mergeCell ref="CH656:CL656"/>
    <mergeCell ref="CH657:CL657"/>
    <mergeCell ref="CM655:CQ655"/>
    <mergeCell ref="X730:AB730"/>
    <mergeCell ref="X731:AB731"/>
    <mergeCell ref="CS651:CW651"/>
    <mergeCell ref="CH663:CL663"/>
    <mergeCell ref="CC650:CG650"/>
    <mergeCell ref="BN655:BR655"/>
    <mergeCell ref="BN656:BR656"/>
    <mergeCell ref="BN657:BR657"/>
    <mergeCell ref="BN658:BR658"/>
    <mergeCell ref="BS651:BW651"/>
    <mergeCell ref="BX634:CB634"/>
    <mergeCell ref="CC649:CG649"/>
    <mergeCell ref="CC648:CG648"/>
    <mergeCell ref="DC635:DG635"/>
    <mergeCell ref="DH635:DL635"/>
    <mergeCell ref="CM632:CQ632"/>
    <mergeCell ref="CH632:CL632"/>
    <mergeCell ref="CM636:CQ636"/>
    <mergeCell ref="CC635:CG635"/>
    <mergeCell ref="DH650:DL650"/>
    <mergeCell ref="CM653:CQ653"/>
    <mergeCell ref="BN650:BR650"/>
    <mergeCell ref="AO642:AS642"/>
    <mergeCell ref="Z687:AK687"/>
    <mergeCell ref="AK730:AO730"/>
    <mergeCell ref="AK731:AO731"/>
    <mergeCell ref="BN663:BR663"/>
    <mergeCell ref="BS655:BW655"/>
    <mergeCell ref="BN632:BR632"/>
    <mergeCell ref="BE633:BF633"/>
    <mergeCell ref="AO637:AS637"/>
    <mergeCell ref="CS650:CW650"/>
    <mergeCell ref="CM656:CQ656"/>
    <mergeCell ref="CX635:DB635"/>
    <mergeCell ref="CM641:CQ641"/>
    <mergeCell ref="CM642:CQ642"/>
    <mergeCell ref="BX651:CB651"/>
    <mergeCell ref="CM657:CQ657"/>
    <mergeCell ref="CX651:DB651"/>
    <mergeCell ref="DC651:DG651"/>
    <mergeCell ref="DR654:DV654"/>
    <mergeCell ref="BX654:CB654"/>
    <mergeCell ref="CM651:CQ651"/>
    <mergeCell ref="CC654:CG654"/>
    <mergeCell ref="BX652:CB652"/>
    <mergeCell ref="BX653:CB653"/>
    <mergeCell ref="CH651:CL651"/>
    <mergeCell ref="CC651:CG651"/>
    <mergeCell ref="DH649:DL649"/>
    <mergeCell ref="DM649:DQ649"/>
    <mergeCell ref="DR649:DV649"/>
    <mergeCell ref="CX650:DB650"/>
    <mergeCell ref="DC650:DG650"/>
    <mergeCell ref="DH656:DL656"/>
    <mergeCell ref="DM656:DQ656"/>
    <mergeCell ref="DC657:DG657"/>
    <mergeCell ref="DH651:DL651"/>
    <mergeCell ref="DM651:DQ651"/>
    <mergeCell ref="DR651:DV651"/>
    <mergeCell ref="CS652:CW652"/>
    <mergeCell ref="CM650:CQ650"/>
    <mergeCell ref="CM649:CQ649"/>
    <mergeCell ref="CH654:CL654"/>
    <mergeCell ref="CH653:CL653"/>
    <mergeCell ref="CH648:CL648"/>
    <mergeCell ref="DC649:DG649"/>
    <mergeCell ref="DH631:DL631"/>
    <mergeCell ref="BX649:CB649"/>
    <mergeCell ref="DH634:DL634"/>
    <mergeCell ref="BX632:CB632"/>
    <mergeCell ref="BS632:BW632"/>
    <mergeCell ref="CC632:CG632"/>
    <mergeCell ref="DR633:DV633"/>
    <mergeCell ref="DH633:DL633"/>
    <mergeCell ref="CH633:CL633"/>
    <mergeCell ref="CX652:DB652"/>
    <mergeCell ref="DC652:DG652"/>
    <mergeCell ref="R647:T647"/>
    <mergeCell ref="R648:T648"/>
    <mergeCell ref="X638:AB638"/>
    <mergeCell ref="AO647:AS647"/>
    <mergeCell ref="U648:W648"/>
    <mergeCell ref="X643:AB643"/>
    <mergeCell ref="DH648:DL648"/>
    <mergeCell ref="DM648:DQ648"/>
    <mergeCell ref="R642:T642"/>
    <mergeCell ref="R634:T636"/>
    <mergeCell ref="CC633:CG633"/>
    <mergeCell ref="BX635:CB635"/>
    <mergeCell ref="BG631:BH631"/>
    <mergeCell ref="BI631:BJ631"/>
    <mergeCell ref="BK631:BL631"/>
    <mergeCell ref="BS649:BW649"/>
    <mergeCell ref="U634:W636"/>
    <mergeCell ref="AC639:AE639"/>
    <mergeCell ref="R645:T645"/>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DM635:DQ635"/>
    <mergeCell ref="DC634:DG634"/>
    <mergeCell ref="CM633:CQ633"/>
    <mergeCell ref="CM634:CQ634"/>
    <mergeCell ref="CM635:CQ635"/>
    <mergeCell ref="CM640:CQ640"/>
    <mergeCell ref="CS631:CW631"/>
    <mergeCell ref="CX631:DB631"/>
    <mergeCell ref="DC631:DG631"/>
    <mergeCell ref="DR635:DV635"/>
    <mergeCell ref="DM630:DQ630"/>
    <mergeCell ref="EH631:EL631"/>
    <mergeCell ref="EM631:EQ631"/>
    <mergeCell ref="ER631:EV631"/>
    <mergeCell ref="ER635:EV635"/>
    <mergeCell ref="DH627:DL627"/>
    <mergeCell ref="DH626:DL626"/>
    <mergeCell ref="DC625:DG625"/>
    <mergeCell ref="CS632:CW632"/>
    <mergeCell ref="CX632:DB632"/>
    <mergeCell ref="O643:Q643"/>
    <mergeCell ref="EC622:EG622"/>
    <mergeCell ref="EH622:EL622"/>
    <mergeCell ref="EM622:EQ622"/>
    <mergeCell ref="ER622:EV622"/>
    <mergeCell ref="DM629:DQ629"/>
    <mergeCell ref="CS629:CW629"/>
    <mergeCell ref="G622:R622"/>
    <mergeCell ref="Z621:AK621"/>
    <mergeCell ref="CX626:DB626"/>
    <mergeCell ref="DM631:DQ631"/>
    <mergeCell ref="DR631:DV631"/>
    <mergeCell ref="DM632:DQ632"/>
    <mergeCell ref="DR632:DV632"/>
    <mergeCell ref="DR629:DV629"/>
    <mergeCell ref="CS630:CW630"/>
    <mergeCell ref="CX630:DB630"/>
    <mergeCell ref="DC630:DG630"/>
    <mergeCell ref="DH630:DL630"/>
    <mergeCell ref="CX629:DB629"/>
    <mergeCell ref="BS631:BW631"/>
    <mergeCell ref="DR634:DV634"/>
    <mergeCell ref="BX630:CB630"/>
    <mergeCell ref="DM633:DQ633"/>
    <mergeCell ref="DM634:DQ634"/>
    <mergeCell ref="EM635:EQ635"/>
    <mergeCell ref="DX631:EB631"/>
    <mergeCell ref="EC631:EG631"/>
    <mergeCell ref="CS627:CW627"/>
    <mergeCell ref="EH632:EL632"/>
    <mergeCell ref="R637:T637"/>
    <mergeCell ref="R638:T638"/>
    <mergeCell ref="R639:T639"/>
    <mergeCell ref="BX641:CB641"/>
    <mergeCell ref="X646:AB646"/>
    <mergeCell ref="X647:AB647"/>
    <mergeCell ref="AO644:AS644"/>
    <mergeCell ref="BX640:CB640"/>
    <mergeCell ref="CH641:CL641"/>
    <mergeCell ref="CH640:CL640"/>
    <mergeCell ref="CH644:CL644"/>
    <mergeCell ref="AO646:AS646"/>
    <mergeCell ref="X644:AB644"/>
    <mergeCell ref="X645:AB645"/>
    <mergeCell ref="R646:T646"/>
    <mergeCell ref="X639:AB639"/>
    <mergeCell ref="X640:AB640"/>
    <mergeCell ref="X641:AB641"/>
    <mergeCell ref="X642:AB642"/>
    <mergeCell ref="BS641:BW641"/>
    <mergeCell ref="BN640:BR640"/>
    <mergeCell ref="CC641:CG641"/>
    <mergeCell ref="DR648:DV648"/>
    <mergeCell ref="DR630:DV630"/>
    <mergeCell ref="CS635:CW635"/>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5:AE645"/>
    <mergeCell ref="CM644:CQ644"/>
    <mergeCell ref="CC640:CG640"/>
    <mergeCell ref="BX644:CB644"/>
    <mergeCell ref="CC644:CG644"/>
    <mergeCell ref="CC642:CG642"/>
    <mergeCell ref="BX648:CB648"/>
    <mergeCell ref="EH635:EL635"/>
    <mergeCell ref="EC648:EG648"/>
    <mergeCell ref="AK638:AN638"/>
    <mergeCell ref="BS635:BW635"/>
    <mergeCell ref="BK634:BL634"/>
    <mergeCell ref="BN634:BR634"/>
    <mergeCell ref="CM648:CQ648"/>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C647:EG647"/>
    <mergeCell ref="EH647:EL647"/>
    <mergeCell ref="EM647:EQ647"/>
    <mergeCell ref="EW656:FA656"/>
    <mergeCell ref="EM657:EQ657"/>
    <mergeCell ref="ER657:EV657"/>
    <mergeCell ref="EW657:FA657"/>
    <mergeCell ref="DX650:EB650"/>
    <mergeCell ref="EC650:EG650"/>
    <mergeCell ref="EH651:EL651"/>
    <mergeCell ref="EM654:EQ654"/>
    <mergeCell ref="ER652:EV652"/>
    <mergeCell ref="DX655:EB655"/>
    <mergeCell ref="EH648:EL648"/>
    <mergeCell ref="EM648:EQ648"/>
    <mergeCell ref="EC656:EG656"/>
    <mergeCell ref="ER653:EV653"/>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R658:EV658"/>
    <mergeCell ref="ER659:EV659"/>
    <mergeCell ref="DX657:EB657"/>
    <mergeCell ref="EC657:EG657"/>
    <mergeCell ref="EH657:EL657"/>
    <mergeCell ref="EH656:EL656"/>
    <mergeCell ref="EM656:EQ656"/>
    <mergeCell ref="ER656:EV656"/>
    <mergeCell ref="EC652:EG652"/>
    <mergeCell ref="EH653:EL653"/>
    <mergeCell ref="EM653:EQ653"/>
    <mergeCell ref="ER661:EV661"/>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51:EV651"/>
    <mergeCell ref="EC663:EG663"/>
    <mergeCell ref="EH663:EL663"/>
    <mergeCell ref="EM663:EQ663"/>
    <mergeCell ref="ER663:EV663"/>
    <mergeCell ref="DX653:EB653"/>
    <mergeCell ref="EC653:EG653"/>
    <mergeCell ref="DX662:EB662"/>
    <mergeCell ref="EW662:FA662"/>
    <mergeCell ref="DX656:EB656"/>
    <mergeCell ref="EH654:EL654"/>
    <mergeCell ref="EM655:EQ655"/>
    <mergeCell ref="DX659:EB659"/>
    <mergeCell ref="EC659:EG659"/>
    <mergeCell ref="EH659:EL659"/>
    <mergeCell ref="EM659:EQ659"/>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48:EV648"/>
    <mergeCell ref="EW648:FA648"/>
    <mergeCell ref="DX649:EB649"/>
    <mergeCell ref="EC649:EG649"/>
    <mergeCell ref="EH649:EL649"/>
    <mergeCell ref="EM649:EQ649"/>
    <mergeCell ref="ER649:EV649"/>
    <mergeCell ref="EW649:FA649"/>
    <mergeCell ref="EW646:FA646"/>
    <mergeCell ref="DX647:EB647"/>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32:EB632"/>
    <mergeCell ref="EC632:EG632"/>
    <mergeCell ref="DX635:EB635"/>
    <mergeCell ref="EC635:EG63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80:AE980"/>
    <mergeCell ref="D981:AE985"/>
    <mergeCell ref="D990:AE990"/>
    <mergeCell ref="D991:AE991"/>
    <mergeCell ref="AJ980:AQ985"/>
    <mergeCell ref="AJ999:AQ1003"/>
    <mergeCell ref="AF1000:AI1003"/>
    <mergeCell ref="R971:AA971"/>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X751:AB751"/>
    <mergeCell ref="X741:AB741"/>
    <mergeCell ref="X744:AB744"/>
    <mergeCell ref="X743:AB743"/>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M830:P830"/>
    <mergeCell ref="C823:H823"/>
    <mergeCell ref="T789:W789"/>
    <mergeCell ref="C824:H824"/>
    <mergeCell ref="B751:F751"/>
    <mergeCell ref="Z811:AE811"/>
    <mergeCell ref="W855:AC855"/>
    <mergeCell ref="AC826:AF826"/>
    <mergeCell ref="C828:H828"/>
    <mergeCell ref="M844:V844"/>
    <mergeCell ref="W841:AC841"/>
    <mergeCell ref="J847:V847"/>
    <mergeCell ref="AC891:AH891"/>
    <mergeCell ref="W853:AC853"/>
    <mergeCell ref="AC634:AE636"/>
    <mergeCell ref="U638:W638"/>
    <mergeCell ref="X752:AB752"/>
    <mergeCell ref="AG824:AJ824"/>
    <mergeCell ref="AG823:AJ823"/>
    <mergeCell ref="AC793:AG793"/>
    <mergeCell ref="AC794:AG794"/>
    <mergeCell ref="X750:AB750"/>
    <mergeCell ref="J789:N789"/>
    <mergeCell ref="O789:S789"/>
    <mergeCell ref="AH792:AL792"/>
    <mergeCell ref="AH793:AL793"/>
    <mergeCell ref="AH794:AL794"/>
    <mergeCell ref="O646:Q646"/>
    <mergeCell ref="AC728:AG728"/>
    <mergeCell ref="AH743:AJ743"/>
    <mergeCell ref="AH744:AJ744"/>
    <mergeCell ref="AK732:AO732"/>
    <mergeCell ref="AC732:AG732"/>
    <mergeCell ref="AK749:AO749"/>
    <mergeCell ref="X740:AB740"/>
    <mergeCell ref="G728:J728"/>
    <mergeCell ref="W713:AK713"/>
    <mergeCell ref="G688:R688"/>
    <mergeCell ref="G673:L673"/>
    <mergeCell ref="U637:W637"/>
    <mergeCell ref="AF643:AJ643"/>
    <mergeCell ref="AO640:AS640"/>
    <mergeCell ref="AC643:AE643"/>
    <mergeCell ref="AC644:AE644"/>
    <mergeCell ref="U639:W639"/>
    <mergeCell ref="X637:AB637"/>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R410:S410"/>
    <mergeCell ref="Q388:U388"/>
    <mergeCell ref="P346:Z346"/>
    <mergeCell ref="Z677:AK677"/>
    <mergeCell ref="G679:R679"/>
    <mergeCell ref="G596:R596"/>
    <mergeCell ref="G613:R613"/>
    <mergeCell ref="N617:O61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G680:R680"/>
    <mergeCell ref="Z685:AK685"/>
    <mergeCell ref="P689:R689"/>
    <mergeCell ref="AE712:AF712"/>
    <mergeCell ref="AG683:AH683"/>
    <mergeCell ref="Z686:AK686"/>
    <mergeCell ref="AI697:AK697"/>
    <mergeCell ref="AA690:AK690"/>
    <mergeCell ref="G681:L681"/>
    <mergeCell ref="X729:AB729"/>
    <mergeCell ref="AE708:AI708"/>
    <mergeCell ref="X724:AB727"/>
    <mergeCell ref="Z689:AE689"/>
    <mergeCell ref="H690:R690"/>
    <mergeCell ref="Z680:AK680"/>
    <mergeCell ref="T732:W732"/>
    <mergeCell ref="G693:R693"/>
    <mergeCell ref="AI681:AK681"/>
    <mergeCell ref="AE705:AI705"/>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O782:S78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M622:DQ622"/>
    <mergeCell ref="DR622:DV622"/>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R624:DV624"/>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8:CW618"/>
    <mergeCell ref="CX618:DB618"/>
    <mergeCell ref="DC618:DG618"/>
    <mergeCell ref="DH618:DL618"/>
    <mergeCell ref="DM616:DQ616"/>
    <mergeCell ref="DR616:DV616"/>
    <mergeCell ref="DM618:DQ618"/>
    <mergeCell ref="DR618:DV618"/>
    <mergeCell ref="M357:N357"/>
    <mergeCell ref="CS609:CW609"/>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C609:DG609"/>
    <mergeCell ref="CX611:DB611"/>
    <mergeCell ref="P607:R607"/>
    <mergeCell ref="P582:R582"/>
    <mergeCell ref="W464:Y464"/>
    <mergeCell ref="T486:X486"/>
    <mergeCell ref="AH518:AK518"/>
    <mergeCell ref="AF638:AJ638"/>
    <mergeCell ref="AF644:AJ644"/>
    <mergeCell ref="DM609:DQ609"/>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AA322:AF322"/>
    <mergeCell ref="G615:L615"/>
    <mergeCell ref="Z613:AK613"/>
    <mergeCell ref="J385:U385"/>
    <mergeCell ref="M356:N35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H608:R608"/>
    <mergeCell ref="G614:R614"/>
    <mergeCell ref="G605:R605"/>
    <mergeCell ref="G606:R606"/>
    <mergeCell ref="G578:R578"/>
    <mergeCell ref="Z614:AK614"/>
    <mergeCell ref="Z589:AK589"/>
    <mergeCell ref="P591:R591"/>
    <mergeCell ref="Z620:AK620"/>
    <mergeCell ref="AA616:AK616"/>
    <mergeCell ref="AC370:AF370"/>
    <mergeCell ref="Q389:U389"/>
    <mergeCell ref="AI388:AJ388"/>
    <mergeCell ref="E367:AH368"/>
    <mergeCell ref="AD492:AH492"/>
    <mergeCell ref="AD487:AH487"/>
    <mergeCell ref="D437:AF437"/>
    <mergeCell ref="D438:AF438"/>
    <mergeCell ref="CM619:CQ619"/>
    <mergeCell ref="CM620:CQ620"/>
    <mergeCell ref="CX620:DB620"/>
    <mergeCell ref="G665:L665"/>
    <mergeCell ref="Z665:AE665"/>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CS620:CW620"/>
    <mergeCell ref="CS614:CW614"/>
    <mergeCell ref="CM617:CQ617"/>
    <mergeCell ref="CM618:CQ618"/>
    <mergeCell ref="BN613:BR613"/>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24:CQ624"/>
    <mergeCell ref="BG630:BH630"/>
    <mergeCell ref="BS628:BW628"/>
    <mergeCell ref="BX628:CB628"/>
    <mergeCell ref="CC623:CG623"/>
    <mergeCell ref="BK623:BL623"/>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AK729:AO729"/>
    <mergeCell ref="AA666:AK666"/>
    <mergeCell ref="Z673:AE673"/>
    <mergeCell ref="AG675:AH675"/>
    <mergeCell ref="G670:R670"/>
    <mergeCell ref="R715:T715"/>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P657:R657"/>
    <mergeCell ref="AI657:AK657"/>
    <mergeCell ref="AO634:AS636"/>
    <mergeCell ref="BN614:BR614"/>
    <mergeCell ref="O647:Q647"/>
    <mergeCell ref="H658:R658"/>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BE626:BF626"/>
    <mergeCell ref="O729:S729"/>
    <mergeCell ref="Z695:AK695"/>
    <mergeCell ref="G685:R685"/>
    <mergeCell ref="AK724:AO727"/>
    <mergeCell ref="AK728:AO728"/>
    <mergeCell ref="BG617:BH617"/>
    <mergeCell ref="BS614:BW614"/>
    <mergeCell ref="BX614:CB614"/>
    <mergeCell ref="BG622:BH622"/>
    <mergeCell ref="BK622:BL622"/>
    <mergeCell ref="BE621:BF621"/>
    <mergeCell ref="BE623:BF623"/>
    <mergeCell ref="BS656:BW656"/>
    <mergeCell ref="BN654:BR654"/>
    <mergeCell ref="BN653:BR653"/>
    <mergeCell ref="BN652:BR652"/>
    <mergeCell ref="BN651:BR651"/>
    <mergeCell ref="BN649:BR649"/>
    <mergeCell ref="BE631:BF631"/>
    <mergeCell ref="BE632:BF632"/>
    <mergeCell ref="BI629:BJ629"/>
    <mergeCell ref="BK629:BL629"/>
    <mergeCell ref="BE634:BF634"/>
    <mergeCell ref="BK614:BL614"/>
    <mergeCell ref="BG633:BH633"/>
    <mergeCell ref="BN630:BR630"/>
    <mergeCell ref="BS630:BW630"/>
    <mergeCell ref="BX650:CB650"/>
    <mergeCell ref="BS648:BW648"/>
    <mergeCell ref="BI621:BJ621"/>
    <mergeCell ref="BX616:CB616"/>
    <mergeCell ref="BN627:BR627"/>
    <mergeCell ref="BS653:BW653"/>
    <mergeCell ref="BG634:BH634"/>
    <mergeCell ref="BI634:BJ634"/>
    <mergeCell ref="BS640:BW640"/>
    <mergeCell ref="BS634:BW634"/>
    <mergeCell ref="G657:L657"/>
    <mergeCell ref="BN625:BR625"/>
    <mergeCell ref="BE622:BF622"/>
    <mergeCell ref="BE620:BF620"/>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BE624:BF624"/>
    <mergeCell ref="BN626:BR626"/>
    <mergeCell ref="AC745:AG745"/>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B742:F742"/>
    <mergeCell ref="B731:F731"/>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34:AB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O756:R756"/>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Z898:AE898"/>
    <mergeCell ref="W857:AC857"/>
    <mergeCell ref="AA917:AF917"/>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H306:M306"/>
    <mergeCell ref="AA326:AK326"/>
    <mergeCell ref="AA339:AF339"/>
    <mergeCell ref="H315:M315"/>
    <mergeCell ref="AA313:AK313"/>
    <mergeCell ref="AA310:AK310"/>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323:AF323"/>
    <mergeCell ref="AA299:AF299"/>
    <mergeCell ref="H305:R305"/>
    <mergeCell ref="M254:R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00:AK300"/>
    <mergeCell ref="AA248:AK248"/>
    <mergeCell ref="AA291:AF291"/>
    <mergeCell ref="AB275:AD275"/>
    <mergeCell ref="Y277:AD277"/>
    <mergeCell ref="AA294:AK294"/>
    <mergeCell ref="AF258:AK258"/>
    <mergeCell ref="AC260:AE260"/>
    <mergeCell ref="AA298:AF298"/>
    <mergeCell ref="AA286:AK286"/>
    <mergeCell ref="T266:X266"/>
    <mergeCell ref="M252:T252"/>
    <mergeCell ref="W469:Y469"/>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A324:AK324"/>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AC512:AF512"/>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G611:R611"/>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AC546:AF546"/>
    <mergeCell ref="AC541:AF541"/>
    <mergeCell ref="AH512:AK512"/>
    <mergeCell ref="AC531:AF531"/>
    <mergeCell ref="AC533:AF533"/>
    <mergeCell ref="AA600:AK600"/>
    <mergeCell ref="Z603:AK603"/>
    <mergeCell ref="AG593:AH593"/>
    <mergeCell ref="AI591:AK591"/>
    <mergeCell ref="Z590:AK590"/>
    <mergeCell ref="AG601:AH601"/>
    <mergeCell ref="Z599:AE599"/>
    <mergeCell ref="C568:P568"/>
    <mergeCell ref="AM575:AS575"/>
    <mergeCell ref="AI582:AK582"/>
    <mergeCell ref="AM568:AS568"/>
    <mergeCell ref="AI571:AL571"/>
    <mergeCell ref="AE572:AH572"/>
    <mergeCell ref="AM572:AS572"/>
    <mergeCell ref="H583:R583"/>
    <mergeCell ref="AM573:AS573"/>
    <mergeCell ref="C573:P573"/>
    <mergeCell ref="C574:P574"/>
    <mergeCell ref="C575:P575"/>
    <mergeCell ref="T573:V573"/>
    <mergeCell ref="Z571:AD571"/>
    <mergeCell ref="CH617:CL617"/>
    <mergeCell ref="BI620:BJ620"/>
    <mergeCell ref="BK620:BL620"/>
    <mergeCell ref="BN620:BR620"/>
    <mergeCell ref="BS620:BW620"/>
    <mergeCell ref="BE610:BF610"/>
    <mergeCell ref="Z611:AK611"/>
    <mergeCell ref="N609:O609"/>
    <mergeCell ref="AG609:AH609"/>
    <mergeCell ref="AI607:AK607"/>
    <mergeCell ref="BG613:BH613"/>
    <mergeCell ref="BI613:BJ613"/>
    <mergeCell ref="G595:R595"/>
    <mergeCell ref="AG585:AH585"/>
    <mergeCell ref="G607:L607"/>
    <mergeCell ref="AA608:AK608"/>
    <mergeCell ref="BE611:BF611"/>
    <mergeCell ref="BG611:BH611"/>
    <mergeCell ref="BK615:BL615"/>
    <mergeCell ref="BK618:BL618"/>
    <mergeCell ref="BN619:BR619"/>
    <mergeCell ref="BK619:BL619"/>
    <mergeCell ref="BG620:BH620"/>
    <mergeCell ref="P599:R599"/>
    <mergeCell ref="G599:L599"/>
    <mergeCell ref="G591:L591"/>
    <mergeCell ref="CC613:CG613"/>
    <mergeCell ref="BX613:CB613"/>
    <mergeCell ref="CC618:CG618"/>
    <mergeCell ref="BS615:BW615"/>
    <mergeCell ref="BX615:CB615"/>
    <mergeCell ref="BE617:BF617"/>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X621:CB621"/>
    <mergeCell ref="BG621:BH621"/>
    <mergeCell ref="BK621:BL621"/>
    <mergeCell ref="CC614:CG614"/>
    <mergeCell ref="CC615:CG615"/>
    <mergeCell ref="BN616:BR616"/>
    <mergeCell ref="BI618:BJ618"/>
    <mergeCell ref="BS623:BW62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09:CL609"/>
    <mergeCell ref="BS622:BW622"/>
    <mergeCell ref="BX622:CB622"/>
    <mergeCell ref="CC621:CG621"/>
    <mergeCell ref="CH619:CL619"/>
    <mergeCell ref="CC616:CG616"/>
    <mergeCell ref="CH616:CL616"/>
    <mergeCell ref="CH612:CL612"/>
    <mergeCell ref="BS633:BW633"/>
    <mergeCell ref="CM625:CQ625"/>
    <mergeCell ref="CM626:CQ626"/>
    <mergeCell ref="CM627:CQ627"/>
    <mergeCell ref="CM628:CQ628"/>
    <mergeCell ref="CH635:CL635"/>
    <mergeCell ref="CH634:CL634"/>
    <mergeCell ref="CM629:CQ629"/>
    <mergeCell ref="CM630:CQ630"/>
    <mergeCell ref="CM631:CQ631"/>
    <mergeCell ref="BG632:BH632"/>
    <mergeCell ref="BX629:CB629"/>
    <mergeCell ref="CC629:CG629"/>
    <mergeCell ref="BX631:CB631"/>
    <mergeCell ref="CC631:CG631"/>
    <mergeCell ref="CH631:CL631"/>
    <mergeCell ref="BI632:BJ632"/>
    <mergeCell ref="BS629:BW629"/>
    <mergeCell ref="BN633:BR633"/>
    <mergeCell ref="CC630:CG630"/>
    <mergeCell ref="CH629:CL629"/>
    <mergeCell ref="BK633:BL633"/>
    <mergeCell ref="BX626:CB626"/>
    <mergeCell ref="CC626:CG626"/>
    <mergeCell ref="BG627:BH627"/>
    <mergeCell ref="CH628:CL628"/>
    <mergeCell ref="BN629:BR629"/>
    <mergeCell ref="BE627:BF627"/>
    <mergeCell ref="BI630:BJ630"/>
    <mergeCell ref="BE629:BF629"/>
    <mergeCell ref="BG629:BH629"/>
    <mergeCell ref="BG635:BH635"/>
    <mergeCell ref="BG618:BH618"/>
    <mergeCell ref="AE574:AH574"/>
    <mergeCell ref="AM574:AS574"/>
    <mergeCell ref="B576:AL576"/>
    <mergeCell ref="T575:V575"/>
    <mergeCell ref="BE628:BF628"/>
    <mergeCell ref="CC634:CG634"/>
    <mergeCell ref="BX633:CB633"/>
    <mergeCell ref="BI633:BJ633"/>
    <mergeCell ref="BK635:BL635"/>
    <mergeCell ref="BN635:BR635"/>
    <mergeCell ref="BG626:BH626"/>
    <mergeCell ref="BK628:BL628"/>
    <mergeCell ref="BX623:CB623"/>
    <mergeCell ref="CC624:CG624"/>
    <mergeCell ref="BS625:BW625"/>
    <mergeCell ref="BS617:BW617"/>
    <mergeCell ref="BX619:CB619"/>
    <mergeCell ref="BI627:BJ627"/>
    <mergeCell ref="Z607:AE607"/>
    <mergeCell ref="BG619:BH619"/>
    <mergeCell ref="BI625:BJ625"/>
    <mergeCell ref="BK625:BL625"/>
    <mergeCell ref="BG625:BH625"/>
    <mergeCell ref="BE619:BF619"/>
    <mergeCell ref="BE614:BF614"/>
    <mergeCell ref="Z580:AK580"/>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I563:AL563"/>
    <mergeCell ref="A556:AS557"/>
    <mergeCell ref="AC553:AF553"/>
    <mergeCell ref="AC550:AF550"/>
    <mergeCell ref="AH539:AK539"/>
    <mergeCell ref="O544:AA544"/>
    <mergeCell ref="AC549:AF549"/>
    <mergeCell ref="B532:H554"/>
    <mergeCell ref="Q566:S566"/>
    <mergeCell ref="L520:AB520"/>
    <mergeCell ref="C566:P566"/>
    <mergeCell ref="Z566:AD566"/>
    <mergeCell ref="AI565:AL565"/>
    <mergeCell ref="O532:AA532"/>
    <mergeCell ref="AH516:AK516"/>
    <mergeCell ref="AH529:AK529"/>
    <mergeCell ref="AC529:AF529"/>
    <mergeCell ref="D443:AF443"/>
    <mergeCell ref="D467:V467"/>
    <mergeCell ref="D436:AF436"/>
    <mergeCell ref="AH540:AK540"/>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Q565:S565"/>
    <mergeCell ref="AC539:AF539"/>
    <mergeCell ref="AC535:AF535"/>
    <mergeCell ref="AI573:AL573"/>
    <mergeCell ref="C564:P564"/>
    <mergeCell ref="AC543:AF543"/>
    <mergeCell ref="AE570:AH570"/>
    <mergeCell ref="Z569:AD569"/>
    <mergeCell ref="Z570:AD570"/>
    <mergeCell ref="AC536:AF536"/>
    <mergeCell ref="Q571:S571"/>
    <mergeCell ref="Q572:S572"/>
    <mergeCell ref="Q573:S573"/>
    <mergeCell ref="Q574:S574"/>
    <mergeCell ref="M823:P823"/>
    <mergeCell ref="B753:F753"/>
    <mergeCell ref="AG827:AJ827"/>
    <mergeCell ref="AG825:AJ825"/>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I570:AL570"/>
    <mergeCell ref="AE563:AH563"/>
    <mergeCell ref="AC532:AF532"/>
    <mergeCell ref="AC554:AF554"/>
    <mergeCell ref="Q569:S569"/>
    <mergeCell ref="Z431:AA431"/>
    <mergeCell ref="AC455:AF455"/>
    <mergeCell ref="Y487:AC487"/>
    <mergeCell ref="Z605:AK605"/>
    <mergeCell ref="Z596:AK596"/>
    <mergeCell ref="AH550:AK550"/>
    <mergeCell ref="AG617:AH617"/>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G582:L582"/>
    <mergeCell ref="AM565:AS565"/>
    <mergeCell ref="Y486:AC486"/>
    <mergeCell ref="T487:X487"/>
    <mergeCell ref="Y488:AC488"/>
    <mergeCell ref="A478:AL479"/>
    <mergeCell ref="AD484:AH485"/>
    <mergeCell ref="T569:V569"/>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G604:R604"/>
    <mergeCell ref="Z563:AD563"/>
    <mergeCell ref="C565:P565"/>
    <mergeCell ref="T571:V571"/>
    <mergeCell ref="T572:V572"/>
    <mergeCell ref="AC540:AF540"/>
    <mergeCell ref="O541:AA541"/>
    <mergeCell ref="AC530:AF530"/>
    <mergeCell ref="Z578:AK578"/>
    <mergeCell ref="AI567:AL567"/>
    <mergeCell ref="Z597:AK597"/>
    <mergeCell ref="C569:P569"/>
    <mergeCell ref="C570:P570"/>
    <mergeCell ref="AH532:AK532"/>
    <mergeCell ref="AE569:AH569"/>
    <mergeCell ref="AI569:AL569"/>
    <mergeCell ref="T565:V565"/>
    <mergeCell ref="T566:V566"/>
    <mergeCell ref="AE564:AH564"/>
    <mergeCell ref="AH536:AK536"/>
    <mergeCell ref="AH537:AK537"/>
    <mergeCell ref="T570:V570"/>
    <mergeCell ref="AC544:AF544"/>
    <mergeCell ref="O547:AA547"/>
    <mergeCell ref="AH548:AK548"/>
    <mergeCell ref="G579:R579"/>
    <mergeCell ref="G580:R580"/>
    <mergeCell ref="G581:R581"/>
    <mergeCell ref="Q570:S570"/>
    <mergeCell ref="Q575:S575"/>
    <mergeCell ref="Z582:AE582"/>
    <mergeCell ref="AA592:AK592"/>
    <mergeCell ref="AH533:AK533"/>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447:AJ447"/>
    <mergeCell ref="AD488:AH488"/>
    <mergeCell ref="AH549:AK54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2:AD572"/>
    <mergeCell ref="Z573:AD573"/>
    <mergeCell ref="AI575:AL575"/>
    <mergeCell ref="AI574:AL574"/>
    <mergeCell ref="BE618:BF618"/>
    <mergeCell ref="BE616:BF616"/>
    <mergeCell ref="BE625:BF625"/>
    <mergeCell ref="BS652:BW652"/>
    <mergeCell ref="BX655:CB655"/>
    <mergeCell ref="AD489:AH489"/>
    <mergeCell ref="J387:U387"/>
    <mergeCell ref="AG394:AJ394"/>
    <mergeCell ref="K402:AJ40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Z604:AK604"/>
    <mergeCell ref="AE565:AH565"/>
    <mergeCell ref="O535:AA535"/>
    <mergeCell ref="Z588:AK588"/>
    <mergeCell ref="G587:R587"/>
    <mergeCell ref="W466:Y466"/>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4"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77" zoomScaleNormal="100" zoomScaleSheetLayoutView="90" workbookViewId="0">
      <selection activeCell="R107" sqref="R107"/>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572</v>
      </c>
      <c r="B1" s="189"/>
      <c r="C1" s="189"/>
      <c r="D1" s="189"/>
      <c r="E1" s="190"/>
      <c r="F1" s="2425" t="s">
        <v>645</v>
      </c>
      <c r="G1" s="2426"/>
      <c r="H1" s="2426"/>
      <c r="I1" s="2426"/>
      <c r="J1" s="2426"/>
      <c r="K1" s="2426"/>
      <c r="L1" s="2426"/>
      <c r="M1" s="2426"/>
      <c r="N1" s="2426"/>
      <c r="O1" s="2426"/>
      <c r="P1" s="2426"/>
      <c r="Q1" s="2426"/>
      <c r="R1" s="2427"/>
      <c r="S1" s="168"/>
      <c r="T1" s="167"/>
      <c r="U1" s="169"/>
    </row>
    <row r="2" spans="1:21" s="208" customFormat="1" ht="71.25" customHeight="1">
      <c r="A2" s="207"/>
      <c r="B2" s="208" t="s">
        <v>24</v>
      </c>
      <c r="C2" s="208" t="s">
        <v>387</v>
      </c>
      <c r="D2" s="208" t="s">
        <v>386</v>
      </c>
      <c r="E2" s="208" t="s">
        <v>25</v>
      </c>
      <c r="F2" s="209" t="str">
        <f>Application!B637&amp;Application!C637</f>
        <v>1)SF OCII</v>
      </c>
      <c r="G2" s="209" t="str">
        <f>Application!B638&amp;Application!C638</f>
        <v>2)FHLB AHP</v>
      </c>
      <c r="H2" s="209" t="str">
        <f>Application!B639&amp;Application!C639</f>
        <v xml:space="preserve">3)Accrued Interest on Soft Loans											</v>
      </c>
      <c r="I2" s="209" t="str">
        <f>Application!B640&amp;Application!C640</f>
        <v>4)GP Capital</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f>'[10]4%'!$E$31</f>
        <v>0</v>
      </c>
      <c r="D4" s="217"/>
      <c r="E4" s="217">
        <f>B4-SUM(F4:Q4)</f>
        <v>0</v>
      </c>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71">
        <f>SUM(E5:Q5)</f>
        <v>0</v>
      </c>
      <c r="S5" s="218"/>
      <c r="T5" s="218"/>
      <c r="U5" s="213"/>
    </row>
    <row r="6" spans="1:21" s="214" customFormat="1">
      <c r="A6" s="215" t="s">
        <v>30</v>
      </c>
      <c r="B6" s="216">
        <f>SUM(C6+D6)</f>
        <v>15000</v>
      </c>
      <c r="C6" s="217">
        <f>'[10]4%'!$E$34</f>
        <v>15000</v>
      </c>
      <c r="D6" s="217"/>
      <c r="E6" s="217">
        <f t="shared" si="0"/>
        <v>15000</v>
      </c>
      <c r="F6" s="217"/>
      <c r="G6" s="217"/>
      <c r="H6" s="217"/>
      <c r="I6" s="217"/>
      <c r="J6" s="217"/>
      <c r="K6" s="217"/>
      <c r="L6" s="217"/>
      <c r="M6" s="217"/>
      <c r="N6" s="217"/>
      <c r="O6" s="217"/>
      <c r="P6" s="217"/>
      <c r="Q6" s="217"/>
      <c r="R6" s="871">
        <f>SUM(E6:Q6)</f>
        <v>15000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1">
        <f>SUM(E7:Q7)</f>
        <v>0</v>
      </c>
      <c r="S7" s="218"/>
      <c r="T7" s="218"/>
      <c r="U7" s="213"/>
    </row>
    <row r="8" spans="1:21" s="214" customFormat="1" ht="12">
      <c r="A8" s="219" t="s">
        <v>617</v>
      </c>
      <c r="B8" s="216">
        <f>SUM(C8:D8)</f>
        <v>15000</v>
      </c>
      <c r="C8" s="216">
        <f t="shared" ref="C8:Q8" si="1">SUM(C4:C7)</f>
        <v>15000</v>
      </c>
      <c r="D8" s="216">
        <f t="shared" si="1"/>
        <v>0</v>
      </c>
      <c r="E8" s="216">
        <f t="shared" si="1"/>
        <v>15000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15000</v>
      </c>
      <c r="S8" s="218"/>
      <c r="T8" s="218"/>
      <c r="U8" s="213"/>
    </row>
    <row r="9" spans="1:21" s="214" customFormat="1">
      <c r="A9" s="215" t="s">
        <v>618</v>
      </c>
      <c r="B9" s="216">
        <f>SUM(C9+D9)</f>
        <v>0</v>
      </c>
      <c r="C9" s="217"/>
      <c r="D9" s="217"/>
      <c r="E9" s="217">
        <f t="shared" si="0"/>
        <v>0</v>
      </c>
      <c r="F9" s="217"/>
      <c r="G9" s="217"/>
      <c r="H9" s="217"/>
      <c r="I9" s="217"/>
      <c r="J9" s="217"/>
      <c r="K9" s="217"/>
      <c r="L9" s="217"/>
      <c r="M9" s="217"/>
      <c r="N9" s="217"/>
      <c r="O9" s="217"/>
      <c r="P9" s="217"/>
      <c r="Q9" s="217"/>
      <c r="R9" s="871">
        <f>SUM(E9:Q9)</f>
        <v>0</v>
      </c>
      <c r="S9" s="218"/>
      <c r="T9" s="217"/>
      <c r="U9" s="213"/>
    </row>
    <row r="10" spans="1:21" s="214" customFormat="1">
      <c r="A10" s="215" t="s">
        <v>619</v>
      </c>
      <c r="B10" s="216">
        <f>SUM(C10+D10)</f>
        <v>50000</v>
      </c>
      <c r="C10" s="217">
        <f>'[10]4%'!$E$37</f>
        <v>50000</v>
      </c>
      <c r="D10" s="217"/>
      <c r="E10" s="217">
        <f t="shared" si="0"/>
        <v>50000</v>
      </c>
      <c r="F10" s="217"/>
      <c r="G10" s="217"/>
      <c r="H10" s="217"/>
      <c r="I10" s="217"/>
      <c r="J10" s="217"/>
      <c r="K10" s="217"/>
      <c r="L10" s="217"/>
      <c r="M10" s="217"/>
      <c r="N10" s="217"/>
      <c r="O10" s="217"/>
      <c r="P10" s="217"/>
      <c r="Q10" s="217"/>
      <c r="R10" s="871">
        <f>SUM(E10:Q10)</f>
        <v>50000</v>
      </c>
      <c r="S10" s="217">
        <f>R10</f>
        <v>50000</v>
      </c>
      <c r="T10" s="217"/>
      <c r="U10" s="213"/>
    </row>
    <row r="11" spans="1:21" s="214" customFormat="1" ht="12">
      <c r="A11" s="219" t="s">
        <v>620</v>
      </c>
      <c r="B11" s="216">
        <f>SUM(C11:D11)</f>
        <v>50000</v>
      </c>
      <c r="C11" s="216">
        <f t="shared" ref="C11:Q11" si="2">SUM(C9:C10)</f>
        <v>50000</v>
      </c>
      <c r="D11" s="216">
        <f t="shared" si="2"/>
        <v>0</v>
      </c>
      <c r="E11" s="216">
        <f t="shared" si="2"/>
        <v>50000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7">
        <f>SUM(R9:R10)</f>
        <v>50000</v>
      </c>
      <c r="S11" s="218"/>
      <c r="T11" s="220">
        <f>SUM(T9:T10)</f>
        <v>0</v>
      </c>
      <c r="U11" s="213"/>
    </row>
    <row r="12" spans="1:21" s="214" customFormat="1" ht="12">
      <c r="A12" s="219" t="s">
        <v>89</v>
      </c>
      <c r="B12" s="216">
        <f t="shared" ref="B12:Q12" si="3">SUM(B8+B11)</f>
        <v>65000</v>
      </c>
      <c r="C12" s="216">
        <f t="shared" si="3"/>
        <v>65000</v>
      </c>
      <c r="D12" s="216">
        <f t="shared" si="3"/>
        <v>0</v>
      </c>
      <c r="E12" s="216">
        <f t="shared" si="3"/>
        <v>65000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27">
        <f>SUM(R8+R11)</f>
        <v>65000</v>
      </c>
      <c r="S12" s="218"/>
      <c r="T12" s="218"/>
      <c r="U12" s="213"/>
    </row>
    <row r="13" spans="1:21" s="214" customFormat="1">
      <c r="A13" s="446" t="s">
        <v>951</v>
      </c>
      <c r="B13" s="216">
        <f>SUM(C13+D13)</f>
        <v>0</v>
      </c>
      <c r="C13" s="217"/>
      <c r="D13" s="217"/>
      <c r="E13" s="217">
        <f t="shared" ref="E13:E15" si="4">B13-SUM(F13:Q13)</f>
        <v>0</v>
      </c>
      <c r="F13" s="217"/>
      <c r="G13" s="217"/>
      <c r="H13" s="217"/>
      <c r="I13" s="217"/>
      <c r="J13" s="217"/>
      <c r="K13" s="217"/>
      <c r="L13" s="217"/>
      <c r="M13" s="217"/>
      <c r="N13" s="217"/>
      <c r="O13" s="217"/>
      <c r="P13" s="217"/>
      <c r="Q13" s="217"/>
      <c r="R13" s="871">
        <f>SUM(E13:Q13)</f>
        <v>0</v>
      </c>
      <c r="S13" s="217"/>
      <c r="T13" s="217"/>
      <c r="U13" s="213"/>
    </row>
    <row r="14" spans="1:21" s="214" customFormat="1" ht="22.8">
      <c r="A14" s="447" t="s">
        <v>1845</v>
      </c>
      <c r="B14" s="216">
        <f>SUM(C14+D14)</f>
        <v>0</v>
      </c>
      <c r="C14" s="217"/>
      <c r="D14" s="217"/>
      <c r="E14" s="217">
        <f t="shared" si="4"/>
        <v>0</v>
      </c>
      <c r="F14" s="217"/>
      <c r="G14" s="217"/>
      <c r="H14" s="217"/>
      <c r="I14" s="217"/>
      <c r="J14" s="217"/>
      <c r="K14" s="217"/>
      <c r="L14" s="217"/>
      <c r="M14" s="217"/>
      <c r="N14" s="217"/>
      <c r="O14" s="217"/>
      <c r="P14" s="217"/>
      <c r="Q14" s="217"/>
      <c r="R14" s="871">
        <f>SUM(E14:Q14)</f>
        <v>0</v>
      </c>
      <c r="S14" s="217"/>
      <c r="T14" s="217"/>
      <c r="U14" s="213"/>
    </row>
    <row r="15" spans="1:21" s="214" customFormat="1">
      <c r="A15" s="447" t="s">
        <v>1320</v>
      </c>
      <c r="B15" s="216">
        <f>SUM(C15+D15)</f>
        <v>0</v>
      </c>
      <c r="C15" s="217"/>
      <c r="D15" s="217"/>
      <c r="E15" s="217">
        <f t="shared" si="4"/>
        <v>0</v>
      </c>
      <c r="F15" s="217"/>
      <c r="G15" s="217"/>
      <c r="H15" s="217"/>
      <c r="I15" s="217"/>
      <c r="J15" s="217"/>
      <c r="K15" s="217"/>
      <c r="L15" s="217"/>
      <c r="M15" s="217"/>
      <c r="N15" s="217"/>
      <c r="O15" s="217"/>
      <c r="P15" s="217"/>
      <c r="Q15" s="217"/>
      <c r="R15" s="871">
        <f>SUM(E15:Q15)</f>
        <v>0</v>
      </c>
      <c r="S15" s="218"/>
      <c r="T15" s="218"/>
      <c r="U15" s="213"/>
    </row>
    <row r="16" spans="1:21" s="214" customFormat="1">
      <c r="A16" s="211" t="s">
        <v>621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622</v>
      </c>
      <c r="B17" s="216">
        <f t="shared" ref="B17:B26" si="5">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623</v>
      </c>
      <c r="B18" s="216">
        <f t="shared" si="5"/>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624</v>
      </c>
      <c r="B19" s="216">
        <f t="shared" si="5"/>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1">
        <f t="shared" si="6"/>
        <v>0</v>
      </c>
      <c r="S23" s="217"/>
      <c r="T23" s="217"/>
      <c r="U23" s="213"/>
    </row>
    <row r="24" spans="1:21" s="214" customFormat="1">
      <c r="A24" s="850" t="s">
        <v>1842</v>
      </c>
      <c r="B24" s="216">
        <f t="shared" si="5"/>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1">
        <f t="shared" si="6"/>
        <v>0</v>
      </c>
      <c r="S25" s="217"/>
      <c r="T25" s="217"/>
      <c r="U25" s="213"/>
    </row>
    <row r="26" spans="1:21" s="214" customFormat="1" ht="12">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7">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622</v>
      </c>
      <c r="B29" s="216">
        <f t="shared" ref="B29:B38" si="8">SUM(C29+D29)</f>
        <v>1171705</v>
      </c>
      <c r="C29" s="217">
        <f>'[10]4%'!$E$47</f>
        <v>1171705</v>
      </c>
      <c r="D29" s="217"/>
      <c r="E29" s="217">
        <f t="shared" ref="E29:E37" si="9">B29-SUM(F29:Q29)</f>
        <v>1171705</v>
      </c>
      <c r="F29" s="217"/>
      <c r="G29" s="217"/>
      <c r="H29" s="217"/>
      <c r="I29" s="217"/>
      <c r="J29" s="217"/>
      <c r="K29" s="217"/>
      <c r="L29" s="217"/>
      <c r="M29" s="217"/>
      <c r="N29" s="217"/>
      <c r="O29" s="217"/>
      <c r="P29" s="217"/>
      <c r="Q29" s="217"/>
      <c r="R29" s="871">
        <f t="shared" ref="R29:R37" si="10">SUM(E29:Q29)</f>
        <v>1171705</v>
      </c>
      <c r="S29" s="217">
        <f>R29</f>
        <v>1171705</v>
      </c>
      <c r="T29" s="217"/>
      <c r="U29" s="213"/>
    </row>
    <row r="30" spans="1:21" s="214" customFormat="1">
      <c r="A30" s="215" t="s">
        <v>623</v>
      </c>
      <c r="B30" s="216">
        <f t="shared" si="8"/>
        <v>46608024</v>
      </c>
      <c r="C30" s="217">
        <f>'[10]4%'!$E$48+'[10]4%'!$E$53</f>
        <v>46608024</v>
      </c>
      <c r="D30" s="217"/>
      <c r="E30" s="217">
        <f t="shared" si="9"/>
        <v>10354911</v>
      </c>
      <c r="F30" s="217">
        <f>Application!AO637</f>
        <v>35253013</v>
      </c>
      <c r="G30" s="217">
        <f>Application!AO638</f>
        <v>1000000</v>
      </c>
      <c r="H30" s="217"/>
      <c r="I30" s="217">
        <f>Application!AO640</f>
        <v>100</v>
      </c>
      <c r="J30" s="217"/>
      <c r="K30" s="217"/>
      <c r="L30" s="217"/>
      <c r="M30" s="217"/>
      <c r="N30" s="217"/>
      <c r="O30" s="217"/>
      <c r="P30" s="217"/>
      <c r="Q30" s="217"/>
      <c r="R30" s="871">
        <f t="shared" si="10"/>
        <v>46608024</v>
      </c>
      <c r="S30" s="217">
        <f t="shared" ref="S30:S36" si="11">R30</f>
        <v>46608024</v>
      </c>
      <c r="T30" s="217"/>
      <c r="U30" s="213"/>
    </row>
    <row r="31" spans="1:21" s="214" customFormat="1">
      <c r="A31" s="215" t="s">
        <v>624</v>
      </c>
      <c r="B31" s="216">
        <f t="shared" si="8"/>
        <v>2804389</v>
      </c>
      <c r="C31" s="217">
        <f>'[10]4%'!$E$50</f>
        <v>2804389</v>
      </c>
      <c r="D31" s="217"/>
      <c r="E31" s="217">
        <f t="shared" si="9"/>
        <v>2804389</v>
      </c>
      <c r="F31" s="217"/>
      <c r="G31" s="217"/>
      <c r="H31" s="217"/>
      <c r="I31" s="217"/>
      <c r="J31" s="217"/>
      <c r="K31" s="217"/>
      <c r="L31" s="217"/>
      <c r="M31" s="217"/>
      <c r="N31" s="217"/>
      <c r="O31" s="217"/>
      <c r="P31" s="217"/>
      <c r="Q31" s="217"/>
      <c r="R31" s="871">
        <f t="shared" si="10"/>
        <v>2804389</v>
      </c>
      <c r="S31" s="217">
        <f t="shared" si="11"/>
        <v>2804389</v>
      </c>
      <c r="T31" s="217"/>
      <c r="U31" s="213"/>
    </row>
    <row r="32" spans="1:21" s="214" customFormat="1">
      <c r="A32" s="215" t="s">
        <v>142</v>
      </c>
      <c r="B32" s="216">
        <f t="shared" si="8"/>
        <v>890494</v>
      </c>
      <c r="C32" s="217">
        <f>'[10]4%'!$E$52/2</f>
        <v>890494</v>
      </c>
      <c r="D32" s="217"/>
      <c r="E32" s="217">
        <f t="shared" si="9"/>
        <v>890494</v>
      </c>
      <c r="F32" s="217"/>
      <c r="G32" s="217"/>
      <c r="H32" s="217"/>
      <c r="I32" s="217"/>
      <c r="J32" s="217"/>
      <c r="K32" s="217"/>
      <c r="L32" s="217"/>
      <c r="M32" s="217"/>
      <c r="N32" s="217"/>
      <c r="O32" s="217"/>
      <c r="P32" s="217"/>
      <c r="Q32" s="217"/>
      <c r="R32" s="871">
        <f t="shared" si="10"/>
        <v>890494</v>
      </c>
      <c r="S32" s="217">
        <f t="shared" si="11"/>
        <v>890494</v>
      </c>
      <c r="T32" s="217"/>
      <c r="U32" s="213"/>
    </row>
    <row r="33" spans="1:21" s="214" customFormat="1">
      <c r="A33" s="215" t="s">
        <v>143</v>
      </c>
      <c r="B33" s="216">
        <f t="shared" si="8"/>
        <v>890494</v>
      </c>
      <c r="C33" s="217">
        <f>C32</f>
        <v>890494</v>
      </c>
      <c r="D33" s="217"/>
      <c r="E33" s="217">
        <f t="shared" si="9"/>
        <v>890494</v>
      </c>
      <c r="F33" s="217"/>
      <c r="G33" s="217"/>
      <c r="H33" s="217"/>
      <c r="I33" s="217"/>
      <c r="J33" s="217"/>
      <c r="K33" s="217"/>
      <c r="L33" s="217"/>
      <c r="M33" s="217"/>
      <c r="N33" s="217"/>
      <c r="O33" s="217"/>
      <c r="P33" s="217"/>
      <c r="Q33" s="217"/>
      <c r="R33" s="871">
        <f t="shared" si="10"/>
        <v>890494</v>
      </c>
      <c r="S33" s="217">
        <f t="shared" si="11"/>
        <v>890494</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1">
        <f t="shared" si="10"/>
        <v>0</v>
      </c>
      <c r="S34" s="217">
        <f t="shared" si="11"/>
        <v>0</v>
      </c>
      <c r="T34" s="217"/>
      <c r="U34" s="213"/>
    </row>
    <row r="35" spans="1:21" s="214" customFormat="1">
      <c r="A35" s="215" t="s">
        <v>145</v>
      </c>
      <c r="B35" s="216">
        <f t="shared" si="8"/>
        <v>1073892</v>
      </c>
      <c r="C35" s="217">
        <f>'[10]4%'!$E$51</f>
        <v>1073892</v>
      </c>
      <c r="D35" s="217"/>
      <c r="E35" s="217">
        <f t="shared" si="9"/>
        <v>1073892</v>
      </c>
      <c r="F35" s="217"/>
      <c r="G35" s="217"/>
      <c r="H35" s="217"/>
      <c r="I35" s="217"/>
      <c r="J35" s="217"/>
      <c r="K35" s="217"/>
      <c r="L35" s="217"/>
      <c r="M35" s="217"/>
      <c r="N35" s="217"/>
      <c r="O35" s="217"/>
      <c r="P35" s="217"/>
      <c r="Q35" s="217"/>
      <c r="R35" s="871">
        <f t="shared" si="10"/>
        <v>1073892</v>
      </c>
      <c r="S35" s="217">
        <f t="shared" si="11"/>
        <v>1073892</v>
      </c>
      <c r="T35" s="217"/>
      <c r="U35" s="213"/>
    </row>
    <row r="36" spans="1:21" s="214" customFormat="1">
      <c r="A36" s="1098" t="s">
        <v>1842</v>
      </c>
      <c r="B36" s="216">
        <f t="shared" si="8"/>
        <v>303195</v>
      </c>
      <c r="C36" s="217">
        <f>'[10]4%'!$E$91</f>
        <v>303195</v>
      </c>
      <c r="D36" s="217"/>
      <c r="E36" s="217">
        <f t="shared" si="9"/>
        <v>303195</v>
      </c>
      <c r="F36" s="217"/>
      <c r="G36" s="217"/>
      <c r="H36" s="217"/>
      <c r="I36" s="217"/>
      <c r="J36" s="217"/>
      <c r="K36" s="217"/>
      <c r="L36" s="217"/>
      <c r="M36" s="217"/>
      <c r="N36" s="217"/>
      <c r="O36" s="217"/>
      <c r="P36" s="217"/>
      <c r="Q36" s="217"/>
      <c r="R36" s="871">
        <f t="shared" si="10"/>
        <v>303195</v>
      </c>
      <c r="S36" s="217">
        <f t="shared" si="11"/>
        <v>303195</v>
      </c>
      <c r="T36" s="217"/>
      <c r="U36" s="213"/>
    </row>
    <row r="37" spans="1:21" s="214" customFormat="1">
      <c r="A37" s="222" t="s">
        <v>2606</v>
      </c>
      <c r="B37" s="216">
        <f t="shared" si="8"/>
        <v>500000</v>
      </c>
      <c r="C37" s="217">
        <f>'[10]4%'!$E$32</f>
        <v>500000</v>
      </c>
      <c r="D37" s="217"/>
      <c r="E37" s="217">
        <f t="shared" si="9"/>
        <v>500000</v>
      </c>
      <c r="F37" s="217"/>
      <c r="G37" s="217"/>
      <c r="H37" s="217"/>
      <c r="I37" s="217"/>
      <c r="J37" s="217"/>
      <c r="K37" s="217"/>
      <c r="L37" s="217"/>
      <c r="M37" s="217"/>
      <c r="N37" s="217"/>
      <c r="O37" s="217"/>
      <c r="P37" s="217"/>
      <c r="Q37" s="217"/>
      <c r="R37" s="871">
        <f t="shared" si="10"/>
        <v>500000</v>
      </c>
      <c r="S37" s="217"/>
      <c r="T37" s="217"/>
      <c r="U37" s="213"/>
    </row>
    <row r="38" spans="1:21" s="214" customFormat="1" ht="12">
      <c r="A38" s="219" t="s">
        <v>148</v>
      </c>
      <c r="B38" s="216">
        <f t="shared" si="8"/>
        <v>54242193</v>
      </c>
      <c r="C38" s="216">
        <f>SUM(C29:C37)</f>
        <v>54242193</v>
      </c>
      <c r="D38" s="216">
        <f t="shared" ref="D38:Q38" si="12">SUM(D29:D37)</f>
        <v>0</v>
      </c>
      <c r="E38" s="216">
        <f t="shared" si="12"/>
        <v>17989080</v>
      </c>
      <c r="F38" s="216">
        <f t="shared" si="12"/>
        <v>35253013</v>
      </c>
      <c r="G38" s="216">
        <f t="shared" si="12"/>
        <v>1000000</v>
      </c>
      <c r="H38" s="216">
        <f t="shared" si="12"/>
        <v>0</v>
      </c>
      <c r="I38" s="216">
        <f t="shared" si="12"/>
        <v>100</v>
      </c>
      <c r="J38" s="216">
        <f t="shared" si="12"/>
        <v>0</v>
      </c>
      <c r="K38" s="216">
        <f t="shared" si="12"/>
        <v>0</v>
      </c>
      <c r="L38" s="216">
        <f t="shared" si="12"/>
        <v>0</v>
      </c>
      <c r="M38" s="216">
        <f t="shared" si="12"/>
        <v>0</v>
      </c>
      <c r="N38" s="216">
        <f t="shared" si="12"/>
        <v>0</v>
      </c>
      <c r="O38" s="216">
        <f t="shared" si="12"/>
        <v>0</v>
      </c>
      <c r="P38" s="216">
        <f t="shared" si="12"/>
        <v>0</v>
      </c>
      <c r="Q38" s="216">
        <f t="shared" si="12"/>
        <v>0</v>
      </c>
      <c r="R38" s="527">
        <f>SUM(R29:R37)</f>
        <v>54242193</v>
      </c>
      <c r="S38" s="220">
        <f>SUM(S29:S37)</f>
        <v>53742193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1900000</v>
      </c>
      <c r="C40" s="217">
        <f>'[10]4%'!$E$56</f>
        <v>1900000</v>
      </c>
      <c r="D40" s="217"/>
      <c r="E40" s="217">
        <f t="shared" ref="E40:E41" si="13">B40-SUM(F40:Q40)</f>
        <v>1900000</v>
      </c>
      <c r="F40" s="217"/>
      <c r="G40" s="217"/>
      <c r="H40" s="217"/>
      <c r="I40" s="217"/>
      <c r="J40" s="217"/>
      <c r="K40" s="217"/>
      <c r="L40" s="217"/>
      <c r="M40" s="217"/>
      <c r="N40" s="217"/>
      <c r="O40" s="217"/>
      <c r="P40" s="217"/>
      <c r="Q40" s="217"/>
      <c r="R40" s="871">
        <f>SUM(E40:Q40)</f>
        <v>1900000</v>
      </c>
      <c r="S40" s="217">
        <f>R40</f>
        <v>1900000</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1900000</v>
      </c>
      <c r="C42" s="216">
        <f>SUM(C39:C41)</f>
        <v>1900000</v>
      </c>
      <c r="D42" s="216">
        <f>SUM(D39:D41)</f>
        <v>0</v>
      </c>
      <c r="E42" s="216">
        <f t="shared" ref="E42:T42" si="14">SUM(E40:E41)</f>
        <v>1900000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27">
        <f>SUM(R40:R41)</f>
        <v>1900000</v>
      </c>
      <c r="S42" s="220">
        <f t="shared" si="14"/>
        <v>1900000</v>
      </c>
      <c r="T42" s="220">
        <f t="shared" si="14"/>
        <v>0</v>
      </c>
      <c r="U42" s="213"/>
    </row>
    <row r="43" spans="1:21" s="214" customFormat="1" ht="12">
      <c r="A43" s="219" t="s">
        <v>153</v>
      </c>
      <c r="B43" s="216">
        <f>SUM(C43:D43)</f>
        <v>359075</v>
      </c>
      <c r="C43" s="217">
        <f>'[10]4%'!$E$59</f>
        <v>359075</v>
      </c>
      <c r="D43" s="217"/>
      <c r="E43" s="217">
        <f t="shared" ref="E43:E53" si="15">B43-SUM(F43:Q43)</f>
        <v>359075</v>
      </c>
      <c r="F43" s="217"/>
      <c r="G43" s="217"/>
      <c r="H43" s="217"/>
      <c r="I43" s="217"/>
      <c r="J43" s="217"/>
      <c r="K43" s="217"/>
      <c r="L43" s="217"/>
      <c r="M43" s="217"/>
      <c r="N43" s="217"/>
      <c r="O43" s="217"/>
      <c r="P43" s="217"/>
      <c r="Q43" s="217"/>
      <c r="R43" s="871">
        <f>SUM(E43:Q43)</f>
        <v>359075</v>
      </c>
      <c r="S43" s="217">
        <f>R43</f>
        <v>359075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2113503.7150152293</v>
      </c>
      <c r="C45" s="217">
        <f>'[10]4%'!$E$61</f>
        <v>2113503.7150152293</v>
      </c>
      <c r="D45" s="217"/>
      <c r="E45" s="217">
        <f t="shared" si="15"/>
        <v>2113503.7150152293</v>
      </c>
      <c r="F45" s="217"/>
      <c r="G45" s="217"/>
      <c r="H45" s="217"/>
      <c r="I45" s="217"/>
      <c r="J45" s="217"/>
      <c r="K45" s="217"/>
      <c r="L45" s="217"/>
      <c r="M45" s="217"/>
      <c r="N45" s="217"/>
      <c r="O45" s="217"/>
      <c r="P45" s="217"/>
      <c r="Q45" s="217"/>
      <c r="R45" s="871">
        <f t="shared" ref="R45:R53" si="17">SUM(E45:Q45)</f>
        <v>2113503.7150152293</v>
      </c>
      <c r="S45" s="217">
        <f>'[10]4%'!$H$61</f>
        <v>1295373.2446867535</v>
      </c>
      <c r="T45" s="217"/>
      <c r="U45" s="213"/>
    </row>
    <row r="46" spans="1:21" s="214" customFormat="1">
      <c r="A46" s="215" t="s">
        <v>156</v>
      </c>
      <c r="B46" s="216">
        <f t="shared" si="16"/>
        <v>272710.1567761586</v>
      </c>
      <c r="C46" s="217">
        <f>'[10]4%'!$E$132</f>
        <v>272710.1567761586</v>
      </c>
      <c r="D46" s="217"/>
      <c r="E46" s="217">
        <f t="shared" si="15"/>
        <v>272710.1567761586</v>
      </c>
      <c r="F46" s="217"/>
      <c r="G46" s="217"/>
      <c r="H46" s="217"/>
      <c r="I46" s="217"/>
      <c r="J46" s="217"/>
      <c r="K46" s="217"/>
      <c r="L46" s="217"/>
      <c r="M46" s="217"/>
      <c r="N46" s="217"/>
      <c r="O46" s="217"/>
      <c r="P46" s="217"/>
      <c r="Q46" s="217"/>
      <c r="R46" s="871">
        <f t="shared" si="17"/>
        <v>272710.1567761586</v>
      </c>
      <c r="S46" s="217">
        <f>R46</f>
        <v>272710.1567761586</v>
      </c>
      <c r="T46" s="217"/>
      <c r="U46" s="213"/>
    </row>
    <row r="47" spans="1:21" s="214" customFormat="1">
      <c r="A47" s="297" t="s">
        <v>157</v>
      </c>
      <c r="B47" s="216">
        <f t="shared" si="16"/>
        <v>0</v>
      </c>
      <c r="C47" s="217"/>
      <c r="D47" s="217"/>
      <c r="E47" s="217">
        <f t="shared" si="15"/>
        <v>0</v>
      </c>
      <c r="F47" s="217"/>
      <c r="G47" s="217"/>
      <c r="H47" s="217"/>
      <c r="I47" s="217"/>
      <c r="J47" s="217"/>
      <c r="K47" s="217"/>
      <c r="L47" s="217"/>
      <c r="M47" s="217"/>
      <c r="N47" s="217"/>
      <c r="O47" s="217"/>
      <c r="P47" s="217"/>
      <c r="Q47" s="217"/>
      <c r="R47" s="871">
        <f t="shared" si="17"/>
        <v>0</v>
      </c>
      <c r="S47" s="217"/>
      <c r="T47" s="217"/>
      <c r="U47" s="213"/>
    </row>
    <row r="48" spans="1:21" s="214" customFormat="1">
      <c r="A48" s="215" t="s">
        <v>158</v>
      </c>
      <c r="B48" s="216">
        <f t="shared" si="16"/>
        <v>0</v>
      </c>
      <c r="C48" s="217"/>
      <c r="D48" s="217"/>
      <c r="E48" s="217">
        <f t="shared" si="15"/>
        <v>0</v>
      </c>
      <c r="F48" s="217"/>
      <c r="G48" s="217"/>
      <c r="H48" s="217"/>
      <c r="I48" s="217"/>
      <c r="J48" s="217"/>
      <c r="K48" s="217"/>
      <c r="L48" s="217"/>
      <c r="M48" s="217"/>
      <c r="N48" s="217"/>
      <c r="O48" s="217"/>
      <c r="P48" s="217"/>
      <c r="Q48" s="217"/>
      <c r="R48" s="871">
        <f t="shared" si="17"/>
        <v>0</v>
      </c>
      <c r="S48" s="217"/>
      <c r="T48" s="217"/>
      <c r="U48" s="213"/>
    </row>
    <row r="49" spans="1:21" s="214" customFormat="1">
      <c r="A49" s="215" t="s">
        <v>60</v>
      </c>
      <c r="B49" s="216">
        <f t="shared" si="16"/>
        <v>365095.03983531543</v>
      </c>
      <c r="C49" s="217">
        <f>'[10]4%'!$E$72-C46-C65</f>
        <v>365095.03983531543</v>
      </c>
      <c r="D49" s="217"/>
      <c r="E49" s="217">
        <f t="shared" si="15"/>
        <v>365095.03983531543</v>
      </c>
      <c r="F49" s="217"/>
      <c r="G49" s="217"/>
      <c r="H49" s="217"/>
      <c r="I49" s="217"/>
      <c r="J49" s="217"/>
      <c r="K49" s="217"/>
      <c r="L49" s="217"/>
      <c r="M49" s="217"/>
      <c r="N49" s="217"/>
      <c r="O49" s="217"/>
      <c r="P49" s="217"/>
      <c r="Q49" s="217"/>
      <c r="R49" s="871">
        <f t="shared" si="17"/>
        <v>365095.03983531543</v>
      </c>
      <c r="S49" s="217"/>
      <c r="T49" s="217"/>
      <c r="U49" s="213"/>
    </row>
    <row r="50" spans="1:21" s="214" customFormat="1">
      <c r="A50" s="215" t="s">
        <v>161</v>
      </c>
      <c r="B50" s="216">
        <f t="shared" si="16"/>
        <v>60000</v>
      </c>
      <c r="C50" s="217">
        <f>'[10]4%'!$E$68</f>
        <v>60000</v>
      </c>
      <c r="D50" s="217"/>
      <c r="E50" s="217">
        <f t="shared" si="15"/>
        <v>60000</v>
      </c>
      <c r="F50" s="217"/>
      <c r="G50" s="217"/>
      <c r="H50" s="217"/>
      <c r="I50" s="217"/>
      <c r="J50" s="217"/>
      <c r="K50" s="217"/>
      <c r="L50" s="217"/>
      <c r="M50" s="217"/>
      <c r="N50" s="217"/>
      <c r="O50" s="217"/>
      <c r="P50" s="217"/>
      <c r="Q50" s="217"/>
      <c r="R50" s="871">
        <f t="shared" si="17"/>
        <v>60000</v>
      </c>
      <c r="S50" s="217">
        <f>R50</f>
        <v>60000</v>
      </c>
      <c r="T50" s="217"/>
      <c r="U50" s="213"/>
    </row>
    <row r="51" spans="1:21" s="214" customFormat="1">
      <c r="A51" s="437" t="s">
        <v>159</v>
      </c>
      <c r="B51" s="216">
        <f t="shared" si="16"/>
        <v>0</v>
      </c>
      <c r="C51" s="217">
        <f>'[10]4%'!$E$65</f>
        <v>0</v>
      </c>
      <c r="D51" s="217"/>
      <c r="E51" s="217">
        <f t="shared" si="15"/>
        <v>0</v>
      </c>
      <c r="F51" s="217"/>
      <c r="G51" s="217"/>
      <c r="H51" s="217"/>
      <c r="I51" s="217"/>
      <c r="J51" s="217"/>
      <c r="K51" s="217"/>
      <c r="L51" s="217"/>
      <c r="M51" s="217"/>
      <c r="N51" s="217"/>
      <c r="O51" s="217"/>
      <c r="P51" s="217"/>
      <c r="Q51" s="217"/>
      <c r="R51" s="871">
        <f t="shared" si="17"/>
        <v>0</v>
      </c>
      <c r="S51" s="217"/>
      <c r="T51" s="217"/>
      <c r="U51" s="213"/>
    </row>
    <row r="52" spans="1:21" s="214" customFormat="1">
      <c r="A52" s="215" t="s">
        <v>160</v>
      </c>
      <c r="B52" s="216">
        <f t="shared" si="16"/>
        <v>207340.17563700001</v>
      </c>
      <c r="C52" s="217">
        <f>'[10]4%'!$E$66</f>
        <v>207340.17563700001</v>
      </c>
      <c r="D52" s="217"/>
      <c r="E52" s="217">
        <f t="shared" si="15"/>
        <v>207340.17563700001</v>
      </c>
      <c r="F52" s="217"/>
      <c r="G52" s="217"/>
      <c r="H52" s="217"/>
      <c r="I52" s="217"/>
      <c r="J52" s="217"/>
      <c r="K52" s="217"/>
      <c r="L52" s="217"/>
      <c r="M52" s="217"/>
      <c r="N52" s="217"/>
      <c r="O52" s="217"/>
      <c r="P52" s="217"/>
      <c r="Q52" s="217"/>
      <c r="R52" s="871">
        <f t="shared" si="17"/>
        <v>207340.17563700001</v>
      </c>
      <c r="S52" s="217">
        <f>R52</f>
        <v>207340.17563700001</v>
      </c>
      <c r="T52" s="217"/>
      <c r="U52" s="213"/>
    </row>
    <row r="53" spans="1:21" s="214" customFormat="1">
      <c r="A53" s="222" t="s">
        <v>2607</v>
      </c>
      <c r="B53" s="216">
        <f t="shared" si="16"/>
        <v>747762.25491082715</v>
      </c>
      <c r="C53" s="217">
        <f>'[10]4%'!$E$64</f>
        <v>747762.25491082715</v>
      </c>
      <c r="D53" s="217"/>
      <c r="E53" s="217">
        <f t="shared" si="15"/>
        <v>0</v>
      </c>
      <c r="F53" s="217"/>
      <c r="G53" s="217"/>
      <c r="H53" s="217">
        <f>Application!AO639</f>
        <v>747762.25491082715</v>
      </c>
      <c r="I53" s="217"/>
      <c r="J53" s="217"/>
      <c r="K53" s="217"/>
      <c r="L53" s="217"/>
      <c r="M53" s="217"/>
      <c r="N53" s="217"/>
      <c r="O53" s="217"/>
      <c r="P53" s="217"/>
      <c r="Q53" s="217"/>
      <c r="R53" s="871">
        <f t="shared" si="17"/>
        <v>747762.25491082715</v>
      </c>
      <c r="S53" s="217">
        <f>R53</f>
        <v>747762.25491082715</v>
      </c>
      <c r="T53" s="217"/>
      <c r="U53" s="213"/>
    </row>
    <row r="54" spans="1:21" s="224" customFormat="1" ht="12">
      <c r="A54" s="219" t="s">
        <v>162</v>
      </c>
      <c r="B54" s="220">
        <f>SUM(C54:D54)</f>
        <v>3766411.3421745305</v>
      </c>
      <c r="C54" s="220">
        <f t="shared" ref="C54:T54" si="18">SUM(C45:C53)</f>
        <v>3766411.3421745305</v>
      </c>
      <c r="D54" s="220">
        <f t="shared" si="18"/>
        <v>0</v>
      </c>
      <c r="E54" s="220">
        <f t="shared" si="18"/>
        <v>3018649.0872637033</v>
      </c>
      <c r="F54" s="220">
        <f t="shared" si="18"/>
        <v>0</v>
      </c>
      <c r="G54" s="220">
        <f t="shared" si="18"/>
        <v>0</v>
      </c>
      <c r="H54" s="220">
        <f t="shared" si="18"/>
        <v>747762.25491082715</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3766411.3421745305</v>
      </c>
      <c r="S54" s="220">
        <f t="shared" si="18"/>
        <v>2583185.8320107395</v>
      </c>
      <c r="T54" s="220">
        <f t="shared" si="18"/>
        <v>0</v>
      </c>
      <c r="U54" s="223"/>
    </row>
    <row r="55" spans="1:21" s="214" customFormat="1">
      <c r="A55" s="211" t="s">
        <v>433</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B56-SUM(F56:Q56)</f>
        <v>0</v>
      </c>
      <c r="F56" s="217"/>
      <c r="G56" s="217"/>
      <c r="H56" s="217"/>
      <c r="I56" s="217"/>
      <c r="J56" s="217"/>
      <c r="K56" s="217"/>
      <c r="L56" s="217"/>
      <c r="M56" s="217"/>
      <c r="N56" s="217"/>
      <c r="O56" s="217"/>
      <c r="P56" s="217"/>
      <c r="Q56" s="217"/>
      <c r="R56" s="871">
        <f t="shared" ref="R56:R61" si="21">SUM(E56:Q56)</f>
        <v>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1">
        <f t="shared" si="21"/>
        <v>0</v>
      </c>
      <c r="S57" s="305"/>
      <c r="T57" s="305"/>
      <c r="U57" s="302"/>
    </row>
    <row r="58" spans="1:21" s="214" customFormat="1">
      <c r="A58" s="215" t="s">
        <v>161</v>
      </c>
      <c r="B58" s="216">
        <f t="shared" si="19"/>
        <v>10000</v>
      </c>
      <c r="C58" s="217">
        <f>'[10]4%'!$E$73</f>
        <v>10000</v>
      </c>
      <c r="D58" s="217"/>
      <c r="E58" s="217">
        <f t="shared" si="20"/>
        <v>10000</v>
      </c>
      <c r="F58" s="217"/>
      <c r="G58" s="217"/>
      <c r="H58" s="217"/>
      <c r="I58" s="217"/>
      <c r="J58" s="217"/>
      <c r="K58" s="217"/>
      <c r="L58" s="217"/>
      <c r="M58" s="217"/>
      <c r="N58" s="217"/>
      <c r="O58" s="217"/>
      <c r="P58" s="217"/>
      <c r="Q58" s="217"/>
      <c r="R58" s="871">
        <f t="shared" si="21"/>
        <v>10000</v>
      </c>
      <c r="S58" s="218"/>
      <c r="T58" s="218"/>
      <c r="U58" s="213"/>
    </row>
    <row r="59" spans="1:21" s="214" customFormat="1">
      <c r="A59" s="437" t="s">
        <v>159</v>
      </c>
      <c r="B59" s="216">
        <f t="shared" si="19"/>
        <v>0</v>
      </c>
      <c r="C59" s="217"/>
      <c r="D59" s="217"/>
      <c r="E59" s="217">
        <f t="shared" si="20"/>
        <v>0</v>
      </c>
      <c r="F59" s="217"/>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1">
        <f t="shared" si="21"/>
        <v>0</v>
      </c>
      <c r="S60" s="218"/>
      <c r="T60" s="218"/>
      <c r="U60" s="213"/>
    </row>
    <row r="61" spans="1:21" s="214" customFormat="1">
      <c r="A61" s="222" t="s">
        <v>2608</v>
      </c>
      <c r="B61" s="216">
        <f t="shared" si="19"/>
        <v>65000</v>
      </c>
      <c r="C61" s="217">
        <f>'[10]4%'!$E$74</f>
        <v>65000</v>
      </c>
      <c r="D61" s="217"/>
      <c r="E61" s="217">
        <f t="shared" si="20"/>
        <v>65000</v>
      </c>
      <c r="F61" s="217"/>
      <c r="G61" s="217"/>
      <c r="H61" s="217"/>
      <c r="I61" s="217"/>
      <c r="J61" s="217"/>
      <c r="K61" s="217"/>
      <c r="L61" s="217"/>
      <c r="M61" s="217"/>
      <c r="N61" s="217"/>
      <c r="O61" s="217"/>
      <c r="P61" s="217"/>
      <c r="Q61" s="217"/>
      <c r="R61" s="871">
        <f t="shared" si="21"/>
        <v>65000</v>
      </c>
      <c r="S61" s="218"/>
      <c r="T61" s="218"/>
      <c r="U61" s="213"/>
    </row>
    <row r="62" spans="1:21" s="214" customFormat="1" ht="13.65" customHeight="1">
      <c r="A62" s="219" t="s">
        <v>306</v>
      </c>
      <c r="B62" s="216">
        <f>SUM(C62:D62)</f>
        <v>75000</v>
      </c>
      <c r="C62" s="216">
        <f t="shared" ref="C62:R62" si="22">SUM(C56:C61)</f>
        <v>75000</v>
      </c>
      <c r="D62" s="216">
        <f t="shared" si="22"/>
        <v>0</v>
      </c>
      <c r="E62" s="216">
        <f t="shared" si="22"/>
        <v>75000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75000</v>
      </c>
      <c r="S62" s="218"/>
      <c r="T62" s="218"/>
      <c r="U62" s="213"/>
    </row>
    <row r="63" spans="1:21" s="214" customFormat="1">
      <c r="A63" s="225" t="s">
        <v>307</v>
      </c>
      <c r="B63" s="216">
        <f t="shared" ref="B63:R63" si="23">SUM(B8+B11+B13+B14+B15+B26+B27+B38+B42+B43+B54+B62)</f>
        <v>60407679.34217453</v>
      </c>
      <c r="C63" s="216">
        <f t="shared" si="23"/>
        <v>60407679.34217453</v>
      </c>
      <c r="D63" s="216">
        <f t="shared" si="23"/>
        <v>0</v>
      </c>
      <c r="E63" s="216">
        <f t="shared" si="23"/>
        <v>23406804.087263703</v>
      </c>
      <c r="F63" s="216">
        <f t="shared" si="23"/>
        <v>35253013</v>
      </c>
      <c r="G63" s="216">
        <f t="shared" si="23"/>
        <v>1000000</v>
      </c>
      <c r="H63" s="216">
        <f t="shared" si="23"/>
        <v>747762.25491082715</v>
      </c>
      <c r="I63" s="216">
        <f t="shared" si="23"/>
        <v>100</v>
      </c>
      <c r="J63" s="216">
        <f t="shared" si="23"/>
        <v>0</v>
      </c>
      <c r="K63" s="216">
        <f t="shared" si="23"/>
        <v>0</v>
      </c>
      <c r="L63" s="216">
        <f t="shared" si="23"/>
        <v>0</v>
      </c>
      <c r="M63" s="216">
        <f t="shared" si="23"/>
        <v>0</v>
      </c>
      <c r="N63" s="216">
        <f t="shared" si="23"/>
        <v>0</v>
      </c>
      <c r="O63" s="216">
        <f t="shared" si="23"/>
        <v>0</v>
      </c>
      <c r="P63" s="216">
        <f t="shared" si="23"/>
        <v>0</v>
      </c>
      <c r="Q63" s="216">
        <f t="shared" si="23"/>
        <v>0</v>
      </c>
      <c r="R63" s="527">
        <f t="shared" si="23"/>
        <v>60407679.34217453</v>
      </c>
      <c r="S63" s="216">
        <f>SUM(S10+S13+S14+S15+S26+S27+S38+S42+S43+S54)</f>
        <v>58634453.832010739</v>
      </c>
      <c r="T63" s="216">
        <f>SUM(T11+T13+T14+T15+T26+T27+T38+T42+T43+T54)</f>
        <v>0</v>
      </c>
      <c r="U63" s="213"/>
    </row>
    <row r="64" spans="1:21" s="214" customFormat="1" ht="22.8">
      <c r="A64" s="211" t="s">
        <v>1846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65000</v>
      </c>
      <c r="C65" s="217">
        <f>'[10]4%'!$E$123</f>
        <v>65000</v>
      </c>
      <c r="D65" s="217"/>
      <c r="E65" s="217">
        <f t="shared" ref="E65:E69" si="24">B65-SUM(F65:Q65)</f>
        <v>65000</v>
      </c>
      <c r="F65" s="217"/>
      <c r="G65" s="217"/>
      <c r="H65" s="217"/>
      <c r="I65" s="217"/>
      <c r="J65" s="217"/>
      <c r="K65" s="217"/>
      <c r="L65" s="217"/>
      <c r="M65" s="217"/>
      <c r="N65" s="217"/>
      <c r="O65" s="217"/>
      <c r="P65" s="217"/>
      <c r="Q65" s="217"/>
      <c r="R65" s="871">
        <f>SUM(E65:Q65)</f>
        <v>65000</v>
      </c>
      <c r="S65" s="217">
        <f>R65</f>
        <v>65000</v>
      </c>
      <c r="T65" s="217"/>
      <c r="U65" s="213"/>
    </row>
    <row r="66" spans="1:21" s="214" customFormat="1" ht="24" customHeight="1">
      <c r="A66" s="437" t="s">
        <v>1843</v>
      </c>
      <c r="B66" s="216">
        <f t="shared" ref="B66:B69" si="25">SUM(C66+D66)</f>
        <v>0</v>
      </c>
      <c r="C66" s="217"/>
      <c r="D66" s="217"/>
      <c r="E66" s="217">
        <f t="shared" si="24"/>
        <v>0</v>
      </c>
      <c r="F66" s="217"/>
      <c r="G66" s="217"/>
      <c r="H66" s="217"/>
      <c r="I66" s="217"/>
      <c r="J66" s="217"/>
      <c r="K66" s="217"/>
      <c r="L66" s="217"/>
      <c r="M66" s="217"/>
      <c r="N66" s="217"/>
      <c r="O66" s="217"/>
      <c r="P66" s="217"/>
      <c r="Q66" s="217"/>
      <c r="R66" s="871">
        <f t="shared" ref="R66:R68" si="26">SUM(E66:Q66)</f>
        <v>0</v>
      </c>
      <c r="S66" s="217"/>
      <c r="T66" s="217"/>
      <c r="U66" s="213"/>
    </row>
    <row r="67" spans="1:21" s="214" customFormat="1" ht="24" customHeight="1">
      <c r="A67" s="437" t="s">
        <v>1844</v>
      </c>
      <c r="B67" s="216">
        <f t="shared" si="25"/>
        <v>0</v>
      </c>
      <c r="C67" s="217"/>
      <c r="D67" s="217"/>
      <c r="E67" s="217">
        <f t="shared" si="24"/>
        <v>0</v>
      </c>
      <c r="F67" s="217"/>
      <c r="G67" s="217"/>
      <c r="H67" s="217"/>
      <c r="I67" s="217"/>
      <c r="J67" s="217"/>
      <c r="K67" s="217"/>
      <c r="L67" s="217"/>
      <c r="M67" s="217"/>
      <c r="N67" s="217"/>
      <c r="O67" s="217"/>
      <c r="P67" s="217"/>
      <c r="Q67" s="217"/>
      <c r="R67" s="871">
        <f t="shared" si="26"/>
        <v>0</v>
      </c>
      <c r="S67" s="217"/>
      <c r="T67" s="217"/>
      <c r="U67" s="213"/>
    </row>
    <row r="68" spans="1:21" s="214" customFormat="1" ht="12" customHeight="1">
      <c r="A68" s="437" t="s">
        <v>1850</v>
      </c>
      <c r="B68" s="216">
        <f t="shared" si="25"/>
        <v>0</v>
      </c>
      <c r="C68" s="217"/>
      <c r="D68" s="217"/>
      <c r="E68" s="217">
        <f t="shared" si="24"/>
        <v>0</v>
      </c>
      <c r="F68" s="217"/>
      <c r="G68" s="217"/>
      <c r="H68" s="217"/>
      <c r="I68" s="217"/>
      <c r="J68" s="217"/>
      <c r="K68" s="217"/>
      <c r="L68" s="217"/>
      <c r="M68" s="217"/>
      <c r="N68" s="217"/>
      <c r="O68" s="217"/>
      <c r="P68" s="217"/>
      <c r="Q68" s="217"/>
      <c r="R68" s="871">
        <f t="shared" si="26"/>
        <v>0</v>
      </c>
      <c r="S68" s="217"/>
      <c r="T68" s="217"/>
      <c r="U68" s="213"/>
    </row>
    <row r="69" spans="1:21" s="214" customFormat="1">
      <c r="A69" s="222" t="s">
        <v>2609</v>
      </c>
      <c r="B69" s="216">
        <f t="shared" si="25"/>
        <v>100000</v>
      </c>
      <c r="C69" s="217">
        <f>'[10]4%'!$E$79</f>
        <v>100000</v>
      </c>
      <c r="D69" s="217"/>
      <c r="E69" s="217">
        <f t="shared" si="24"/>
        <v>100000</v>
      </c>
      <c r="F69" s="217"/>
      <c r="G69" s="217"/>
      <c r="H69" s="217"/>
      <c r="I69" s="217"/>
      <c r="J69" s="217"/>
      <c r="K69" s="217"/>
      <c r="L69" s="217"/>
      <c r="M69" s="217"/>
      <c r="N69" s="217"/>
      <c r="O69" s="217"/>
      <c r="P69" s="217"/>
      <c r="Q69" s="217"/>
      <c r="R69" s="871">
        <f>SUM(E69:Q69)</f>
        <v>100000</v>
      </c>
      <c r="S69" s="217">
        <f>R69</f>
        <v>100000</v>
      </c>
      <c r="T69" s="217"/>
      <c r="U69" s="213"/>
    </row>
    <row r="70" spans="1:21" s="214" customFormat="1" ht="12">
      <c r="A70" s="219" t="s">
        <v>1847</v>
      </c>
      <c r="B70" s="216">
        <f>SUM(C70:D70)</f>
        <v>165000</v>
      </c>
      <c r="C70" s="216">
        <f>SUM(C65:C69)</f>
        <v>165000</v>
      </c>
      <c r="D70" s="216">
        <f>SUM(D65:D69)</f>
        <v>0</v>
      </c>
      <c r="E70" s="216">
        <f t="shared" ref="E70:T70" si="27">SUM(E65:E69)</f>
        <v>165000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27">
        <f t="shared" si="27"/>
        <v>165000</v>
      </c>
      <c r="S70" s="220">
        <f t="shared" si="27"/>
        <v>165000</v>
      </c>
      <c r="T70" s="220">
        <f t="shared" si="27"/>
        <v>0</v>
      </c>
      <c r="U70" s="213"/>
    </row>
    <row r="71" spans="1:21" s="214" customFormat="1">
      <c r="A71" s="211" t="s">
        <v>626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627</v>
      </c>
      <c r="B72" s="216">
        <f>SUM(C72+D72)</f>
        <v>0</v>
      </c>
      <c r="C72" s="217"/>
      <c r="D72" s="217"/>
      <c r="E72" s="217">
        <f t="shared" ref="E72:E76" si="28">B72-SUM(F72:Q72)</f>
        <v>0</v>
      </c>
      <c r="F72" s="217"/>
      <c r="G72" s="217"/>
      <c r="H72" s="217"/>
      <c r="I72" s="217"/>
      <c r="J72" s="217"/>
      <c r="K72" s="217"/>
      <c r="L72" s="217"/>
      <c r="M72" s="217"/>
      <c r="N72" s="217"/>
      <c r="O72" s="217"/>
      <c r="P72" s="217"/>
      <c r="Q72" s="217"/>
      <c r="R72" s="871">
        <f>SUM(E72:Q72)</f>
        <v>0</v>
      </c>
      <c r="S72" s="218"/>
      <c r="T72" s="218"/>
      <c r="U72" s="213"/>
    </row>
    <row r="73" spans="1:21" s="214" customFormat="1">
      <c r="A73" s="215" t="s">
        <v>628</v>
      </c>
      <c r="B73" s="216">
        <f>SUM(C73+D73)</f>
        <v>0</v>
      </c>
      <c r="C73" s="217"/>
      <c r="D73" s="217"/>
      <c r="E73" s="217">
        <f t="shared" si="28"/>
        <v>0</v>
      </c>
      <c r="F73" s="217"/>
      <c r="G73" s="217"/>
      <c r="H73" s="217"/>
      <c r="I73" s="217"/>
      <c r="J73" s="217"/>
      <c r="K73" s="217"/>
      <c r="L73" s="217"/>
      <c r="M73" s="217"/>
      <c r="N73" s="217"/>
      <c r="O73" s="217"/>
      <c r="P73" s="217"/>
      <c r="Q73" s="217"/>
      <c r="R73" s="871">
        <f>SUM(E73:Q73)</f>
        <v>0</v>
      </c>
      <c r="S73" s="218"/>
      <c r="T73" s="218"/>
      <c r="U73" s="213"/>
    </row>
    <row r="74" spans="1:21" s="214" customFormat="1">
      <c r="A74" s="730" t="s">
        <v>1055</v>
      </c>
      <c r="B74" s="216">
        <f>SUM(C74+D74)</f>
        <v>0</v>
      </c>
      <c r="C74" s="217"/>
      <c r="D74" s="217"/>
      <c r="E74" s="217">
        <f t="shared" si="28"/>
        <v>0</v>
      </c>
      <c r="F74" s="217"/>
      <c r="G74" s="217"/>
      <c r="H74" s="217"/>
      <c r="I74" s="217"/>
      <c r="J74" s="217"/>
      <c r="K74" s="217"/>
      <c r="L74" s="217"/>
      <c r="M74" s="217"/>
      <c r="N74" s="217"/>
      <c r="O74" s="217"/>
      <c r="P74" s="217"/>
      <c r="Q74" s="217"/>
      <c r="R74" s="871">
        <f>SUM(E74:Q74)</f>
        <v>0</v>
      </c>
      <c r="S74" s="218"/>
      <c r="T74" s="218"/>
      <c r="U74" s="213"/>
    </row>
    <row r="75" spans="1:21" s="214" customFormat="1">
      <c r="A75" s="215" t="s">
        <v>629</v>
      </c>
      <c r="B75" s="216">
        <f>SUM(C75+D75)</f>
        <v>366025.33333333331</v>
      </c>
      <c r="C75" s="217">
        <f>'[10]4%'!$E$82</f>
        <v>366025.33333333331</v>
      </c>
      <c r="D75" s="217"/>
      <c r="E75" s="217">
        <f t="shared" si="28"/>
        <v>366025.33333333331</v>
      </c>
      <c r="F75" s="217"/>
      <c r="G75" s="217"/>
      <c r="H75" s="217"/>
      <c r="I75" s="217"/>
      <c r="J75" s="217"/>
      <c r="K75" s="217"/>
      <c r="L75" s="217"/>
      <c r="M75" s="217"/>
      <c r="N75" s="217"/>
      <c r="O75" s="217"/>
      <c r="P75" s="217"/>
      <c r="Q75" s="217"/>
      <c r="R75" s="871">
        <f>SUM(E75:Q75)</f>
        <v>366025.33333333331</v>
      </c>
      <c r="S75" s="218"/>
      <c r="T75" s="218"/>
      <c r="U75" s="213"/>
    </row>
    <row r="76" spans="1:21" s="214" customFormat="1">
      <c r="A76" s="222" t="s">
        <v>2610</v>
      </c>
      <c r="B76" s="216">
        <f>SUM(C76+D76)</f>
        <v>620000</v>
      </c>
      <c r="C76" s="217">
        <f>'[10]4%'!$E$85</f>
        <v>620000</v>
      </c>
      <c r="D76" s="217"/>
      <c r="E76" s="217">
        <f t="shared" si="28"/>
        <v>620000</v>
      </c>
      <c r="F76" s="217"/>
      <c r="G76" s="217"/>
      <c r="H76" s="217"/>
      <c r="I76" s="217"/>
      <c r="J76" s="217"/>
      <c r="K76" s="217"/>
      <c r="L76" s="217"/>
      <c r="M76" s="217"/>
      <c r="N76" s="217"/>
      <c r="O76" s="217"/>
      <c r="P76" s="217"/>
      <c r="Q76" s="217"/>
      <c r="R76" s="871">
        <f>SUM(E76:Q76)</f>
        <v>620000</v>
      </c>
      <c r="S76" s="218"/>
      <c r="T76" s="218"/>
      <c r="U76" s="213"/>
    </row>
    <row r="77" spans="1:21" s="214" customFormat="1" ht="12">
      <c r="A77" s="219" t="s">
        <v>630</v>
      </c>
      <c r="B77" s="216">
        <f>SUM(C77:D77)</f>
        <v>986025.33333333326</v>
      </c>
      <c r="C77" s="216">
        <f>SUM(C72:C76)</f>
        <v>986025.33333333326</v>
      </c>
      <c r="D77" s="216">
        <f>SUM(D72:D76)</f>
        <v>0</v>
      </c>
      <c r="E77" s="216">
        <f t="shared" ref="E77:Q77" si="29">SUM(E72:E76)</f>
        <v>986025.33333333326</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27">
        <f>SUM(R72:R76)</f>
        <v>986025.33333333326</v>
      </c>
      <c r="S77" s="218"/>
      <c r="T77" s="218"/>
      <c r="U77" s="213"/>
    </row>
    <row r="78" spans="1:21" s="214" customFormat="1">
      <c r="A78" s="211" t="s">
        <v>1371</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1373</v>
      </c>
      <c r="B79" s="216">
        <f>SUM(C79:D79)</f>
        <v>2388763.6</v>
      </c>
      <c r="C79" s="217">
        <f>'[10]4%'!$E$88</f>
        <v>2388763.6</v>
      </c>
      <c r="D79" s="217"/>
      <c r="E79" s="217">
        <f t="shared" ref="E79:E80" si="30">B79-SUM(F79:Q79)</f>
        <v>2388763.6</v>
      </c>
      <c r="F79" s="217"/>
      <c r="G79" s="217"/>
      <c r="H79" s="217"/>
      <c r="I79" s="217"/>
      <c r="J79" s="217"/>
      <c r="K79" s="217"/>
      <c r="L79" s="217"/>
      <c r="M79" s="217"/>
      <c r="N79" s="217"/>
      <c r="O79" s="217"/>
      <c r="P79" s="217"/>
      <c r="Q79" s="217"/>
      <c r="R79" s="871">
        <f>SUM(E79:Q79)</f>
        <v>2388763.6</v>
      </c>
      <c r="S79" s="217">
        <f>R79</f>
        <v>2388763.6</v>
      </c>
      <c r="T79" s="217"/>
      <c r="U79" s="213"/>
    </row>
    <row r="80" spans="1:21" s="214" customFormat="1">
      <c r="A80" s="437" t="s">
        <v>61</v>
      </c>
      <c r="B80" s="216">
        <f>SUM(C80:D80)</f>
        <v>703953.49844673276</v>
      </c>
      <c r="C80" s="217">
        <f>'[10]4%'!$E$99</f>
        <v>703953.49844673276</v>
      </c>
      <c r="D80" s="217"/>
      <c r="E80" s="217">
        <f t="shared" si="30"/>
        <v>703953.49844673276</v>
      </c>
      <c r="F80" s="217"/>
      <c r="G80" s="217"/>
      <c r="H80" s="217"/>
      <c r="I80" s="217"/>
      <c r="J80" s="217"/>
      <c r="K80" s="217"/>
      <c r="L80" s="217"/>
      <c r="M80" s="217"/>
      <c r="N80" s="217"/>
      <c r="O80" s="217"/>
      <c r="P80" s="217"/>
      <c r="Q80" s="217"/>
      <c r="R80" s="871">
        <f>SUM(E80:Q80)</f>
        <v>703953.49844673276</v>
      </c>
      <c r="S80" s="217">
        <f>R80</f>
        <v>703953.49844673276</v>
      </c>
      <c r="T80" s="217"/>
      <c r="U80" s="213"/>
    </row>
    <row r="81" spans="1:21" s="214" customFormat="1" ht="12">
      <c r="A81" s="219" t="s">
        <v>1370</v>
      </c>
      <c r="B81" s="216">
        <f>SUM(C81:D81)</f>
        <v>3092717.0984467329</v>
      </c>
      <c r="C81" s="851">
        <f>SUM(C79:C80)</f>
        <v>3092717.0984467329</v>
      </c>
      <c r="D81" s="851">
        <f t="shared" ref="D81:T81" si="31">SUM(D79:D80)</f>
        <v>0</v>
      </c>
      <c r="E81" s="851">
        <f t="shared" si="31"/>
        <v>3092717.0984467329</v>
      </c>
      <c r="F81" s="851">
        <f t="shared" si="31"/>
        <v>0</v>
      </c>
      <c r="G81" s="851">
        <f t="shared" si="31"/>
        <v>0</v>
      </c>
      <c r="H81" s="851">
        <f t="shared" si="31"/>
        <v>0</v>
      </c>
      <c r="I81" s="851">
        <f t="shared" si="31"/>
        <v>0</v>
      </c>
      <c r="J81" s="851">
        <f t="shared" si="31"/>
        <v>0</v>
      </c>
      <c r="K81" s="851">
        <f t="shared" si="31"/>
        <v>0</v>
      </c>
      <c r="L81" s="851">
        <f t="shared" si="31"/>
        <v>0</v>
      </c>
      <c r="M81" s="851">
        <f t="shared" si="31"/>
        <v>0</v>
      </c>
      <c r="N81" s="851">
        <f t="shared" si="31"/>
        <v>0</v>
      </c>
      <c r="O81" s="851">
        <f t="shared" si="31"/>
        <v>0</v>
      </c>
      <c r="P81" s="851">
        <f t="shared" si="31"/>
        <v>0</v>
      </c>
      <c r="Q81" s="851">
        <f t="shared" si="31"/>
        <v>0</v>
      </c>
      <c r="R81" s="851">
        <f t="shared" si="31"/>
        <v>3092717.0984467329</v>
      </c>
      <c r="S81" s="851">
        <f t="shared" si="31"/>
        <v>3092717.0984467329</v>
      </c>
      <c r="T81" s="851">
        <f t="shared" si="31"/>
        <v>0</v>
      </c>
      <c r="U81" s="213"/>
    </row>
    <row r="82" spans="1:21" s="214" customFormat="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2739</v>
      </c>
      <c r="B83" s="216">
        <f t="shared" ref="B83:B95" si="32">SUM(C83+D83)</f>
        <v>65666.826963837884</v>
      </c>
      <c r="C83" s="217">
        <f>'[10]4%'!$E$90</f>
        <v>65666.826963837884</v>
      </c>
      <c r="D83" s="217"/>
      <c r="E83" s="217">
        <f t="shared" ref="E83:E95" si="33">B83-SUM(F83:Q83)</f>
        <v>65666.826963837884</v>
      </c>
      <c r="F83" s="217"/>
      <c r="G83" s="217"/>
      <c r="H83" s="217"/>
      <c r="I83" s="217"/>
      <c r="J83" s="217"/>
      <c r="K83" s="217"/>
      <c r="L83" s="217"/>
      <c r="M83" s="217"/>
      <c r="N83" s="217"/>
      <c r="O83" s="217"/>
      <c r="P83" s="217"/>
      <c r="Q83" s="217"/>
      <c r="R83" s="871">
        <f t="shared" ref="R83:R95" si="34">SUM(E83:Q83)</f>
        <v>65666.826963837884</v>
      </c>
      <c r="S83" s="218"/>
      <c r="T83" s="218"/>
      <c r="U83" s="213"/>
    </row>
    <row r="84" spans="1:21" s="214" customFormat="1">
      <c r="A84" s="215" t="s">
        <v>806</v>
      </c>
      <c r="B84" s="216">
        <f t="shared" si="32"/>
        <v>250000</v>
      </c>
      <c r="C84" s="217">
        <f>'[10]4%'!$E$92</f>
        <v>250000</v>
      </c>
      <c r="D84" s="217"/>
      <c r="E84" s="217">
        <f t="shared" si="33"/>
        <v>250000</v>
      </c>
      <c r="F84" s="217"/>
      <c r="G84" s="217"/>
      <c r="H84" s="217"/>
      <c r="I84" s="217"/>
      <c r="J84" s="217"/>
      <c r="K84" s="217"/>
      <c r="L84" s="217"/>
      <c r="M84" s="217"/>
      <c r="N84" s="217"/>
      <c r="O84" s="217"/>
      <c r="P84" s="217"/>
      <c r="Q84" s="217"/>
      <c r="R84" s="871">
        <f t="shared" si="34"/>
        <v>250000</v>
      </c>
      <c r="S84" s="217">
        <f>R84</f>
        <v>250000</v>
      </c>
      <c r="T84" s="217"/>
      <c r="U84" s="213"/>
    </row>
    <row r="85" spans="1:21" s="214" customFormat="1">
      <c r="A85" s="215" t="s">
        <v>807</v>
      </c>
      <c r="B85" s="216">
        <f t="shared" si="32"/>
        <v>445853</v>
      </c>
      <c r="C85" s="217">
        <f>'[10]4%'!$E$93</f>
        <v>445853</v>
      </c>
      <c r="D85" s="217"/>
      <c r="E85" s="217">
        <f t="shared" si="33"/>
        <v>445853</v>
      </c>
      <c r="F85" s="217"/>
      <c r="G85" s="217"/>
      <c r="H85" s="217"/>
      <c r="I85" s="217"/>
      <c r="J85" s="217"/>
      <c r="K85" s="217"/>
      <c r="L85" s="217"/>
      <c r="M85" s="217"/>
      <c r="N85" s="217"/>
      <c r="O85" s="217"/>
      <c r="P85" s="217"/>
      <c r="Q85" s="217"/>
      <c r="R85" s="871">
        <f t="shared" si="34"/>
        <v>445853</v>
      </c>
      <c r="S85" s="217">
        <f>R85</f>
        <v>445853</v>
      </c>
      <c r="T85" s="217"/>
      <c r="U85" s="213"/>
    </row>
    <row r="86" spans="1:21" s="214" customFormat="1">
      <c r="A86" s="215" t="s">
        <v>808</v>
      </c>
      <c r="B86" s="216">
        <f t="shared" si="32"/>
        <v>338951</v>
      </c>
      <c r="C86" s="217">
        <f>'[10]4%'!$E$94</f>
        <v>338951</v>
      </c>
      <c r="D86" s="217"/>
      <c r="E86" s="217">
        <f t="shared" si="33"/>
        <v>338951</v>
      </c>
      <c r="F86" s="217"/>
      <c r="G86" s="217"/>
      <c r="H86" s="217"/>
      <c r="I86" s="217"/>
      <c r="J86" s="217"/>
      <c r="K86" s="217"/>
      <c r="L86" s="217"/>
      <c r="M86" s="217"/>
      <c r="N86" s="217"/>
      <c r="O86" s="217"/>
      <c r="P86" s="217"/>
      <c r="Q86" s="217"/>
      <c r="R86" s="871">
        <f t="shared" si="34"/>
        <v>338951</v>
      </c>
      <c r="S86" s="217">
        <f t="shared" ref="S86:S87" si="35">R86</f>
        <v>338951</v>
      </c>
      <c r="T86" s="217"/>
      <c r="U86" s="213"/>
    </row>
    <row r="87" spans="1:21" s="214" customFormat="1">
      <c r="A87" s="215" t="s">
        <v>809</v>
      </c>
      <c r="B87" s="216">
        <f t="shared" si="32"/>
        <v>300000</v>
      </c>
      <c r="C87" s="217">
        <f>'[10]4%'!$E$97</f>
        <v>300000</v>
      </c>
      <c r="D87" s="217"/>
      <c r="E87" s="217">
        <f t="shared" si="33"/>
        <v>300000</v>
      </c>
      <c r="F87" s="217"/>
      <c r="G87" s="217"/>
      <c r="H87" s="217"/>
      <c r="I87" s="217"/>
      <c r="J87" s="217"/>
      <c r="K87" s="217"/>
      <c r="L87" s="217"/>
      <c r="M87" s="217"/>
      <c r="N87" s="217"/>
      <c r="O87" s="217"/>
      <c r="P87" s="217"/>
      <c r="Q87" s="217"/>
      <c r="R87" s="871">
        <f t="shared" si="34"/>
        <v>300000</v>
      </c>
      <c r="S87" s="217">
        <f t="shared" si="35"/>
        <v>300000</v>
      </c>
      <c r="T87" s="217"/>
      <c r="U87" s="213"/>
    </row>
    <row r="88" spans="1:21" s="214" customFormat="1">
      <c r="A88" s="215" t="s">
        <v>810</v>
      </c>
      <c r="B88" s="216">
        <f t="shared" si="32"/>
        <v>372000</v>
      </c>
      <c r="C88" s="217">
        <f>'[10]4%'!$E$96</f>
        <v>372000</v>
      </c>
      <c r="D88" s="217"/>
      <c r="E88" s="217">
        <f t="shared" si="33"/>
        <v>372000</v>
      </c>
      <c r="F88" s="217"/>
      <c r="G88" s="217"/>
      <c r="H88" s="217"/>
      <c r="I88" s="217"/>
      <c r="J88" s="217"/>
      <c r="K88" s="217"/>
      <c r="L88" s="217"/>
      <c r="M88" s="217"/>
      <c r="N88" s="217"/>
      <c r="O88" s="217"/>
      <c r="P88" s="217"/>
      <c r="Q88" s="217"/>
      <c r="R88" s="871">
        <f t="shared" si="34"/>
        <v>372000</v>
      </c>
      <c r="S88" s="218"/>
      <c r="T88" s="218"/>
      <c r="U88" s="213"/>
    </row>
    <row r="89" spans="1:21" s="214" customFormat="1">
      <c r="A89" s="215" t="s">
        <v>811</v>
      </c>
      <c r="B89" s="216">
        <f t="shared" si="32"/>
        <v>225000</v>
      </c>
      <c r="C89" s="217">
        <f>'[10]4%'!$E$98</f>
        <v>225000</v>
      </c>
      <c r="D89" s="217"/>
      <c r="E89" s="217">
        <f t="shared" si="33"/>
        <v>225000</v>
      </c>
      <c r="F89" s="217"/>
      <c r="G89" s="217"/>
      <c r="H89" s="217"/>
      <c r="I89" s="217"/>
      <c r="J89" s="217"/>
      <c r="K89" s="217"/>
      <c r="L89" s="217"/>
      <c r="M89" s="217"/>
      <c r="N89" s="217"/>
      <c r="O89" s="217"/>
      <c r="P89" s="217"/>
      <c r="Q89" s="217"/>
      <c r="R89" s="871">
        <f t="shared" si="34"/>
        <v>225000</v>
      </c>
      <c r="S89" s="217">
        <f>R89</f>
        <v>225000</v>
      </c>
      <c r="T89" s="217"/>
      <c r="U89" s="213"/>
    </row>
    <row r="90" spans="1:21" s="214" customFormat="1">
      <c r="A90" s="215" t="s">
        <v>812</v>
      </c>
      <c r="B90" s="216">
        <f t="shared" si="32"/>
        <v>20000</v>
      </c>
      <c r="C90" s="217">
        <f>'[10]4%'!$E$95</f>
        <v>20000</v>
      </c>
      <c r="D90" s="217"/>
      <c r="E90" s="217">
        <f t="shared" si="33"/>
        <v>20000</v>
      </c>
      <c r="F90" s="217"/>
      <c r="G90" s="217"/>
      <c r="H90" s="217"/>
      <c r="I90" s="217"/>
      <c r="J90" s="217"/>
      <c r="K90" s="217"/>
      <c r="L90" s="217"/>
      <c r="M90" s="217"/>
      <c r="N90" s="217"/>
      <c r="O90" s="217"/>
      <c r="P90" s="217"/>
      <c r="Q90" s="217"/>
      <c r="R90" s="871">
        <f t="shared" si="34"/>
        <v>20000</v>
      </c>
      <c r="S90" s="217"/>
      <c r="T90" s="217"/>
      <c r="U90" s="213"/>
    </row>
    <row r="91" spans="1:21" s="214" customFormat="1">
      <c r="A91" s="1099" t="s">
        <v>385</v>
      </c>
      <c r="B91" s="216">
        <f t="shared" si="32"/>
        <v>0</v>
      </c>
      <c r="C91" s="217"/>
      <c r="D91" s="217"/>
      <c r="E91" s="217">
        <f t="shared" si="33"/>
        <v>0</v>
      </c>
      <c r="F91" s="217"/>
      <c r="G91" s="217"/>
      <c r="H91" s="217"/>
      <c r="I91" s="217"/>
      <c r="J91" s="217"/>
      <c r="K91" s="217"/>
      <c r="L91" s="217"/>
      <c r="M91" s="217"/>
      <c r="N91" s="217"/>
      <c r="O91" s="217"/>
      <c r="P91" s="217"/>
      <c r="Q91" s="217"/>
      <c r="R91" s="871">
        <f t="shared" si="34"/>
        <v>0</v>
      </c>
      <c r="S91" s="217"/>
      <c r="T91" s="217"/>
      <c r="U91" s="213"/>
    </row>
    <row r="92" spans="1:21" s="214" customFormat="1">
      <c r="A92" s="1098" t="s">
        <v>1372</v>
      </c>
      <c r="B92" s="216">
        <f t="shared" si="32"/>
        <v>15000</v>
      </c>
      <c r="C92" s="217">
        <f>'[10]4%'!$E$87</f>
        <v>15000</v>
      </c>
      <c r="D92" s="217"/>
      <c r="E92" s="217">
        <f t="shared" si="33"/>
        <v>15000</v>
      </c>
      <c r="F92" s="217"/>
      <c r="G92" s="217"/>
      <c r="H92" s="217"/>
      <c r="I92" s="217"/>
      <c r="J92" s="217"/>
      <c r="K92" s="217"/>
      <c r="L92" s="217"/>
      <c r="M92" s="217"/>
      <c r="N92" s="217"/>
      <c r="O92" s="217"/>
      <c r="P92" s="217"/>
      <c r="Q92" s="217"/>
      <c r="R92" s="871">
        <f t="shared" si="34"/>
        <v>15000</v>
      </c>
      <c r="S92" s="217">
        <f>R92</f>
        <v>15000</v>
      </c>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1">
        <f t="shared" si="34"/>
        <v>0</v>
      </c>
      <c r="S93" s="217"/>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1">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1">
        <f t="shared" si="34"/>
        <v>0</v>
      </c>
      <c r="S95" s="217"/>
      <c r="T95" s="217"/>
      <c r="U95" s="213"/>
    </row>
    <row r="96" spans="1:21" s="214" customFormat="1" ht="12">
      <c r="A96" s="219" t="s">
        <v>813</v>
      </c>
      <c r="B96" s="216">
        <f>SUM(C96:D96)</f>
        <v>2032470.826963838</v>
      </c>
      <c r="C96" s="216">
        <f t="shared" ref="C96:R96" si="36">SUM(C83:C95)</f>
        <v>2032470.826963838</v>
      </c>
      <c r="D96" s="216">
        <f t="shared" si="36"/>
        <v>0</v>
      </c>
      <c r="E96" s="216">
        <f t="shared" si="36"/>
        <v>2032470.826963838</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27">
        <f t="shared" si="36"/>
        <v>2032470.826963838</v>
      </c>
      <c r="S96" s="220">
        <f>SUM(S84:S87,S89:S95)</f>
        <v>1574804</v>
      </c>
      <c r="T96" s="216">
        <f>SUM(T84:T87,T89:T95)</f>
        <v>0</v>
      </c>
      <c r="U96" s="213"/>
    </row>
    <row r="97" spans="1:21" s="214" customFormat="1" ht="12">
      <c r="A97" s="219" t="s">
        <v>814</v>
      </c>
      <c r="B97" s="216">
        <f>SUM(C97:D97)</f>
        <v>66683892.600918435</v>
      </c>
      <c r="C97" s="216">
        <f t="shared" ref="C97:R97" si="37">SUM(C63+C70+C77+C81+C96)</f>
        <v>66683892.600918435</v>
      </c>
      <c r="D97" s="216">
        <f t="shared" si="37"/>
        <v>0</v>
      </c>
      <c r="E97" s="216">
        <f t="shared" si="37"/>
        <v>29683017.346007608</v>
      </c>
      <c r="F97" s="216">
        <f t="shared" si="37"/>
        <v>35253013</v>
      </c>
      <c r="G97" s="216">
        <f t="shared" si="37"/>
        <v>1000000</v>
      </c>
      <c r="H97" s="216">
        <f t="shared" si="37"/>
        <v>747762.25491082715</v>
      </c>
      <c r="I97" s="216">
        <f t="shared" si="37"/>
        <v>100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66683892.600918435</v>
      </c>
      <c r="S97" s="216">
        <f>SUM(S63+S70+S81+S96)</f>
        <v>63466974.930457473</v>
      </c>
      <c r="T97" s="216">
        <f>SUM(T63+T70+T81+T96)</f>
        <v>0</v>
      </c>
      <c r="U97" s="213"/>
    </row>
    <row r="98" spans="1:21" s="214" customFormat="1">
      <c r="A98" s="211" t="s">
        <v>815</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816</v>
      </c>
      <c r="B99" s="216">
        <f>SUM(C99+D99)</f>
        <v>2200000</v>
      </c>
      <c r="C99" s="1015">
        <f>'[10]4%'!$E$109</f>
        <v>2200000</v>
      </c>
      <c r="D99" s="1015"/>
      <c r="E99" s="217">
        <f t="shared" ref="E99:E103" si="38">B99-SUM(F99:Q99)</f>
        <v>2200000</v>
      </c>
      <c r="F99" s="217"/>
      <c r="G99" s="217"/>
      <c r="H99" s="217"/>
      <c r="I99" s="217"/>
      <c r="J99" s="217"/>
      <c r="K99" s="217"/>
      <c r="L99" s="217"/>
      <c r="M99" s="217"/>
      <c r="N99" s="217"/>
      <c r="O99" s="217"/>
      <c r="P99" s="217"/>
      <c r="Q99" s="217"/>
      <c r="R99" s="871">
        <f t="shared" ref="R99:R103" si="39">SUM(E99:Q99)</f>
        <v>2200000</v>
      </c>
      <c r="S99" s="217">
        <f>R99</f>
        <v>2200000</v>
      </c>
      <c r="T99" s="217"/>
      <c r="U99" s="213"/>
    </row>
    <row r="100" spans="1:21" s="214" customFormat="1">
      <c r="A100" s="437" t="s">
        <v>1848</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71">
        <f t="shared" si="39"/>
        <v>0</v>
      </c>
      <c r="S100" s="217"/>
      <c r="T100" s="217"/>
      <c r="U100" s="213"/>
    </row>
    <row r="101" spans="1:21" s="214" customFormat="1" ht="12" customHeight="1">
      <c r="A101" s="215" t="s">
        <v>817</v>
      </c>
      <c r="B101" s="216">
        <f t="shared" si="40"/>
        <v>0</v>
      </c>
      <c r="C101" s="217"/>
      <c r="D101" s="217"/>
      <c r="E101" s="217">
        <f t="shared" si="38"/>
        <v>0</v>
      </c>
      <c r="F101" s="217"/>
      <c r="G101" s="217"/>
      <c r="H101" s="217"/>
      <c r="I101" s="217"/>
      <c r="J101" s="217"/>
      <c r="K101" s="217"/>
      <c r="L101" s="217"/>
      <c r="M101" s="217"/>
      <c r="N101" s="217"/>
      <c r="O101" s="217"/>
      <c r="P101" s="217"/>
      <c r="Q101" s="217"/>
      <c r="R101" s="871">
        <f t="shared" si="39"/>
        <v>0</v>
      </c>
      <c r="S101" s="217"/>
      <c r="T101" s="217"/>
      <c r="U101" s="213"/>
    </row>
    <row r="102" spans="1:21" s="214" customFormat="1">
      <c r="A102" s="437" t="s">
        <v>1849</v>
      </c>
      <c r="B102" s="216">
        <f t="shared" si="40"/>
        <v>0</v>
      </c>
      <c r="C102" s="217"/>
      <c r="D102" s="217"/>
      <c r="E102" s="217">
        <f t="shared" si="38"/>
        <v>0</v>
      </c>
      <c r="F102" s="217"/>
      <c r="G102" s="217"/>
      <c r="H102" s="217"/>
      <c r="I102" s="217"/>
      <c r="J102" s="217"/>
      <c r="K102" s="217"/>
      <c r="L102" s="217"/>
      <c r="M102" s="217"/>
      <c r="N102" s="217"/>
      <c r="O102" s="217"/>
      <c r="P102" s="217"/>
      <c r="Q102" s="217"/>
      <c r="R102" s="871">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71">
        <f t="shared" si="39"/>
        <v>0</v>
      </c>
      <c r="S103" s="217"/>
      <c r="T103" s="217"/>
      <c r="U103" s="213"/>
    </row>
    <row r="104" spans="1:21" s="214" customFormat="1" ht="12">
      <c r="A104" s="219" t="s">
        <v>818</v>
      </c>
      <c r="B104" s="216">
        <f>SUM(C104:D104)</f>
        <v>2200000</v>
      </c>
      <c r="C104" s="216">
        <f>SUM(C99:C103)</f>
        <v>2200000</v>
      </c>
      <c r="D104" s="216">
        <f t="shared" ref="D104:T104" si="41">SUM(D99:D103)</f>
        <v>0</v>
      </c>
      <c r="E104" s="216">
        <f t="shared" si="41"/>
        <v>2200000</v>
      </c>
      <c r="F104" s="216">
        <f t="shared" si="41"/>
        <v>0</v>
      </c>
      <c r="G104" s="216">
        <f t="shared" si="41"/>
        <v>0</v>
      </c>
      <c r="H104" s="216">
        <f t="shared" si="41"/>
        <v>0</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27">
        <f t="shared" si="41"/>
        <v>2200000</v>
      </c>
      <c r="S104" s="220">
        <f t="shared" si="41"/>
        <v>2200000</v>
      </c>
      <c r="T104" s="220">
        <f t="shared" si="41"/>
        <v>0</v>
      </c>
      <c r="U104" s="213"/>
    </row>
    <row r="105" spans="1:21" s="214" customFormat="1" ht="12">
      <c r="A105" s="219" t="s">
        <v>819</v>
      </c>
      <c r="B105" s="220">
        <f>SUM(C105:D105)</f>
        <v>68883892.600918442</v>
      </c>
      <c r="C105" s="220">
        <f t="shared" ref="C105:R105" si="42">SUM(C97+C104)</f>
        <v>68883892.600918442</v>
      </c>
      <c r="D105" s="220">
        <f t="shared" si="42"/>
        <v>0</v>
      </c>
      <c r="E105" s="220">
        <f t="shared" si="42"/>
        <v>31883017.346007608</v>
      </c>
      <c r="F105" s="220">
        <f t="shared" si="42"/>
        <v>35253013</v>
      </c>
      <c r="G105" s="220">
        <f t="shared" si="42"/>
        <v>1000000</v>
      </c>
      <c r="H105" s="220">
        <f t="shared" si="42"/>
        <v>747762.25491082715</v>
      </c>
      <c r="I105" s="220">
        <f t="shared" si="42"/>
        <v>100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27">
        <f t="shared" si="42"/>
        <v>68883892.600918442</v>
      </c>
      <c r="S105" s="220">
        <f>S97+S104</f>
        <v>65666974.930457473</v>
      </c>
      <c r="T105" s="220">
        <f>T97+T104</f>
        <v>0</v>
      </c>
      <c r="U105" s="213"/>
    </row>
    <row r="106" spans="1:21" ht="12">
      <c r="A106" s="858" t="s">
        <v>1097</v>
      </c>
      <c r="B106" s="228"/>
      <c r="C106" s="228"/>
      <c r="D106" s="228"/>
      <c r="H106" s="230" t="s">
        <v>97</v>
      </c>
      <c r="I106" s="230"/>
      <c r="J106" s="230"/>
      <c r="R106" s="231" t="s">
        <v>98</v>
      </c>
      <c r="S106" s="217"/>
      <c r="T106" s="217"/>
    </row>
    <row r="107" spans="1:21" ht="12">
      <c r="A107" s="228" t="s">
        <v>188</v>
      </c>
      <c r="C107" s="228"/>
      <c r="D107" s="228"/>
      <c r="I107" s="233" t="s">
        <v>355</v>
      </c>
      <c r="J107" s="233"/>
      <c r="R107" s="231" t="s">
        <v>99</v>
      </c>
      <c r="S107" s="234">
        <f>S105+S106</f>
        <v>65666974.930457473</v>
      </c>
      <c r="T107" s="234">
        <f>T105+T106</f>
        <v>0</v>
      </c>
    </row>
    <row r="108" spans="1:21" s="300" customFormat="1" ht="12">
      <c r="A108" s="233" t="s">
        <v>924</v>
      </c>
      <c r="B108" s="228"/>
      <c r="C108" s="228"/>
      <c r="D108" s="228"/>
      <c r="E108" s="461">
        <f>Application!AO650</f>
        <v>31883017.346007615</v>
      </c>
      <c r="F108" s="461">
        <f>Application!AO637</f>
        <v>35253013</v>
      </c>
      <c r="G108" s="461">
        <f>Application!AO638</f>
        <v>1000000</v>
      </c>
      <c r="H108" s="461">
        <f>Application!AO639</f>
        <v>747762.25491082715</v>
      </c>
      <c r="I108" s="461">
        <f>Application!AO640</f>
        <v>100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1013</v>
      </c>
      <c r="B110" s="228"/>
      <c r="C110" s="228"/>
      <c r="D110" s="228"/>
    </row>
    <row r="111" spans="1:21" ht="12">
      <c r="A111" s="227" t="s">
        <v>1014</v>
      </c>
      <c r="B111" s="228"/>
      <c r="C111" s="228"/>
      <c r="D111" s="228"/>
    </row>
    <row r="112" spans="1:21" ht="12" customHeight="1">
      <c r="A112" s="480"/>
      <c r="B112" s="228"/>
      <c r="C112" s="228"/>
      <c r="D112" s="228"/>
    </row>
    <row r="113" spans="1:21" ht="12">
      <c r="A113" s="227" t="s">
        <v>1093</v>
      </c>
      <c r="B113" s="228"/>
      <c r="C113" s="228"/>
      <c r="D113" s="228"/>
    </row>
    <row r="114" spans="1:21" ht="12">
      <c r="A114" s="227" t="s">
        <v>2740</v>
      </c>
      <c r="B114" s="228"/>
      <c r="C114" s="228"/>
      <c r="D114" s="228"/>
    </row>
    <row r="115" spans="1:21" ht="12" customHeight="1">
      <c r="A115" s="480"/>
      <c r="B115" s="228"/>
      <c r="C115" s="228"/>
      <c r="D115" s="228"/>
    </row>
    <row r="116" spans="1:21" ht="12">
      <c r="A116" s="530" t="s">
        <v>1099</v>
      </c>
      <c r="B116" s="228"/>
      <c r="C116" s="228"/>
      <c r="D116" s="228"/>
    </row>
    <row r="117" spans="1:21" ht="12">
      <c r="A117" s="530" t="s">
        <v>1388</v>
      </c>
      <c r="B117" s="228"/>
      <c r="C117" s="228"/>
      <c r="D117" s="228"/>
    </row>
    <row r="118" spans="1:21" ht="12">
      <c r="A118" s="530" t="s">
        <v>1098</v>
      </c>
      <c r="B118" s="228"/>
      <c r="C118" s="228"/>
      <c r="D118" s="228"/>
    </row>
    <row r="119" spans="1:21" ht="12">
      <c r="A119" s="530" t="s">
        <v>1100</v>
      </c>
      <c r="B119" s="228"/>
      <c r="C119" s="228"/>
      <c r="D119" s="228"/>
    </row>
    <row r="120" spans="1:21" ht="12" customHeight="1">
      <c r="A120" s="529"/>
      <c r="B120" s="228"/>
      <c r="C120" s="228"/>
      <c r="D120" s="228"/>
    </row>
    <row r="121" spans="1:21" ht="15.6">
      <c r="A121" s="523" t="s">
        <v>1078</v>
      </c>
      <c r="B121" s="228"/>
      <c r="C121" s="228"/>
      <c r="D121" s="228"/>
    </row>
    <row r="122" spans="1:21">
      <c r="A122" s="508" t="s">
        <v>1062</v>
      </c>
      <c r="B122" s="507"/>
      <c r="C122" s="507"/>
      <c r="D122" s="2430" t="s">
        <v>1063</v>
      </c>
      <c r="E122" s="2430"/>
      <c r="F122" s="2430"/>
      <c r="G122" s="507"/>
      <c r="H122" s="507"/>
      <c r="I122" s="507"/>
      <c r="J122" s="507"/>
      <c r="K122" s="507"/>
      <c r="L122" s="507"/>
      <c r="M122" s="507"/>
      <c r="N122" s="507"/>
      <c r="O122" s="507"/>
      <c r="P122" s="507"/>
      <c r="Q122" s="507"/>
      <c r="R122" s="507"/>
      <c r="S122" s="507"/>
      <c r="T122" s="507"/>
      <c r="U122" s="509"/>
    </row>
    <row r="123" spans="1:21">
      <c r="A123" s="507" t="s">
        <v>1064</v>
      </c>
      <c r="B123" s="516"/>
      <c r="C123" s="507"/>
      <c r="D123" s="2420" t="s">
        <v>1389</v>
      </c>
      <c r="E123" s="2421"/>
      <c r="F123" s="2421"/>
      <c r="G123" s="2421"/>
      <c r="H123" s="2421"/>
      <c r="I123" s="2421"/>
      <c r="J123" s="2421"/>
      <c r="K123" s="2421"/>
      <c r="L123" s="2421"/>
      <c r="M123" s="2421"/>
      <c r="N123" s="2421"/>
      <c r="O123" s="2421"/>
      <c r="P123" s="2421"/>
      <c r="Q123" s="2421"/>
      <c r="R123" s="2421"/>
      <c r="S123" s="2421"/>
      <c r="T123" s="507"/>
      <c r="U123" s="509"/>
    </row>
    <row r="124" spans="1:21" ht="13.2">
      <c r="A124" s="506" t="s">
        <v>1065</v>
      </c>
      <c r="B124" s="516"/>
      <c r="C124" s="506"/>
      <c r="D124" s="2421"/>
      <c r="E124" s="2421"/>
      <c r="F124" s="2421"/>
      <c r="G124" s="2421"/>
      <c r="H124" s="2421"/>
      <c r="I124" s="2421"/>
      <c r="J124" s="2421"/>
      <c r="K124" s="2421"/>
      <c r="L124" s="2421"/>
      <c r="M124" s="2421"/>
      <c r="N124" s="2421"/>
      <c r="O124" s="2421"/>
      <c r="P124" s="2421"/>
      <c r="Q124" s="2421"/>
      <c r="R124" s="2421"/>
      <c r="S124" s="2421"/>
      <c r="T124" s="507"/>
      <c r="U124" s="509"/>
    </row>
    <row r="125" spans="1:21" ht="13.2">
      <c r="A125" s="506" t="s">
        <v>1066</v>
      </c>
      <c r="B125" s="516"/>
      <c r="C125" s="506"/>
      <c r="D125" s="2421"/>
      <c r="E125" s="2421"/>
      <c r="F125" s="2421"/>
      <c r="G125" s="2421"/>
      <c r="H125" s="2421"/>
      <c r="I125" s="2421"/>
      <c r="J125" s="2421"/>
      <c r="K125" s="2421"/>
      <c r="L125" s="2421"/>
      <c r="M125" s="2421"/>
      <c r="N125" s="2421"/>
      <c r="O125" s="2421"/>
      <c r="P125" s="2421"/>
      <c r="Q125" s="2421"/>
      <c r="R125" s="2421"/>
      <c r="S125" s="2421"/>
      <c r="T125" s="507"/>
      <c r="U125" s="509"/>
    </row>
    <row r="126" spans="1:21" ht="13.2">
      <c r="A126" s="506" t="s">
        <v>1067</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1068</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1069</v>
      </c>
      <c r="B128" s="516"/>
      <c r="C128" s="506"/>
      <c r="D128" s="2428"/>
      <c r="E128" s="2428"/>
      <c r="F128" s="2428"/>
      <c r="G128" s="2428"/>
      <c r="H128" s="2428"/>
      <c r="I128" s="506"/>
      <c r="J128" s="2419"/>
      <c r="K128" s="2419"/>
      <c r="L128" s="506"/>
      <c r="M128" s="506"/>
      <c r="N128" s="506"/>
      <c r="O128" s="506"/>
      <c r="P128" s="506"/>
      <c r="Q128" s="506"/>
      <c r="R128" s="506"/>
      <c r="S128" s="506"/>
      <c r="T128" s="507"/>
      <c r="U128" s="509"/>
    </row>
    <row r="129" spans="1:21" ht="13.2">
      <c r="A129" s="506" t="s">
        <v>305</v>
      </c>
      <c r="B129" s="516"/>
      <c r="C129" s="506"/>
      <c r="D129" s="2429" t="s">
        <v>1070</v>
      </c>
      <c r="E129" s="2429"/>
      <c r="F129" s="2429"/>
      <c r="G129" s="2429"/>
      <c r="H129" s="2429"/>
      <c r="I129" s="506"/>
      <c r="J129" s="506" t="s">
        <v>1071</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1072</v>
      </c>
      <c r="B131" s="517">
        <f>SUM(B123:B129)</f>
        <v>0</v>
      </c>
      <c r="C131" s="506"/>
      <c r="D131" s="1921"/>
      <c r="E131" s="1921"/>
      <c r="F131" s="1921"/>
      <c r="G131" s="1921"/>
      <c r="H131" s="1921"/>
      <c r="I131" s="506"/>
      <c r="J131" s="1921"/>
      <c r="K131" s="1921"/>
      <c r="L131" s="1921"/>
      <c r="M131" s="1921"/>
      <c r="N131" s="506"/>
      <c r="O131" s="506"/>
      <c r="P131" s="506"/>
      <c r="Q131" s="506"/>
      <c r="R131" s="506"/>
      <c r="S131" s="506"/>
      <c r="T131" s="507"/>
      <c r="U131" s="509"/>
    </row>
    <row r="132" spans="1:21" ht="12" customHeight="1">
      <c r="A132" s="520"/>
      <c r="B132" s="506"/>
      <c r="C132" s="506"/>
      <c r="D132" s="2422" t="s">
        <v>1073</v>
      </c>
      <c r="E132" s="2422"/>
      <c r="F132" s="2422"/>
      <c r="G132" s="2422"/>
      <c r="H132" s="2422"/>
      <c r="I132" s="506"/>
      <c r="J132" s="2422" t="s">
        <v>1074</v>
      </c>
      <c r="K132" s="2422"/>
      <c r="L132" s="2422"/>
      <c r="M132" s="2422"/>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1075</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1076</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23"/>
      <c r="B138" s="2424"/>
      <c r="C138" s="2424"/>
      <c r="D138" s="511"/>
      <c r="E138" s="2419"/>
      <c r="F138" s="2419"/>
      <c r="G138" s="506"/>
      <c r="H138" s="506"/>
      <c r="I138" s="506"/>
      <c r="J138" s="506"/>
      <c r="K138" s="506"/>
      <c r="L138" s="506"/>
      <c r="M138" s="506"/>
      <c r="N138" s="506"/>
      <c r="O138" s="506"/>
      <c r="P138" s="506"/>
      <c r="Q138" s="506"/>
      <c r="R138" s="506"/>
      <c r="S138" s="506"/>
      <c r="T138" s="513"/>
      <c r="U138" s="514"/>
    </row>
    <row r="139" spans="1:21" ht="13.2">
      <c r="A139" s="2417" t="s">
        <v>1077</v>
      </c>
      <c r="B139" s="2418"/>
      <c r="C139" s="2418"/>
      <c r="D139" s="511"/>
      <c r="E139" s="506" t="s">
        <v>1071</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offOZrL68tg/dTi8c+TLZnMRXlDHAvlsd3iZU6prKKvN/fDEbQ+eL+c+1fwVUQqiRBg98ooXlSaUt6pemD+s3w==" saltValue="gsnooJIrTnsNUsQZsj2Ux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1" priority="246" stopIfTrue="1">
      <formula>T9&gt;C9</formula>
    </cfRule>
  </conditionalFormatting>
  <conditionalFormatting sqref="S10">
    <cfRule type="expression" dxfId="150" priority="245" stopIfTrue="1">
      <formula>(S10+T10)&gt;C10</formula>
    </cfRule>
  </conditionalFormatting>
  <conditionalFormatting sqref="R8">
    <cfRule type="cellIs" dxfId="149" priority="234" stopIfTrue="1" operator="notEqual">
      <formula>$B8</formula>
    </cfRule>
    <cfRule type="cellIs" priority="237" stopIfTrue="1" operator="notEqual">
      <formula>$B8</formula>
    </cfRule>
  </conditionalFormatting>
  <conditionalFormatting sqref="R4:R7 R56:R61 R45:R53 R83:R95 R99:R103">
    <cfRule type="cellIs" dxfId="148" priority="236" stopIfTrue="1" operator="notEqual">
      <formula>$B4</formula>
    </cfRule>
  </conditionalFormatting>
  <conditionalFormatting sqref="R9:R10">
    <cfRule type="cellIs" dxfId="147" priority="235" stopIfTrue="1" operator="notEqual">
      <formula>$B9</formula>
    </cfRule>
  </conditionalFormatting>
  <conditionalFormatting sqref="R11:R12">
    <cfRule type="cellIs" dxfId="146" priority="232" stopIfTrue="1" operator="notEqual">
      <formula>$B11</formula>
    </cfRule>
    <cfRule type="cellIs" priority="233" stopIfTrue="1" operator="notEqual">
      <formula>$B11</formula>
    </cfRule>
  </conditionalFormatting>
  <conditionalFormatting sqref="R13:R15">
    <cfRule type="cellIs" dxfId="145" priority="231" stopIfTrue="1" operator="notEqual">
      <formula>$B13</formula>
    </cfRule>
  </conditionalFormatting>
  <conditionalFormatting sqref="R26">
    <cfRule type="cellIs" dxfId="144" priority="229" stopIfTrue="1" operator="notEqual">
      <formula>$B26</formula>
    </cfRule>
    <cfRule type="cellIs" priority="230" stopIfTrue="1" operator="notEqual">
      <formula>$B26</formula>
    </cfRule>
  </conditionalFormatting>
  <conditionalFormatting sqref="R17:R25">
    <cfRule type="cellIs" dxfId="143" priority="228" stopIfTrue="1" operator="notEqual">
      <formula>$B17</formula>
    </cfRule>
  </conditionalFormatting>
  <conditionalFormatting sqref="R27">
    <cfRule type="cellIs" dxfId="142" priority="227" stopIfTrue="1" operator="notEqual">
      <formula>$B27</formula>
    </cfRule>
  </conditionalFormatting>
  <conditionalFormatting sqref="R38">
    <cfRule type="cellIs" dxfId="141" priority="225" stopIfTrue="1" operator="notEqual">
      <formula>$B38</formula>
    </cfRule>
    <cfRule type="cellIs" priority="226" stopIfTrue="1" operator="notEqual">
      <formula>$B38</formula>
    </cfRule>
  </conditionalFormatting>
  <conditionalFormatting sqref="R29:R37">
    <cfRule type="cellIs" dxfId="140" priority="224" stopIfTrue="1" operator="notEqual">
      <formula>$B29</formula>
    </cfRule>
  </conditionalFormatting>
  <conditionalFormatting sqref="R42">
    <cfRule type="cellIs" dxfId="139" priority="222" stopIfTrue="1" operator="notEqual">
      <formula>$B42</formula>
    </cfRule>
    <cfRule type="cellIs" priority="223" stopIfTrue="1" operator="notEqual">
      <formula>$B42</formula>
    </cfRule>
  </conditionalFormatting>
  <conditionalFormatting sqref="R40:R41">
    <cfRule type="cellIs" dxfId="138" priority="221" stopIfTrue="1" operator="notEqual">
      <formula>$B40</formula>
    </cfRule>
  </conditionalFormatting>
  <conditionalFormatting sqref="R43">
    <cfRule type="cellIs" dxfId="137" priority="220" stopIfTrue="1" operator="notEqual">
      <formula>$B43</formula>
    </cfRule>
  </conditionalFormatting>
  <conditionalFormatting sqref="R54">
    <cfRule type="cellIs" dxfId="136" priority="218" stopIfTrue="1" operator="notEqual">
      <formula>$B54</formula>
    </cfRule>
    <cfRule type="cellIs" priority="219" stopIfTrue="1" operator="notEqual">
      <formula>$B54</formula>
    </cfRule>
  </conditionalFormatting>
  <conditionalFormatting sqref="R62:R63">
    <cfRule type="cellIs" dxfId="135" priority="215" stopIfTrue="1" operator="notEqual">
      <formula>$B62</formula>
    </cfRule>
    <cfRule type="cellIs" priority="216" stopIfTrue="1" operator="notEqual">
      <formula>$B62</formula>
    </cfRule>
  </conditionalFormatting>
  <conditionalFormatting sqref="R70">
    <cfRule type="cellIs" dxfId="134" priority="212" stopIfTrue="1" operator="notEqual">
      <formula>$B70</formula>
    </cfRule>
    <cfRule type="cellIs" priority="213" stopIfTrue="1" operator="notEqual">
      <formula>$B70</formula>
    </cfRule>
  </conditionalFormatting>
  <conditionalFormatting sqref="R65:R69">
    <cfRule type="cellIs" dxfId="133" priority="211" stopIfTrue="1" operator="notEqual">
      <formula>$B65</formula>
    </cfRule>
  </conditionalFormatting>
  <conditionalFormatting sqref="R77">
    <cfRule type="cellIs" dxfId="132" priority="209" stopIfTrue="1" operator="notEqual">
      <formula>$B77</formula>
    </cfRule>
    <cfRule type="cellIs" priority="210" stopIfTrue="1" operator="notEqual">
      <formula>$B77</formula>
    </cfRule>
  </conditionalFormatting>
  <conditionalFormatting sqref="R96">
    <cfRule type="cellIs" dxfId="131" priority="207" stopIfTrue="1" operator="notEqual">
      <formula>$B96</formula>
    </cfRule>
    <cfRule type="cellIs" priority="208" stopIfTrue="1" operator="notEqual">
      <formula>$B96</formula>
    </cfRule>
  </conditionalFormatting>
  <conditionalFormatting sqref="R72:R76">
    <cfRule type="cellIs" dxfId="130" priority="206" stopIfTrue="1" operator="notEqual">
      <formula>$B72</formula>
    </cfRule>
  </conditionalFormatting>
  <conditionalFormatting sqref="R79:R80">
    <cfRule type="cellIs" dxfId="129" priority="205" stopIfTrue="1" operator="notEqual">
      <formula>$B79</formula>
    </cfRule>
  </conditionalFormatting>
  <conditionalFormatting sqref="R104:R105">
    <cfRule type="cellIs" dxfId="128" priority="202" stopIfTrue="1" operator="notEqual">
      <formula>$B104</formula>
    </cfRule>
    <cfRule type="cellIs" priority="203" stopIfTrue="1" operator="notEqual">
      <formula>$B104</formula>
    </cfRule>
  </conditionalFormatting>
  <conditionalFormatting sqref="E105:Q105">
    <cfRule type="cellIs" dxfId="127" priority="200" stopIfTrue="1" operator="notEqual">
      <formula>E$108</formula>
    </cfRule>
  </conditionalFormatting>
  <conditionalFormatting sqref="S13">
    <cfRule type="expression" dxfId="126" priority="197" stopIfTrue="1">
      <formula>(S13+T13)&gt;C13</formula>
    </cfRule>
  </conditionalFormatting>
  <conditionalFormatting sqref="S14">
    <cfRule type="expression" dxfId="125" priority="194" stopIfTrue="1">
      <formula>(S14+T14)&gt;C14</formula>
    </cfRule>
  </conditionalFormatting>
  <conditionalFormatting sqref="S17">
    <cfRule type="expression" dxfId="124" priority="193" stopIfTrue="1">
      <formula>(S17+T17)&gt;C17</formula>
    </cfRule>
  </conditionalFormatting>
  <conditionalFormatting sqref="S18">
    <cfRule type="expression" dxfId="123" priority="185" stopIfTrue="1">
      <formula>(S18+T18)&gt;C18</formula>
    </cfRule>
  </conditionalFormatting>
  <conditionalFormatting sqref="S19">
    <cfRule type="expression" dxfId="122" priority="183" stopIfTrue="1">
      <formula>(S19+T19)&gt;C19</formula>
    </cfRule>
  </conditionalFormatting>
  <conditionalFormatting sqref="S20">
    <cfRule type="expression" dxfId="121" priority="182" stopIfTrue="1">
      <formula>(S20+T20)&gt;C20</formula>
    </cfRule>
  </conditionalFormatting>
  <conditionalFormatting sqref="S21">
    <cfRule type="expression" dxfId="120" priority="181" stopIfTrue="1">
      <formula>(S21+T21)&gt;C21</formula>
    </cfRule>
  </conditionalFormatting>
  <conditionalFormatting sqref="S22">
    <cfRule type="expression" dxfId="119" priority="180" stopIfTrue="1">
      <formula>(S22+T22)&gt;C22</formula>
    </cfRule>
  </conditionalFormatting>
  <conditionalFormatting sqref="S23:S24">
    <cfRule type="expression" dxfId="118" priority="179" stopIfTrue="1">
      <formula>(S23+T23)&gt;C23</formula>
    </cfRule>
  </conditionalFormatting>
  <conditionalFormatting sqref="S25">
    <cfRule type="expression" dxfId="117" priority="178" stopIfTrue="1">
      <formula>(S25+T25)&gt;C25</formula>
    </cfRule>
  </conditionalFormatting>
  <conditionalFormatting sqref="S27">
    <cfRule type="expression" dxfId="116" priority="171" stopIfTrue="1">
      <formula>(S27+T27)&gt;C27</formula>
    </cfRule>
  </conditionalFormatting>
  <conditionalFormatting sqref="S29:S36">
    <cfRule type="expression" dxfId="115" priority="169" stopIfTrue="1">
      <formula>(S29+T29)&gt;C29</formula>
    </cfRule>
  </conditionalFormatting>
  <conditionalFormatting sqref="S37">
    <cfRule type="expression" dxfId="114" priority="161" stopIfTrue="1">
      <formula>(S37+T37)&gt;C37</formula>
    </cfRule>
  </conditionalFormatting>
  <conditionalFormatting sqref="S40">
    <cfRule type="expression" dxfId="113" priority="153" stopIfTrue="1">
      <formula>(S40+T40)&gt;C40</formula>
    </cfRule>
  </conditionalFormatting>
  <conditionalFormatting sqref="S41">
    <cfRule type="expression" dxfId="112" priority="152" stopIfTrue="1">
      <formula>(S41+T41)&gt;C41</formula>
    </cfRule>
  </conditionalFormatting>
  <conditionalFormatting sqref="S43">
    <cfRule type="expression" dxfId="111" priority="149" stopIfTrue="1">
      <formula>(S43+T43)&gt;C43</formula>
    </cfRule>
  </conditionalFormatting>
  <conditionalFormatting sqref="S45">
    <cfRule type="expression" dxfId="110" priority="147" stopIfTrue="1">
      <formula>(S45+T45)&gt;C45</formula>
    </cfRule>
  </conditionalFormatting>
  <conditionalFormatting sqref="S46">
    <cfRule type="expression" dxfId="109" priority="142" stopIfTrue="1">
      <formula>(S46+T46)&gt;C46</formula>
    </cfRule>
  </conditionalFormatting>
  <conditionalFormatting sqref="S47">
    <cfRule type="expression" dxfId="108" priority="141" stopIfTrue="1">
      <formula>(S47+T47)&gt;C47</formula>
    </cfRule>
  </conditionalFormatting>
  <conditionalFormatting sqref="S48">
    <cfRule type="expression" dxfId="107" priority="140" stopIfTrue="1">
      <formula>(S48+T48)&gt;C48</formula>
    </cfRule>
  </conditionalFormatting>
  <conditionalFormatting sqref="S49">
    <cfRule type="expression" dxfId="106" priority="139" stopIfTrue="1">
      <formula>(S49+T49)&gt;C49</formula>
    </cfRule>
  </conditionalFormatting>
  <conditionalFormatting sqref="S50">
    <cfRule type="expression" dxfId="105" priority="138" stopIfTrue="1">
      <formula>(S50+T50)&gt;C50</formula>
    </cfRule>
  </conditionalFormatting>
  <conditionalFormatting sqref="S51">
    <cfRule type="expression" dxfId="104" priority="137" stopIfTrue="1">
      <formula>(S51+T51)&gt;C51</formula>
    </cfRule>
  </conditionalFormatting>
  <conditionalFormatting sqref="S52">
    <cfRule type="expression" dxfId="103" priority="136" stopIfTrue="1">
      <formula>(S52+T52)&gt;C52</formula>
    </cfRule>
  </conditionalFormatting>
  <conditionalFormatting sqref="S53">
    <cfRule type="expression" dxfId="102" priority="134" stopIfTrue="1">
      <formula>(S53+T53)&gt;C53</formula>
    </cfRule>
  </conditionalFormatting>
  <conditionalFormatting sqref="S65:S68">
    <cfRule type="expression" dxfId="101" priority="124" stopIfTrue="1">
      <formula>(S65+T65)&gt;C65</formula>
    </cfRule>
  </conditionalFormatting>
  <conditionalFormatting sqref="S69">
    <cfRule type="expression" dxfId="100" priority="123" stopIfTrue="1">
      <formula>(S69+T69)&gt;C69</formula>
    </cfRule>
  </conditionalFormatting>
  <conditionalFormatting sqref="S79">
    <cfRule type="expression" dxfId="99" priority="120" stopIfTrue="1">
      <formula>(S79+T79)&gt;C79</formula>
    </cfRule>
  </conditionalFormatting>
  <conditionalFormatting sqref="S80">
    <cfRule type="expression" dxfId="98" priority="119" stopIfTrue="1">
      <formula>(S80+T80)&gt;C80</formula>
    </cfRule>
  </conditionalFormatting>
  <conditionalFormatting sqref="S84">
    <cfRule type="expression" dxfId="97" priority="116" stopIfTrue="1">
      <formula>(S84+T84)&gt;C84</formula>
    </cfRule>
  </conditionalFormatting>
  <conditionalFormatting sqref="S85:S87">
    <cfRule type="expression" dxfId="96" priority="115" stopIfTrue="1">
      <formula>(S85+T85)&gt;C85</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C809"/>
  <sheetViews>
    <sheetView showGridLines="0" topLeftCell="A783" zoomScale="110" zoomScaleNormal="110" zoomScaleSheetLayoutView="100" workbookViewId="0">
      <selection activeCell="X542" sqref="X542"/>
    </sheetView>
  </sheetViews>
  <sheetFormatPr defaultColWidth="0" defaultRowHeight="13.2" zeroHeight="1"/>
  <cols>
    <col min="1" max="1" width="2.6640625" style="1211" customWidth="1"/>
    <col min="2" max="3" width="2.44140625" style="1211" customWidth="1"/>
    <col min="4" max="4" width="3.109375" style="1211" customWidth="1"/>
    <col min="5" max="5" width="3.44140625" style="1211" customWidth="1"/>
    <col min="6" max="6" width="2.88671875" style="1211" customWidth="1"/>
    <col min="7" max="14" width="2.44140625" style="1211" customWidth="1"/>
    <col min="15" max="15" width="2.88671875" style="1211" customWidth="1"/>
    <col min="16" max="16" width="2.44140625" style="1211" customWidth="1"/>
    <col min="17" max="17" width="3.88671875" style="1211" customWidth="1"/>
    <col min="18" max="18" width="4.5546875" style="1211" customWidth="1"/>
    <col min="19" max="19" width="3.33203125" style="1211" customWidth="1"/>
    <col min="20" max="26" width="2.44140625" style="1211" customWidth="1"/>
    <col min="27" max="30" width="2.5546875" style="1211" customWidth="1"/>
    <col min="31" max="32" width="2.44140625" style="1211" customWidth="1"/>
    <col min="33" max="33" width="3.44140625" style="1211" customWidth="1"/>
    <col min="34" max="36" width="2.44140625" style="1211" customWidth="1"/>
    <col min="37" max="37" width="5.5546875" style="1211" customWidth="1"/>
    <col min="38" max="38" width="2.44140625" style="1211" customWidth="1"/>
    <col min="39" max="39" width="3.44140625" style="1211" customWidth="1"/>
    <col min="40" max="40" width="5.5546875" style="1209" customWidth="1"/>
    <col min="41" max="41" width="5.5546875" style="1210" hidden="1" customWidth="1"/>
    <col min="42" max="45" width="5.5546875" style="1211" hidden="1" customWidth="1"/>
    <col min="46" max="46" width="10.88671875" style="1211" hidden="1" customWidth="1"/>
    <col min="47" max="48" width="5.5546875" style="1211" hidden="1" customWidth="1"/>
    <col min="49" max="49" width="8.6640625" style="1211" hidden="1" customWidth="1"/>
    <col min="50" max="50" width="7.44140625" style="1211" hidden="1" customWidth="1"/>
    <col min="51" max="55" width="5.5546875" style="1211" hidden="1" customWidth="1"/>
    <col min="56" max="60" width="5.5546875" style="1329" hidden="1" customWidth="1"/>
    <col min="61" max="81" width="5.5546875" style="1211" hidden="1" customWidth="1"/>
    <col min="82" max="82" width="0" style="1211" hidden="1" customWidth="1"/>
    <col min="83" max="16384" width="0" style="1211" hidden="1"/>
  </cols>
  <sheetData>
    <row r="1" spans="1:42" ht="15.75" customHeight="1">
      <c r="A1" s="2675" t="s">
        <v>1490</v>
      </c>
      <c r="B1" s="2675"/>
      <c r="C1" s="2675"/>
      <c r="D1" s="2675"/>
      <c r="E1" s="2675"/>
      <c r="F1" s="2675"/>
      <c r="G1" s="2675"/>
      <c r="H1" s="2675"/>
      <c r="I1" s="2675"/>
      <c r="J1" s="2675"/>
      <c r="K1" s="2675"/>
      <c r="L1" s="2675"/>
      <c r="M1" s="2675"/>
      <c r="N1" s="2675"/>
      <c r="O1" s="2675"/>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row>
    <row r="2" spans="1:42" s="1213" customFormat="1" ht="12.75" customHeight="1" thickBot="1">
      <c r="A2" s="2676"/>
      <c r="B2" s="2676"/>
      <c r="C2" s="2676"/>
      <c r="D2" s="2676"/>
      <c r="E2" s="2676"/>
      <c r="F2" s="2676"/>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1212"/>
    </row>
    <row r="3" spans="1:42" s="1213" customFormat="1" ht="12.75" customHeight="1" thickTop="1">
      <c r="A3" s="1214"/>
      <c r="B3" s="1214"/>
      <c r="C3" s="121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I3" s="1214"/>
      <c r="AJ3" s="1214"/>
      <c r="AK3" s="1214"/>
      <c r="AL3" s="1214"/>
      <c r="AM3" s="1214"/>
      <c r="AN3" s="1212"/>
    </row>
    <row r="4" spans="1:42" s="1213" customFormat="1" ht="12.75" customHeight="1">
      <c r="A4" s="1215" t="s">
        <v>1491</v>
      </c>
      <c r="B4" s="1575" t="s">
        <v>1492</v>
      </c>
      <c r="C4" s="1216"/>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c r="AG4" s="1216"/>
      <c r="AH4" s="1216"/>
      <c r="AI4" s="1216"/>
      <c r="AJ4" s="1216"/>
      <c r="AK4" s="1216"/>
      <c r="AL4" s="1216"/>
      <c r="AM4" s="1216"/>
      <c r="AN4" s="1212"/>
    </row>
    <row r="5" spans="1:42" s="1213" customFormat="1" ht="12.75" customHeight="1" thickBot="1">
      <c r="A5" s="1215"/>
      <c r="B5" s="1575"/>
      <c r="C5" s="1216"/>
      <c r="D5" s="1216"/>
      <c r="E5" s="1216"/>
      <c r="F5" s="1216"/>
      <c r="G5" s="1216"/>
      <c r="H5" s="1216"/>
      <c r="I5" s="1216"/>
      <c r="J5" s="1216"/>
      <c r="K5" s="1216"/>
      <c r="L5" s="1216"/>
      <c r="M5" s="1216"/>
      <c r="N5" s="1216"/>
      <c r="O5" s="1216"/>
      <c r="P5" s="1216"/>
      <c r="Q5" s="1216"/>
      <c r="R5" s="1216"/>
      <c r="S5" s="1216"/>
      <c r="T5" s="1216"/>
      <c r="U5" s="1216"/>
      <c r="V5" s="1216"/>
      <c r="W5" s="1216"/>
      <c r="X5" s="1216"/>
      <c r="Y5" s="1216"/>
      <c r="Z5" s="1216"/>
      <c r="AA5" s="1216"/>
      <c r="AB5" s="1216"/>
      <c r="AC5" s="1216"/>
      <c r="AD5" s="1216"/>
      <c r="AE5" s="1216"/>
      <c r="AF5" s="1216"/>
      <c r="AG5" s="1216"/>
      <c r="AH5" s="1216"/>
      <c r="AI5" s="1216"/>
      <c r="AJ5" s="1216"/>
      <c r="AK5" s="1216"/>
      <c r="AL5" s="1216"/>
      <c r="AM5" s="1216"/>
      <c r="AN5" s="1212"/>
    </row>
    <row r="6" spans="1:42" s="1213" customFormat="1" ht="12.75" customHeight="1" thickTop="1">
      <c r="A6" s="1217"/>
      <c r="B6" s="1217"/>
      <c r="C6" s="1217"/>
      <c r="D6" s="1217"/>
      <c r="E6" s="1217"/>
      <c r="F6" s="1217"/>
      <c r="G6" s="1217"/>
      <c r="H6" s="1217"/>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G6" s="1217"/>
      <c r="AH6" s="1217"/>
      <c r="AI6" s="1217"/>
      <c r="AJ6" s="1217"/>
      <c r="AK6" s="1217"/>
      <c r="AL6" s="1217"/>
      <c r="AM6" s="1218"/>
      <c r="AN6" s="1212"/>
    </row>
    <row r="7" spans="1:42" s="1213" customFormat="1" ht="12.75" customHeight="1">
      <c r="A7" s="1215" t="s">
        <v>1493</v>
      </c>
      <c r="B7" s="1575" t="s">
        <v>1494</v>
      </c>
      <c r="C7" s="1575"/>
      <c r="D7" s="1575"/>
      <c r="E7" s="1575"/>
      <c r="F7" s="1575"/>
      <c r="G7" s="1575"/>
      <c r="H7" s="1575"/>
      <c r="I7" s="1575"/>
      <c r="J7" s="1575"/>
      <c r="K7" s="1575"/>
      <c r="L7" s="1575"/>
      <c r="M7" s="1575"/>
      <c r="N7" s="1575"/>
      <c r="O7" s="1575"/>
      <c r="P7" s="1575"/>
      <c r="Q7" s="1575"/>
      <c r="R7" s="1575"/>
      <c r="S7" s="1575"/>
      <c r="T7" s="1575"/>
      <c r="U7" s="1575"/>
      <c r="V7" s="1575"/>
      <c r="W7" s="1575"/>
      <c r="X7" s="1575"/>
      <c r="Y7" s="1575"/>
      <c r="Z7" s="1575"/>
      <c r="AA7" s="1575"/>
      <c r="AB7" s="1575"/>
      <c r="AC7" s="1575"/>
      <c r="AD7" s="1575"/>
      <c r="AE7" s="2490" t="s">
        <v>1495</v>
      </c>
      <c r="AF7" s="2490"/>
      <c r="AG7" s="2490"/>
      <c r="AH7" s="2490"/>
      <c r="AI7" s="2490"/>
      <c r="AJ7" s="2490"/>
      <c r="AK7" s="2490"/>
      <c r="AL7" s="1216"/>
      <c r="AM7" s="1216"/>
      <c r="AN7" s="1212"/>
    </row>
    <row r="8" spans="1:42" s="1213" customFormat="1" ht="12.75" customHeight="1">
      <c r="A8" s="1215"/>
      <c r="B8" s="1575" t="s">
        <v>2038</v>
      </c>
      <c r="C8" s="1575"/>
      <c r="D8" s="1575"/>
      <c r="E8" s="1575"/>
      <c r="F8" s="1575"/>
      <c r="G8" s="1575"/>
      <c r="H8" s="1575"/>
      <c r="I8" s="1575"/>
      <c r="J8" s="1575"/>
      <c r="K8" s="1575"/>
      <c r="L8" s="1575"/>
      <c r="M8" s="1575"/>
      <c r="N8" s="1575"/>
      <c r="O8" s="1575"/>
      <c r="P8" s="1575"/>
      <c r="Q8" s="1575"/>
      <c r="R8" s="1575"/>
      <c r="S8" s="1575"/>
      <c r="T8" s="1575"/>
      <c r="U8" s="1575"/>
      <c r="V8" s="1575"/>
      <c r="W8" s="1575"/>
      <c r="X8" s="1575"/>
      <c r="Y8" s="1575"/>
      <c r="Z8" s="1575"/>
      <c r="AA8" s="1575"/>
      <c r="AB8" s="1575"/>
      <c r="AC8" s="1575"/>
      <c r="AD8" s="1575"/>
      <c r="AE8" s="1563"/>
      <c r="AF8" s="1563"/>
      <c r="AG8" s="1563"/>
      <c r="AH8" s="1563"/>
      <c r="AI8" s="1563"/>
      <c r="AJ8" s="1563"/>
      <c r="AK8" s="1563"/>
      <c r="AL8" s="1216"/>
      <c r="AM8" s="1216"/>
      <c r="AN8" s="1212"/>
    </row>
    <row r="9" spans="1:42" s="1213" customFormat="1" ht="12.75" customHeight="1">
      <c r="A9" s="1215"/>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63"/>
      <c r="AF9" s="1563"/>
      <c r="AG9" s="1563"/>
      <c r="AH9" s="1563"/>
      <c r="AI9" s="1563"/>
      <c r="AJ9" s="1563"/>
      <c r="AK9" s="1563"/>
      <c r="AL9" s="1216"/>
      <c r="AM9" s="1216"/>
      <c r="AN9" s="1212"/>
    </row>
    <row r="10" spans="1:42" s="1213" customFormat="1" ht="12.75" customHeight="1">
      <c r="A10" s="1215"/>
      <c r="B10" s="1575" t="s">
        <v>2703</v>
      </c>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63"/>
      <c r="AF10" s="1563"/>
      <c r="AG10" s="1563"/>
      <c r="AH10" s="1563"/>
      <c r="AI10" s="1563"/>
      <c r="AJ10" s="1563"/>
      <c r="AK10" s="1563"/>
      <c r="AL10" s="1216"/>
      <c r="AM10" s="1216"/>
      <c r="AN10" s="1212"/>
    </row>
    <row r="11" spans="1:42" s="1213" customFormat="1" ht="12.75" customHeight="1">
      <c r="A11" s="1216"/>
      <c r="C11" s="1219" t="s">
        <v>2704</v>
      </c>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6"/>
      <c r="AL11" s="1216"/>
      <c r="AM11" s="1216"/>
      <c r="AN11" s="1212"/>
      <c r="AO11" s="1220"/>
      <c r="AP11" s="1221"/>
    </row>
    <row r="12" spans="1:42" s="1213" customFormat="1" ht="12.75" customHeight="1">
      <c r="A12" s="1216"/>
      <c r="B12" s="1222"/>
      <c r="C12" s="1216"/>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1216"/>
      <c r="AM12" s="1216"/>
      <c r="AN12" s="1212"/>
      <c r="AP12" s="1211"/>
    </row>
    <row r="13" spans="1:42" s="1213" customFormat="1" ht="12.75" customHeight="1">
      <c r="A13" s="1216"/>
      <c r="B13" s="2647" t="s">
        <v>615</v>
      </c>
      <c r="C13" s="2647"/>
      <c r="D13" s="1223"/>
      <c r="E13" s="1224" t="s">
        <v>1496</v>
      </c>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2677"/>
      <c r="AH13" s="2677"/>
      <c r="AI13" s="2677"/>
      <c r="AJ13" s="2678"/>
      <c r="AK13" s="1216"/>
      <c r="AL13" s="1216"/>
      <c r="AM13" s="1216"/>
      <c r="AN13" s="1212"/>
      <c r="AO13" s="1226">
        <f>IF($B13="yes",20,0)</f>
        <v>0</v>
      </c>
      <c r="AP13" s="1211"/>
    </row>
    <row r="14" spans="1:42" s="1213" customFormat="1" ht="12.75" customHeight="1">
      <c r="A14" s="1216"/>
      <c r="B14" s="1216"/>
      <c r="C14" s="1216"/>
      <c r="D14" s="1211"/>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1216"/>
      <c r="AN14" s="1212"/>
      <c r="AO14" s="1226">
        <f>IF(AND($B16="yes",E20&gt;0),20,0)</f>
        <v>0</v>
      </c>
      <c r="AP14" s="1211"/>
    </row>
    <row r="15" spans="1:42" s="1213" customFormat="1" ht="12.75" customHeight="1">
      <c r="A15" s="1216"/>
      <c r="B15" s="1216"/>
      <c r="C15" s="1216"/>
      <c r="D15" s="1226"/>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1216"/>
      <c r="AM15" s="1216"/>
      <c r="AN15" s="1212"/>
      <c r="AO15" s="1226">
        <f>IF($B22="yes",20,0)</f>
        <v>0</v>
      </c>
      <c r="AP15" s="1211"/>
    </row>
    <row r="16" spans="1:42" s="1213" customFormat="1" ht="12.75" customHeight="1">
      <c r="A16" s="1216"/>
      <c r="B16" s="2647" t="s">
        <v>615</v>
      </c>
      <c r="C16" s="2647"/>
      <c r="D16" s="1223"/>
      <c r="E16" s="2648" t="s">
        <v>1497</v>
      </c>
      <c r="F16" s="2649"/>
      <c r="G16" s="2649"/>
      <c r="H16" s="2649"/>
      <c r="I16" s="2649"/>
      <c r="J16" s="2649"/>
      <c r="K16" s="2649"/>
      <c r="L16" s="2649"/>
      <c r="M16" s="2649"/>
      <c r="N16" s="2649"/>
      <c r="O16" s="2649"/>
      <c r="P16" s="2649"/>
      <c r="Q16" s="2649"/>
      <c r="R16" s="2649"/>
      <c r="S16" s="2649"/>
      <c r="T16" s="2649"/>
      <c r="U16" s="2649"/>
      <c r="V16" s="2649"/>
      <c r="W16" s="2649"/>
      <c r="X16" s="2649"/>
      <c r="Y16" s="2649"/>
      <c r="Z16" s="2649"/>
      <c r="AA16" s="2649"/>
      <c r="AB16" s="2649"/>
      <c r="AC16" s="2649"/>
      <c r="AD16" s="2649"/>
      <c r="AE16" s="2649"/>
      <c r="AF16" s="2649"/>
      <c r="AG16" s="2649"/>
      <c r="AH16" s="2649"/>
      <c r="AI16" s="2649"/>
      <c r="AJ16" s="2650"/>
      <c r="AK16" s="1216"/>
      <c r="AL16" s="1216"/>
      <c r="AM16" s="1216"/>
      <c r="AN16" s="1212"/>
      <c r="AO16" s="1226">
        <f>IF($B25="yes",20,0)</f>
        <v>0</v>
      </c>
      <c r="AP16" s="1211"/>
    </row>
    <row r="17" spans="1:42" s="1213" customFormat="1" ht="12.75" customHeight="1">
      <c r="A17" s="1216"/>
      <c r="B17" s="1216"/>
      <c r="C17" s="1216"/>
      <c r="D17" s="1227"/>
      <c r="E17" s="2651"/>
      <c r="F17" s="2652"/>
      <c r="G17" s="2652"/>
      <c r="H17" s="2652"/>
      <c r="I17" s="2652"/>
      <c r="J17" s="2652"/>
      <c r="K17" s="2652"/>
      <c r="L17" s="2652"/>
      <c r="M17" s="2652"/>
      <c r="N17" s="2652"/>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3"/>
      <c r="AK17" s="1216"/>
      <c r="AL17" s="1216"/>
      <c r="AM17" s="1216"/>
      <c r="AN17" s="1212"/>
      <c r="AO17" s="1213">
        <f>IF(SUM(AO13:AO16)&gt;20,20,(SUM(AO13:AO16)))</f>
        <v>0</v>
      </c>
      <c r="AP17" s="1213" t="s">
        <v>1498</v>
      </c>
    </row>
    <row r="18" spans="1:42" s="1213" customFormat="1" ht="12.75" customHeight="1">
      <c r="A18" s="1216"/>
      <c r="B18" s="1216"/>
      <c r="C18" s="1216"/>
      <c r="D18" s="1227"/>
      <c r="E18" s="2651"/>
      <c r="F18" s="2652"/>
      <c r="G18" s="2652"/>
      <c r="H18" s="2652"/>
      <c r="I18" s="2652"/>
      <c r="J18" s="2652"/>
      <c r="K18" s="2652"/>
      <c r="L18" s="2652"/>
      <c r="M18" s="2652"/>
      <c r="N18" s="2652"/>
      <c r="O18" s="2652"/>
      <c r="P18" s="2652"/>
      <c r="Q18" s="2652"/>
      <c r="R18" s="2652"/>
      <c r="S18" s="2652"/>
      <c r="T18" s="2652"/>
      <c r="U18" s="2652"/>
      <c r="V18" s="2652"/>
      <c r="W18" s="2652"/>
      <c r="X18" s="2652"/>
      <c r="Y18" s="2652"/>
      <c r="Z18" s="2652"/>
      <c r="AA18" s="2652"/>
      <c r="AB18" s="2652"/>
      <c r="AC18" s="2652"/>
      <c r="AD18" s="2652"/>
      <c r="AE18" s="2652"/>
      <c r="AF18" s="2652"/>
      <c r="AG18" s="2652"/>
      <c r="AH18" s="2652"/>
      <c r="AI18" s="2652"/>
      <c r="AJ18" s="2653"/>
      <c r="AK18" s="1216"/>
      <c r="AL18" s="1216"/>
      <c r="AM18" s="1216"/>
      <c r="AN18" s="1212"/>
    </row>
    <row r="19" spans="1:42" s="1213" customFormat="1" ht="12.75" customHeight="1">
      <c r="A19" s="1216"/>
      <c r="B19" s="1216"/>
      <c r="C19" s="1216"/>
      <c r="D19" s="1227"/>
      <c r="E19" s="1584" t="s">
        <v>1499</v>
      </c>
      <c r="F19" s="1585"/>
      <c r="G19" s="1585"/>
      <c r="H19" s="1585"/>
      <c r="I19" s="1585"/>
      <c r="J19" s="1585"/>
      <c r="K19" s="1585"/>
      <c r="L19" s="1585"/>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6"/>
      <c r="AK19" s="1216"/>
      <c r="AL19" s="1216"/>
      <c r="AM19" s="1216"/>
      <c r="AN19" s="1212"/>
    </row>
    <row r="20" spans="1:42" s="1213" customFormat="1" ht="12.75" customHeight="1">
      <c r="A20" s="1216"/>
      <c r="B20" s="1216"/>
      <c r="C20" s="1216"/>
      <c r="D20" s="1227"/>
      <c r="E20" s="2666"/>
      <c r="F20" s="2667"/>
      <c r="G20" s="2667"/>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8"/>
      <c r="AK20" s="1216"/>
      <c r="AL20" s="1216"/>
      <c r="AM20" s="1216"/>
      <c r="AN20" s="1212"/>
      <c r="AO20" s="1226">
        <f>IF($B30="yes",14,0)</f>
        <v>0</v>
      </c>
    </row>
    <row r="21" spans="1:42" s="1213" customFormat="1" ht="12.75" customHeight="1">
      <c r="A21" s="1216"/>
      <c r="B21" s="1216"/>
      <c r="C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216"/>
      <c r="AN21" s="1212"/>
      <c r="AO21" s="1226">
        <f>IF($B33="yes",14,0)</f>
        <v>0</v>
      </c>
      <c r="AP21" s="1211"/>
    </row>
    <row r="22" spans="1:42" s="1213" customFormat="1" ht="12.75" customHeight="1">
      <c r="A22" s="1216"/>
      <c r="B22" s="2647" t="s">
        <v>615</v>
      </c>
      <c r="C22" s="2647"/>
      <c r="D22" s="1223"/>
      <c r="E22" s="2669" t="s">
        <v>1500</v>
      </c>
      <c r="F22" s="2670"/>
      <c r="G22" s="2670"/>
      <c r="H22" s="2670"/>
      <c r="I22" s="2670"/>
      <c r="J22" s="2670"/>
      <c r="K22" s="2670"/>
      <c r="L22" s="2670"/>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1"/>
      <c r="AK22" s="1216"/>
      <c r="AL22" s="1216"/>
      <c r="AM22" s="1216"/>
      <c r="AN22" s="1212"/>
      <c r="AO22" s="1213">
        <f>IF(SUM(AO20:AO21)&gt;14,14,SUM(AO20:AO21))</f>
        <v>0</v>
      </c>
      <c r="AP22" s="1213" t="s">
        <v>1498</v>
      </c>
    </row>
    <row r="23" spans="1:42" s="1213" customFormat="1" ht="12.75" customHeight="1">
      <c r="A23" s="1216"/>
      <c r="B23" s="1216"/>
      <c r="C23" s="1216"/>
      <c r="D23" s="1226"/>
      <c r="E23" s="2672"/>
      <c r="F23" s="2673"/>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2673"/>
      <c r="AE23" s="2673"/>
      <c r="AF23" s="2673"/>
      <c r="AG23" s="2673"/>
      <c r="AH23" s="2673"/>
      <c r="AI23" s="2673"/>
      <c r="AJ23" s="2674"/>
      <c r="AK23" s="1216"/>
      <c r="AL23" s="1216"/>
      <c r="AM23" s="1216"/>
      <c r="AN23" s="1212"/>
    </row>
    <row r="24" spans="1:42" s="1213" customFormat="1" ht="12.75" customHeight="1">
      <c r="A24" s="1216"/>
      <c r="B24" s="1216"/>
      <c r="C24" s="1216"/>
      <c r="D24" s="1227"/>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216"/>
      <c r="AM24" s="1216"/>
      <c r="AN24" s="1212"/>
      <c r="AO24" s="1226">
        <f>IF($B39="yes",6,0)</f>
        <v>0</v>
      </c>
    </row>
    <row r="25" spans="1:42" s="1213" customFormat="1" ht="12.75" customHeight="1">
      <c r="A25" s="1216"/>
      <c r="B25" s="2647" t="s">
        <v>615</v>
      </c>
      <c r="C25" s="2647"/>
      <c r="D25" s="1223"/>
      <c r="E25" s="2563" t="s">
        <v>2705</v>
      </c>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5"/>
      <c r="AK25" s="1216"/>
      <c r="AL25" s="1216"/>
      <c r="AM25" s="1216"/>
      <c r="AN25" s="1212"/>
      <c r="AO25" s="1213">
        <f>IF(AO24&gt;6,6,AO24)</f>
        <v>0</v>
      </c>
      <c r="AP25" s="1213" t="s">
        <v>1498</v>
      </c>
    </row>
    <row r="26" spans="1:42" s="1213" customFormat="1" ht="12.75" customHeight="1">
      <c r="A26" s="1216"/>
      <c r="B26" s="1216"/>
      <c r="C26" s="1216"/>
      <c r="D26" s="1226"/>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1216"/>
      <c r="AL26" s="1216"/>
      <c r="AM26" s="1216"/>
      <c r="AN26" s="1212"/>
      <c r="AO26" s="1226"/>
    </row>
    <row r="27" spans="1:42" s="1213" customFormat="1" ht="12.75" customHeight="1">
      <c r="A27" s="1216"/>
      <c r="B27" s="1216"/>
      <c r="C27" s="1216"/>
      <c r="D27" s="122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216"/>
      <c r="AM27" s="1216"/>
      <c r="AN27" s="1212"/>
      <c r="AO27" s="1226"/>
    </row>
    <row r="28" spans="1:42" s="1213" customFormat="1" ht="12.75" customHeight="1">
      <c r="A28" s="1216"/>
      <c r="C28" s="1228" t="s">
        <v>2706</v>
      </c>
      <c r="E28" s="1216"/>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216"/>
      <c r="AM28" s="1216"/>
      <c r="AN28" s="1212"/>
      <c r="AO28" s="1226">
        <f>IF(AND(B46="Yes",B50="Yes",B52="Yes"),20,0)</f>
        <v>0</v>
      </c>
    </row>
    <row r="29" spans="1:42" s="1213" customFormat="1" ht="12.75" customHeight="1">
      <c r="A29" s="1216"/>
      <c r="B29" s="1216"/>
      <c r="C29" s="1216"/>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216"/>
      <c r="AM29" s="1216"/>
      <c r="AN29" s="1212"/>
      <c r="AO29" s="1213">
        <f>IF(AO28&gt;20,20,AO28)</f>
        <v>0</v>
      </c>
      <c r="AP29" s="1213" t="s">
        <v>1498</v>
      </c>
    </row>
    <row r="30" spans="1:42" s="1213" customFormat="1" ht="12.75" customHeight="1">
      <c r="A30" s="1216"/>
      <c r="B30" s="2647" t="s">
        <v>615</v>
      </c>
      <c r="C30" s="2647"/>
      <c r="D30" s="1223"/>
      <c r="E30" s="2669" t="s">
        <v>2707</v>
      </c>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1"/>
      <c r="AK30" s="1216"/>
      <c r="AL30" s="1216"/>
      <c r="AM30" s="1216"/>
      <c r="AN30" s="1212"/>
      <c r="AO30" s="1226"/>
    </row>
    <row r="31" spans="1:42" s="1213" customFormat="1" ht="12.75" customHeight="1">
      <c r="A31" s="1216"/>
      <c r="B31" s="1216"/>
      <c r="C31" s="1216"/>
      <c r="E31" s="2672"/>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4"/>
      <c r="AK31" s="1216"/>
      <c r="AL31" s="1216"/>
      <c r="AM31" s="1216"/>
      <c r="AN31" s="1212"/>
    </row>
    <row r="32" spans="1:42" s="1213" customFormat="1" ht="12.75" customHeight="1">
      <c r="A32" s="1216"/>
      <c r="B32" s="1216"/>
      <c r="C32" s="1216"/>
      <c r="F32" s="1582"/>
      <c r="G32" s="1582"/>
      <c r="H32" s="1582"/>
      <c r="I32" s="1582"/>
      <c r="J32" s="1582"/>
      <c r="K32" s="1582"/>
      <c r="L32" s="1582"/>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216"/>
      <c r="AL32" s="1216"/>
      <c r="AM32" s="1216"/>
      <c r="AN32" s="1212"/>
    </row>
    <row r="33" spans="1:41" s="1213" customFormat="1" ht="12.75" customHeight="1">
      <c r="A33" s="1216"/>
      <c r="B33" s="2647" t="s">
        <v>615</v>
      </c>
      <c r="C33" s="2647"/>
      <c r="D33" s="1223"/>
      <c r="E33" s="2563" t="s">
        <v>2708</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1216"/>
      <c r="AL33" s="1216"/>
      <c r="AM33" s="1216"/>
      <c r="AN33" s="1212"/>
    </row>
    <row r="34" spans="1:41" s="1213" customFormat="1" ht="12.75" customHeight="1">
      <c r="A34" s="1216"/>
      <c r="B34" s="1216"/>
      <c r="C34" s="1216"/>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1216"/>
      <c r="AL34" s="1216"/>
      <c r="AM34" s="1216"/>
      <c r="AN34" s="1212"/>
    </row>
    <row r="35" spans="1:41" s="1213" customFormat="1" ht="12.75" customHeight="1">
      <c r="A35" s="1216"/>
      <c r="B35" s="1216"/>
      <c r="C35" s="1216"/>
      <c r="E35" s="2570"/>
      <c r="F35" s="2571"/>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2"/>
      <c r="AK35" s="1216"/>
      <c r="AL35" s="1216"/>
      <c r="AM35" s="1216"/>
      <c r="AN35" s="1212"/>
    </row>
    <row r="36" spans="1:41" s="1213" customFormat="1" ht="12.75" customHeight="1">
      <c r="A36" s="1216"/>
      <c r="B36" s="1216"/>
      <c r="C36" s="1216"/>
      <c r="E36" s="1216"/>
      <c r="F36" s="1216"/>
      <c r="G36" s="1216"/>
      <c r="H36" s="1216"/>
      <c r="I36" s="1216"/>
      <c r="J36" s="1216"/>
      <c r="K36" s="1216"/>
      <c r="L36" s="1216"/>
      <c r="M36" s="1216"/>
      <c r="N36" s="1216"/>
      <c r="O36" s="1216"/>
      <c r="P36" s="1216"/>
      <c r="Q36" s="1216"/>
      <c r="R36" s="1216"/>
      <c r="S36" s="1216"/>
      <c r="T36" s="1216"/>
      <c r="U36" s="1216"/>
      <c r="V36" s="1216"/>
      <c r="W36" s="1216"/>
      <c r="X36" s="1216"/>
      <c r="Y36" s="1216"/>
      <c r="Z36" s="1216"/>
      <c r="AA36" s="1216"/>
      <c r="AB36" s="1216"/>
      <c r="AC36" s="1216"/>
      <c r="AD36" s="1216"/>
      <c r="AE36" s="1216"/>
      <c r="AF36" s="1216"/>
      <c r="AG36" s="1216"/>
      <c r="AH36" s="1216"/>
      <c r="AI36" s="1216"/>
      <c r="AJ36" s="1216"/>
      <c r="AK36" s="1216"/>
      <c r="AL36" s="1216"/>
      <c r="AM36" s="1216"/>
      <c r="AN36" s="1212"/>
      <c r="AO36" s="1213">
        <f>MAX(AO17,AO22,AO25,AO29)</f>
        <v>0</v>
      </c>
    </row>
    <row r="37" spans="1:41" s="1213" customFormat="1" ht="12.75" customHeight="1">
      <c r="A37" s="1216"/>
      <c r="C37" s="1228" t="s">
        <v>2709</v>
      </c>
      <c r="E37" s="1216"/>
      <c r="F37" s="1216"/>
      <c r="G37" s="1216"/>
      <c r="H37" s="1216"/>
      <c r="I37" s="1216"/>
      <c r="J37" s="1216"/>
      <c r="K37" s="1216"/>
      <c r="L37" s="1216"/>
      <c r="M37" s="1216"/>
      <c r="N37" s="1216"/>
      <c r="O37" s="1216"/>
      <c r="P37" s="1216"/>
      <c r="Q37" s="1216"/>
      <c r="R37" s="1216"/>
      <c r="S37" s="1216"/>
      <c r="T37" s="1216"/>
      <c r="U37" s="1216"/>
      <c r="V37" s="1216"/>
      <c r="W37" s="1216"/>
      <c r="X37" s="1216"/>
      <c r="Y37" s="1216"/>
      <c r="Z37" s="1216"/>
      <c r="AA37" s="1216"/>
      <c r="AB37" s="1216"/>
      <c r="AC37" s="1216"/>
      <c r="AD37" s="1216"/>
      <c r="AE37" s="1216"/>
      <c r="AF37" s="1216"/>
      <c r="AG37" s="1216"/>
      <c r="AH37" s="1216"/>
      <c r="AI37" s="1216"/>
      <c r="AJ37" s="1216"/>
      <c r="AK37" s="1216"/>
      <c r="AL37" s="1216"/>
      <c r="AM37" s="1216"/>
      <c r="AN37" s="1212"/>
    </row>
    <row r="38" spans="1:41" s="1213" customFormat="1" ht="12.75" customHeight="1">
      <c r="A38" s="1216"/>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216"/>
      <c r="AM38" s="1216"/>
      <c r="AN38" s="1212"/>
    </row>
    <row r="39" spans="1:41" s="1213" customFormat="1" ht="12.75" customHeight="1">
      <c r="A39" s="1216"/>
      <c r="B39" s="2647" t="s">
        <v>615</v>
      </c>
      <c r="C39" s="2647"/>
      <c r="D39" s="1587"/>
      <c r="E39" s="2563" t="s">
        <v>2710</v>
      </c>
      <c r="F39" s="2564"/>
      <c r="G39" s="2564"/>
      <c r="H39" s="2564"/>
      <c r="I39" s="2564"/>
      <c r="J39" s="2564"/>
      <c r="K39" s="2564"/>
      <c r="L39" s="2564"/>
      <c r="M39" s="2564"/>
      <c r="N39" s="2564"/>
      <c r="O39" s="2564"/>
      <c r="P39" s="2564"/>
      <c r="Q39" s="2564"/>
      <c r="R39" s="2564"/>
      <c r="S39" s="2564"/>
      <c r="T39" s="2564"/>
      <c r="U39" s="2564"/>
      <c r="V39" s="2564"/>
      <c r="W39" s="2564"/>
      <c r="X39" s="2564"/>
      <c r="Y39" s="2564"/>
      <c r="Z39" s="2564"/>
      <c r="AA39" s="2564"/>
      <c r="AB39" s="2564"/>
      <c r="AC39" s="2564"/>
      <c r="AD39" s="2564"/>
      <c r="AE39" s="2564"/>
      <c r="AF39" s="2564"/>
      <c r="AG39" s="2564"/>
      <c r="AH39" s="2564"/>
      <c r="AI39" s="2564"/>
      <c r="AJ39" s="2565"/>
      <c r="AK39" s="1587"/>
      <c r="AL39" s="1216"/>
      <c r="AM39" s="1216"/>
      <c r="AN39" s="1212"/>
    </row>
    <row r="40" spans="1:41" s="1213" customFormat="1" ht="12.75" customHeight="1">
      <c r="A40" s="1216"/>
      <c r="B40" s="1216"/>
      <c r="C40" s="1216"/>
      <c r="E40" s="2566"/>
      <c r="F40" s="2567"/>
      <c r="G40" s="2567"/>
      <c r="H40" s="2567"/>
      <c r="I40" s="2567"/>
      <c r="J40" s="2567"/>
      <c r="K40" s="2567"/>
      <c r="L40" s="2567"/>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8"/>
      <c r="AK40" s="1216"/>
      <c r="AL40" s="1216"/>
      <c r="AM40" s="1216"/>
      <c r="AN40" s="1212"/>
    </row>
    <row r="41" spans="1:41" s="1213" customFormat="1" ht="12.75" customHeight="1">
      <c r="A41" s="1216"/>
      <c r="D41" s="1223"/>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1216"/>
      <c r="AL41" s="1216"/>
      <c r="AM41" s="1216"/>
      <c r="AN41" s="1212"/>
      <c r="AO41" s="1588"/>
    </row>
    <row r="42" spans="1:41" s="1213" customFormat="1" ht="12.75" customHeight="1">
      <c r="A42" s="1216"/>
      <c r="B42" s="1216"/>
      <c r="C42" s="1216"/>
      <c r="E42" s="1216"/>
      <c r="F42" s="1216"/>
      <c r="G42" s="1216"/>
      <c r="H42" s="1216"/>
      <c r="I42" s="1216"/>
      <c r="J42" s="1216"/>
      <c r="K42" s="1216"/>
      <c r="L42" s="1216"/>
      <c r="M42" s="1216"/>
      <c r="N42" s="1216"/>
      <c r="O42" s="1216"/>
      <c r="P42" s="1216"/>
      <c r="Q42" s="1216"/>
      <c r="R42" s="1216"/>
      <c r="S42" s="1216"/>
      <c r="T42" s="1216"/>
      <c r="U42" s="1216"/>
      <c r="V42" s="1216"/>
      <c r="W42" s="1216"/>
      <c r="X42" s="1216"/>
      <c r="Y42" s="1216"/>
      <c r="Z42" s="1216"/>
      <c r="AA42" s="1216"/>
      <c r="AB42" s="1216"/>
      <c r="AC42" s="1216"/>
      <c r="AD42" s="1216"/>
      <c r="AE42" s="1216"/>
      <c r="AF42" s="1216"/>
      <c r="AG42" s="1216"/>
      <c r="AH42" s="1216"/>
      <c r="AI42" s="1216"/>
      <c r="AJ42" s="1216"/>
      <c r="AK42" s="1216"/>
      <c r="AL42" s="1216"/>
      <c r="AM42" s="1216"/>
      <c r="AN42" s="1212"/>
      <c r="AO42" s="1588"/>
    </row>
    <row r="43" spans="1:41" s="1213" customFormat="1" ht="12.75" customHeight="1">
      <c r="A43" s="1575"/>
      <c r="B43" s="1575" t="s">
        <v>2711</v>
      </c>
      <c r="C43" s="1223"/>
      <c r="D43" s="1223"/>
      <c r="E43" s="1589"/>
      <c r="F43" s="1216"/>
      <c r="G43" s="1216"/>
      <c r="H43" s="1216"/>
      <c r="I43" s="1216"/>
      <c r="J43" s="1216"/>
      <c r="K43" s="1216"/>
      <c r="L43" s="1216"/>
      <c r="M43" s="1216"/>
      <c r="N43" s="1216"/>
      <c r="O43" s="1216"/>
      <c r="P43" s="1216"/>
      <c r="Q43" s="1216"/>
      <c r="R43" s="1216"/>
      <c r="S43" s="1216"/>
      <c r="T43" s="1216"/>
      <c r="U43" s="1216"/>
      <c r="V43" s="1216"/>
      <c r="W43" s="1216"/>
      <c r="X43" s="1216"/>
      <c r="Y43" s="1216"/>
      <c r="Z43" s="1216"/>
      <c r="AA43" s="1216"/>
      <c r="AB43" s="1216"/>
      <c r="AC43" s="1216"/>
      <c r="AD43" s="1216"/>
      <c r="AE43" s="1216"/>
      <c r="AF43" s="1216"/>
      <c r="AG43" s="1216"/>
      <c r="AH43" s="1216"/>
      <c r="AI43" s="1216"/>
      <c r="AJ43" s="1216"/>
      <c r="AK43" s="1216"/>
      <c r="AL43" s="1216"/>
      <c r="AM43" s="1216"/>
      <c r="AN43" s="1212"/>
      <c r="AO43" s="1588"/>
    </row>
    <row r="44" spans="1:41" s="1213" customFormat="1" ht="12.75" customHeight="1">
      <c r="A44" s="1216"/>
      <c r="B44" s="1216"/>
      <c r="C44" s="1219" t="s">
        <v>2712</v>
      </c>
      <c r="D44" s="1216"/>
      <c r="E44" s="1216"/>
      <c r="F44" s="1216"/>
      <c r="G44" s="1216"/>
      <c r="H44" s="1216"/>
      <c r="I44" s="1216"/>
      <c r="J44" s="1216"/>
      <c r="K44" s="1216"/>
      <c r="L44" s="1216"/>
      <c r="M44" s="1216"/>
      <c r="N44" s="1216"/>
      <c r="O44" s="1216"/>
      <c r="P44" s="1216"/>
      <c r="Q44" s="1216"/>
      <c r="R44" s="1216"/>
      <c r="S44" s="1216"/>
      <c r="T44" s="1216"/>
      <c r="U44" s="1216"/>
      <c r="V44" s="1216"/>
      <c r="W44" s="1216"/>
      <c r="X44" s="1216"/>
      <c r="Y44" s="1216"/>
      <c r="Z44" s="1216"/>
      <c r="AA44" s="1216"/>
      <c r="AB44" s="1216"/>
      <c r="AC44" s="1216"/>
      <c r="AD44" s="1216"/>
      <c r="AE44" s="1216"/>
      <c r="AF44" s="1216"/>
      <c r="AG44" s="1216"/>
      <c r="AH44" s="1216"/>
      <c r="AI44" s="1216"/>
      <c r="AJ44" s="1216"/>
      <c r="AK44" s="1216"/>
      <c r="AL44" s="1216"/>
      <c r="AM44" s="1216"/>
      <c r="AN44" s="1212"/>
      <c r="AO44" s="1588"/>
    </row>
    <row r="45" spans="1:41" s="1213" customFormat="1" ht="12.75" customHeight="1">
      <c r="A45" s="1223"/>
      <c r="B45" s="1223"/>
      <c r="C45" s="1223"/>
      <c r="D45" s="1223"/>
      <c r="E45" s="1590"/>
      <c r="F45" s="1216"/>
      <c r="G45" s="1216"/>
      <c r="H45" s="1216"/>
      <c r="I45" s="1216"/>
      <c r="J45" s="1216"/>
      <c r="K45" s="1216"/>
      <c r="L45" s="1216"/>
      <c r="M45" s="1216"/>
      <c r="N45" s="1216"/>
      <c r="O45" s="1216"/>
      <c r="P45" s="1216"/>
      <c r="Q45" s="1216"/>
      <c r="R45" s="1216"/>
      <c r="S45" s="1216"/>
      <c r="T45" s="1216"/>
      <c r="U45" s="1216"/>
      <c r="V45" s="1216"/>
      <c r="W45" s="1216"/>
      <c r="X45" s="1216"/>
      <c r="Y45" s="1216"/>
      <c r="Z45" s="1216"/>
      <c r="AA45" s="1216"/>
      <c r="AB45" s="1216"/>
      <c r="AC45" s="1216"/>
      <c r="AD45" s="1216"/>
      <c r="AE45" s="1216"/>
      <c r="AF45" s="1216"/>
      <c r="AG45" s="1216"/>
      <c r="AH45" s="1216"/>
      <c r="AI45" s="1216"/>
      <c r="AJ45" s="1216"/>
      <c r="AK45" s="1216"/>
      <c r="AL45" s="1216"/>
      <c r="AM45" s="1216"/>
      <c r="AN45" s="1212"/>
      <c r="AO45" s="1588"/>
    </row>
    <row r="46" spans="1:41" s="1213" customFormat="1" ht="12.75" customHeight="1">
      <c r="A46" s="1216"/>
      <c r="B46" s="2647" t="s">
        <v>615</v>
      </c>
      <c r="C46" s="2647"/>
      <c r="D46" s="1216"/>
      <c r="E46" s="2563" t="s">
        <v>2713</v>
      </c>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64"/>
      <c r="AB46" s="2564"/>
      <c r="AC46" s="2564"/>
      <c r="AD46" s="2564"/>
      <c r="AE46" s="2564"/>
      <c r="AF46" s="2564"/>
      <c r="AG46" s="2564"/>
      <c r="AH46" s="2564"/>
      <c r="AI46" s="2564"/>
      <c r="AJ46" s="2565"/>
      <c r="AK46" s="1216"/>
      <c r="AL46" s="1216"/>
      <c r="AM46" s="1216"/>
      <c r="AN46" s="1212"/>
      <c r="AO46" s="1591"/>
    </row>
    <row r="47" spans="1:41" s="1213" customFormat="1" ht="12.75" customHeight="1">
      <c r="A47" s="1216"/>
      <c r="D47" s="1223"/>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1216"/>
      <c r="AL47" s="1216"/>
      <c r="AM47" s="1216"/>
      <c r="AN47" s="1212"/>
      <c r="AO47" s="1591"/>
    </row>
    <row r="48" spans="1:41" s="1213" customFormat="1" ht="12.75" customHeight="1">
      <c r="A48" s="1216"/>
      <c r="D48" s="1216"/>
      <c r="E48" s="2570"/>
      <c r="F48" s="2571"/>
      <c r="G48" s="2571"/>
      <c r="H48" s="2571"/>
      <c r="I48" s="2571"/>
      <c r="J48" s="2571"/>
      <c r="K48" s="2571"/>
      <c r="L48" s="2571"/>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2"/>
      <c r="AK48" s="1216"/>
      <c r="AL48" s="1216"/>
      <c r="AM48" s="1216"/>
      <c r="AN48" s="1212"/>
    </row>
    <row r="49" spans="1:50" s="1213" customFormat="1" ht="12.75" customHeight="1">
      <c r="A49" s="1216"/>
      <c r="B49" s="1216"/>
      <c r="C49" s="1216"/>
      <c r="D49" s="1223"/>
      <c r="E49" s="1590"/>
      <c r="F49" s="1588"/>
      <c r="G49" s="1588"/>
      <c r="H49" s="1216"/>
      <c r="I49" s="1216"/>
      <c r="J49" s="1216"/>
      <c r="K49" s="1216"/>
      <c r="L49" s="1216"/>
      <c r="M49" s="1216"/>
      <c r="N49" s="1216"/>
      <c r="O49" s="1216"/>
      <c r="P49" s="1216"/>
      <c r="Q49" s="1216"/>
      <c r="R49" s="1216"/>
      <c r="S49" s="1216"/>
      <c r="T49" s="1216"/>
      <c r="U49" s="1216"/>
      <c r="V49" s="1216"/>
      <c r="W49" s="1216"/>
      <c r="X49" s="1216"/>
      <c r="Y49" s="1216"/>
      <c r="Z49" s="1216"/>
      <c r="AA49" s="1216"/>
      <c r="AB49" s="1216"/>
      <c r="AC49" s="1216"/>
      <c r="AD49" s="1216"/>
      <c r="AE49" s="1216"/>
      <c r="AF49" s="1216"/>
      <c r="AG49" s="1216"/>
      <c r="AH49" s="1216"/>
      <c r="AI49" s="1216"/>
      <c r="AJ49" s="1216"/>
      <c r="AK49" s="1216"/>
      <c r="AL49" s="1216"/>
      <c r="AM49" s="1216"/>
      <c r="AN49" s="1212"/>
    </row>
    <row r="50" spans="1:50" s="1213" customFormat="1" ht="12.75" customHeight="1">
      <c r="A50" s="1216"/>
      <c r="B50" s="2647" t="s">
        <v>615</v>
      </c>
      <c r="C50" s="2647"/>
      <c r="D50" s="1216"/>
      <c r="E50" s="2663" t="s">
        <v>2714</v>
      </c>
      <c r="F50" s="2664"/>
      <c r="G50" s="2664"/>
      <c r="H50" s="2664"/>
      <c r="I50" s="2664"/>
      <c r="J50" s="2664"/>
      <c r="K50" s="2664"/>
      <c r="L50" s="2664"/>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5"/>
      <c r="AK50" s="1216"/>
      <c r="AL50" s="1216"/>
      <c r="AM50" s="1216"/>
      <c r="AN50" s="1212"/>
    </row>
    <row r="51" spans="1:50" s="1213" customFormat="1" ht="12.75" customHeight="1">
      <c r="A51" s="1216"/>
      <c r="B51" s="1216"/>
      <c r="C51" s="1216"/>
      <c r="D51" s="1223"/>
      <c r="E51" s="1592"/>
      <c r="F51" s="1588"/>
      <c r="G51" s="1588"/>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c r="AL51" s="1216"/>
      <c r="AM51" s="1216"/>
      <c r="AN51" s="1212"/>
    </row>
    <row r="52" spans="1:50" s="1213" customFormat="1" ht="12.75" customHeight="1">
      <c r="A52" s="1216"/>
      <c r="B52" s="2647" t="s">
        <v>615</v>
      </c>
      <c r="C52" s="2647"/>
      <c r="D52" s="1216"/>
      <c r="E52" s="2563" t="s">
        <v>2715</v>
      </c>
      <c r="F52" s="2564"/>
      <c r="G52" s="2564"/>
      <c r="H52" s="2564"/>
      <c r="I52" s="2564"/>
      <c r="J52" s="2564"/>
      <c r="K52" s="2564"/>
      <c r="L52" s="2564"/>
      <c r="M52" s="2564"/>
      <c r="N52" s="2564"/>
      <c r="O52" s="2564"/>
      <c r="P52" s="2564"/>
      <c r="Q52" s="2564"/>
      <c r="R52" s="2564"/>
      <c r="S52" s="2564"/>
      <c r="T52" s="2564"/>
      <c r="U52" s="2564"/>
      <c r="V52" s="2564"/>
      <c r="W52" s="2564"/>
      <c r="X52" s="2564"/>
      <c r="Y52" s="2564"/>
      <c r="Z52" s="2564"/>
      <c r="AA52" s="2564"/>
      <c r="AB52" s="2564"/>
      <c r="AC52" s="2564"/>
      <c r="AD52" s="2564"/>
      <c r="AE52" s="2564"/>
      <c r="AF52" s="2564"/>
      <c r="AG52" s="2564"/>
      <c r="AH52" s="2564"/>
      <c r="AI52" s="2564"/>
      <c r="AJ52" s="2565"/>
      <c r="AK52" s="1216"/>
      <c r="AL52" s="1216"/>
      <c r="AM52" s="1216"/>
      <c r="AN52" s="1212"/>
    </row>
    <row r="53" spans="1:50" s="1213" customFormat="1" ht="12.75" customHeight="1">
      <c r="A53" s="1216"/>
      <c r="B53" s="1223"/>
      <c r="C53" s="1223"/>
      <c r="D53" s="1223"/>
      <c r="E53" s="2570"/>
      <c r="F53" s="2571"/>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2"/>
      <c r="AK53" s="1216"/>
      <c r="AL53" s="1216"/>
      <c r="AM53" s="1216"/>
      <c r="AN53" s="1212"/>
      <c r="AX53" s="1575"/>
    </row>
    <row r="54" spans="1:50" s="1213" customFormat="1" ht="12.75" customHeight="1">
      <c r="A54" s="1216"/>
      <c r="B54" s="1223"/>
      <c r="C54" s="1223"/>
      <c r="D54" s="1223"/>
      <c r="E54" s="1592"/>
      <c r="F54" s="1216"/>
      <c r="G54" s="1216"/>
      <c r="H54" s="1216"/>
      <c r="I54" s="1216"/>
      <c r="J54" s="1216"/>
      <c r="K54" s="1216"/>
      <c r="L54" s="1216"/>
      <c r="M54" s="1216"/>
      <c r="N54" s="1216"/>
      <c r="O54" s="1216"/>
      <c r="P54" s="1216"/>
      <c r="Q54" s="1216"/>
      <c r="R54" s="1216"/>
      <c r="S54" s="1216"/>
      <c r="T54" s="1216"/>
      <c r="U54" s="1216"/>
      <c r="V54" s="1216"/>
      <c r="W54" s="1216"/>
      <c r="X54" s="1216"/>
      <c r="Y54" s="1216"/>
      <c r="Z54" s="1216"/>
      <c r="AA54" s="1216"/>
      <c r="AB54" s="1216"/>
      <c r="AC54" s="1216"/>
      <c r="AD54" s="1216"/>
      <c r="AE54" s="1216"/>
      <c r="AF54" s="1216"/>
      <c r="AG54" s="1216"/>
      <c r="AH54" s="1216"/>
      <c r="AI54" s="1216"/>
      <c r="AJ54" s="1216"/>
      <c r="AK54" s="1216"/>
      <c r="AL54" s="1216"/>
      <c r="AM54" s="1216"/>
      <c r="AN54" s="1212"/>
      <c r="AX54" s="1575"/>
    </row>
    <row r="55" spans="1:50" s="1213" customFormat="1" ht="12.75" customHeight="1">
      <c r="A55" s="1216"/>
      <c r="B55" s="1216"/>
      <c r="C55" s="1216"/>
      <c r="D55" s="1216"/>
      <c r="E55" s="1216"/>
      <c r="F55" s="1216"/>
      <c r="G55" s="1216"/>
      <c r="H55" s="1216"/>
      <c r="I55" s="1216"/>
      <c r="J55" s="1216"/>
      <c r="K55" s="1216"/>
      <c r="L55" s="1216"/>
      <c r="M55" s="1216"/>
      <c r="N55" s="1216"/>
      <c r="O55" s="1216"/>
      <c r="P55" s="1216"/>
      <c r="Q55" s="1216"/>
      <c r="R55" s="1216"/>
      <c r="S55" s="1216"/>
      <c r="T55" s="1216"/>
      <c r="U55" s="1216"/>
      <c r="V55" s="1216"/>
      <c r="W55" s="1216"/>
      <c r="X55" s="1216"/>
      <c r="Y55" s="1216"/>
      <c r="Z55" s="1216"/>
      <c r="AA55" s="1216"/>
      <c r="AB55" s="1216"/>
      <c r="AC55" s="1216"/>
      <c r="AD55" s="1216"/>
      <c r="AE55" s="1216"/>
      <c r="AF55" s="1216"/>
      <c r="AG55" s="1216"/>
      <c r="AH55" s="1216"/>
      <c r="AI55" s="1216"/>
      <c r="AJ55" s="1216"/>
      <c r="AK55" s="1216"/>
      <c r="AL55" s="1216"/>
      <c r="AM55" s="1216"/>
      <c r="AN55" s="1212"/>
    </row>
    <row r="56" spans="1:50" s="1213" customFormat="1" ht="12.75" customHeight="1">
      <c r="A56" s="1229"/>
      <c r="B56" s="1230"/>
      <c r="C56" s="1230"/>
      <c r="D56" s="1230"/>
      <c r="E56" s="1230"/>
      <c r="F56" s="1230"/>
      <c r="G56" s="1231"/>
      <c r="H56" s="1232"/>
      <c r="I56" s="1232"/>
      <c r="J56" s="1232"/>
      <c r="K56" s="1232"/>
      <c r="L56" s="1232"/>
      <c r="M56" s="1232"/>
      <c r="N56" s="1232"/>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3"/>
      <c r="AJ56" s="1233" t="s">
        <v>1501</v>
      </c>
      <c r="AK56" s="2629">
        <f>AO36</f>
        <v>0</v>
      </c>
      <c r="AL56" s="2630"/>
      <c r="AM56" s="2631"/>
      <c r="AN56" s="1212"/>
    </row>
    <row r="57" spans="1:50" s="1213" customFormat="1" ht="12.75" customHeight="1" thickBot="1">
      <c r="A57" s="1234"/>
      <c r="B57" s="1235"/>
      <c r="C57" s="1236"/>
      <c r="D57" s="1236"/>
      <c r="E57" s="1236"/>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7"/>
      <c r="AN57" s="1212"/>
    </row>
    <row r="58" spans="1:50" s="1213" customFormat="1" ht="12.75" customHeight="1" thickTop="1">
      <c r="B58" s="914"/>
      <c r="C58" s="915"/>
      <c r="D58" s="915"/>
      <c r="E58" s="915"/>
      <c r="F58" s="915"/>
      <c r="G58" s="915"/>
      <c r="H58" s="915"/>
      <c r="I58" s="1567"/>
      <c r="J58" s="1567"/>
      <c r="K58" s="1567"/>
      <c r="L58" s="1567"/>
      <c r="M58" s="1567"/>
      <c r="N58" s="1567"/>
      <c r="O58" s="1567"/>
      <c r="P58" s="1567"/>
      <c r="Q58" s="1567"/>
      <c r="S58" s="1575"/>
      <c r="T58" s="1575"/>
      <c r="U58" s="1575"/>
      <c r="V58" s="1575"/>
      <c r="W58" s="1575"/>
      <c r="X58" s="1575"/>
      <c r="Y58" s="1575"/>
      <c r="Z58" s="1575"/>
      <c r="AA58" s="1575"/>
      <c r="AB58" s="1575"/>
      <c r="AC58" s="1575"/>
      <c r="AD58" s="1575"/>
      <c r="AE58" s="1575"/>
      <c r="AG58" s="1575"/>
      <c r="AH58" s="1575"/>
      <c r="AI58" s="1575"/>
      <c r="AJ58" s="1575"/>
      <c r="AK58" s="1226"/>
      <c r="AL58" s="1226"/>
      <c r="AM58" s="1226"/>
      <c r="AN58" s="1212"/>
    </row>
    <row r="59" spans="1:50" s="1213" customFormat="1" ht="12.75" customHeight="1">
      <c r="A59" s="1215" t="s">
        <v>1502</v>
      </c>
      <c r="B59" s="1575" t="s">
        <v>1503</v>
      </c>
      <c r="C59" s="1575"/>
      <c r="D59" s="1575"/>
      <c r="E59" s="1575"/>
      <c r="F59" s="1575"/>
      <c r="G59" s="1575"/>
      <c r="H59" s="1575"/>
      <c r="I59" s="1575"/>
      <c r="J59" s="1575"/>
      <c r="K59" s="1575"/>
      <c r="L59" s="1575"/>
      <c r="M59" s="1575"/>
      <c r="N59" s="1575"/>
      <c r="O59" s="1575"/>
      <c r="P59" s="1575"/>
      <c r="Q59" s="1575"/>
      <c r="R59" s="1575"/>
      <c r="S59" s="1575"/>
      <c r="T59" s="1575"/>
      <c r="U59" s="1575"/>
      <c r="V59" s="1575"/>
      <c r="W59" s="1575"/>
      <c r="X59" s="1575"/>
      <c r="Y59" s="1575"/>
      <c r="Z59" s="1575"/>
      <c r="AA59" s="1575"/>
      <c r="AB59" s="1575"/>
      <c r="AC59" s="1575"/>
      <c r="AD59" s="1575"/>
      <c r="AE59" s="2490" t="s">
        <v>1504</v>
      </c>
      <c r="AF59" s="2490"/>
      <c r="AG59" s="2490"/>
      <c r="AH59" s="2490"/>
      <c r="AI59" s="2490"/>
      <c r="AJ59" s="2490"/>
      <c r="AK59" s="2490"/>
      <c r="AL59" s="1216"/>
      <c r="AM59" s="1216"/>
      <c r="AN59" s="1212"/>
    </row>
    <row r="60" spans="1:50" s="1213" customFormat="1" ht="12.75" customHeight="1">
      <c r="A60" s="1215"/>
      <c r="B60" s="1575" t="s">
        <v>2037</v>
      </c>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63"/>
      <c r="AF60" s="1563"/>
      <c r="AG60" s="1563"/>
      <c r="AH60" s="1563"/>
      <c r="AI60" s="1563"/>
      <c r="AJ60" s="1563"/>
      <c r="AK60" s="1563"/>
      <c r="AL60" s="1216"/>
      <c r="AM60" s="1216"/>
      <c r="AN60" s="1212"/>
    </row>
    <row r="61" spans="1:50" s="1213" customFormat="1" ht="12.75" customHeight="1">
      <c r="A61" s="1215"/>
      <c r="B61" s="1575"/>
      <c r="C61" s="1575"/>
      <c r="D61" s="1575"/>
      <c r="E61" s="1575"/>
      <c r="F61" s="1575"/>
      <c r="G61" s="1575"/>
      <c r="H61" s="1575"/>
      <c r="I61" s="1575"/>
      <c r="J61" s="1575"/>
      <c r="K61" s="1575"/>
      <c r="L61" s="1575"/>
      <c r="M61" s="1575"/>
      <c r="N61" s="1575"/>
      <c r="O61" s="1575"/>
      <c r="P61" s="1575"/>
      <c r="Q61" s="1575"/>
      <c r="R61" s="1575"/>
      <c r="S61" s="1575"/>
      <c r="T61" s="1575"/>
      <c r="U61" s="1575"/>
      <c r="V61" s="1575"/>
      <c r="W61" s="1575"/>
      <c r="X61" s="1575"/>
      <c r="Y61" s="1575"/>
      <c r="Z61" s="1575"/>
      <c r="AA61" s="1575"/>
      <c r="AB61" s="1575"/>
      <c r="AC61" s="1575"/>
      <c r="AD61" s="1575"/>
      <c r="AE61" s="1563"/>
      <c r="AF61" s="1563"/>
      <c r="AG61" s="1563"/>
      <c r="AH61" s="1563"/>
      <c r="AI61" s="1563"/>
      <c r="AJ61" s="1563"/>
      <c r="AK61" s="1563"/>
      <c r="AL61" s="1216"/>
      <c r="AM61" s="1216"/>
      <c r="AN61" s="1212"/>
    </row>
    <row r="62" spans="1:50" s="1213" customFormat="1" ht="12.75" customHeight="1">
      <c r="A62" s="1215"/>
      <c r="B62" s="2647" t="s">
        <v>615</v>
      </c>
      <c r="C62" s="2647"/>
      <c r="D62" s="1223" t="s">
        <v>1505</v>
      </c>
      <c r="E62" s="2648" t="s">
        <v>2716</v>
      </c>
      <c r="F62" s="2649"/>
      <c r="G62" s="2649"/>
      <c r="H62" s="2649"/>
      <c r="I62" s="2649"/>
      <c r="J62" s="2649"/>
      <c r="K62" s="2649"/>
      <c r="L62" s="2649"/>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50"/>
      <c r="AK62" s="1563"/>
      <c r="AL62" s="1216"/>
      <c r="AM62" s="1216"/>
      <c r="AN62" s="1212"/>
      <c r="AO62" s="1226">
        <f>IF($B62="yes",10,0)</f>
        <v>0</v>
      </c>
    </row>
    <row r="63" spans="1:50" s="1213" customFormat="1" ht="12.75" customHeight="1">
      <c r="A63" s="1215"/>
      <c r="B63" s="1216"/>
      <c r="C63" s="1216"/>
      <c r="D63" s="1227"/>
      <c r="E63" s="2651"/>
      <c r="F63" s="2652"/>
      <c r="G63" s="2652"/>
      <c r="H63" s="2652"/>
      <c r="I63" s="2652"/>
      <c r="J63" s="2652"/>
      <c r="K63" s="2652"/>
      <c r="L63" s="2652"/>
      <c r="M63" s="2652"/>
      <c r="N63" s="2652"/>
      <c r="O63" s="2652"/>
      <c r="P63" s="2652"/>
      <c r="Q63" s="2652"/>
      <c r="R63" s="2652"/>
      <c r="S63" s="2652"/>
      <c r="T63" s="2652"/>
      <c r="U63" s="2652"/>
      <c r="V63" s="2652"/>
      <c r="W63" s="2652"/>
      <c r="X63" s="2652"/>
      <c r="Y63" s="2652"/>
      <c r="Z63" s="2652"/>
      <c r="AA63" s="2652"/>
      <c r="AB63" s="2652"/>
      <c r="AC63" s="2652"/>
      <c r="AD63" s="2652"/>
      <c r="AE63" s="2652"/>
      <c r="AF63" s="2652"/>
      <c r="AG63" s="2652"/>
      <c r="AH63" s="2652"/>
      <c r="AI63" s="2652"/>
      <c r="AJ63" s="2653"/>
      <c r="AK63" s="1563"/>
      <c r="AL63" s="1216"/>
      <c r="AM63" s="1216"/>
      <c r="AN63" s="1212"/>
      <c r="AO63" s="1226">
        <f>IF($B68="yes",10,0)</f>
        <v>10</v>
      </c>
    </row>
    <row r="64" spans="1:50" s="1213" customFormat="1" ht="12.75" customHeight="1">
      <c r="A64" s="1215"/>
      <c r="B64" s="1216"/>
      <c r="C64" s="1216"/>
      <c r="D64" s="1227"/>
      <c r="E64" s="2651"/>
      <c r="F64" s="2652"/>
      <c r="G64" s="2652"/>
      <c r="H64" s="2652"/>
      <c r="I64" s="2652"/>
      <c r="J64" s="2652"/>
      <c r="K64" s="2652"/>
      <c r="L64" s="2652"/>
      <c r="M64" s="2652"/>
      <c r="N64" s="2652"/>
      <c r="O64" s="2652"/>
      <c r="P64" s="2652"/>
      <c r="Q64" s="2652"/>
      <c r="R64" s="2652"/>
      <c r="S64" s="2652"/>
      <c r="T64" s="2652"/>
      <c r="U64" s="2652"/>
      <c r="V64" s="2652"/>
      <c r="W64" s="2652"/>
      <c r="X64" s="2652"/>
      <c r="Y64" s="2652"/>
      <c r="Z64" s="2652"/>
      <c r="AA64" s="2652"/>
      <c r="AB64" s="2652"/>
      <c r="AC64" s="2652"/>
      <c r="AD64" s="2652"/>
      <c r="AE64" s="2652"/>
      <c r="AF64" s="2652"/>
      <c r="AG64" s="2652"/>
      <c r="AH64" s="2652"/>
      <c r="AI64" s="2652"/>
      <c r="AJ64" s="2653"/>
      <c r="AK64" s="1563"/>
      <c r="AL64" s="1216"/>
      <c r="AM64" s="1216"/>
      <c r="AN64" s="1212"/>
      <c r="AO64" s="1226">
        <f>IF($B75="yes",10,0)</f>
        <v>0</v>
      </c>
    </row>
    <row r="65" spans="1:42" s="1213" customFormat="1" ht="12.75" customHeight="1">
      <c r="A65" s="1215"/>
      <c r="B65" s="1216"/>
      <c r="C65" s="1216"/>
      <c r="D65" s="1227"/>
      <c r="E65" s="2651"/>
      <c r="F65" s="2652"/>
      <c r="G65" s="2652"/>
      <c r="H65" s="2652"/>
      <c r="I65" s="2652"/>
      <c r="J65" s="2652"/>
      <c r="K65" s="2652"/>
      <c r="L65" s="2652"/>
      <c r="M65" s="2652"/>
      <c r="N65" s="2652"/>
      <c r="O65" s="2652"/>
      <c r="P65" s="2652"/>
      <c r="Q65" s="2652"/>
      <c r="R65" s="2652"/>
      <c r="S65" s="2652"/>
      <c r="T65" s="2652"/>
      <c r="U65" s="2652"/>
      <c r="V65" s="2652"/>
      <c r="W65" s="2652"/>
      <c r="X65" s="2652"/>
      <c r="Y65" s="2652"/>
      <c r="Z65" s="2652"/>
      <c r="AA65" s="2652"/>
      <c r="AB65" s="2652"/>
      <c r="AC65" s="2652"/>
      <c r="AD65" s="2652"/>
      <c r="AE65" s="2652"/>
      <c r="AF65" s="2652"/>
      <c r="AG65" s="2652"/>
      <c r="AH65" s="2652"/>
      <c r="AI65" s="2652"/>
      <c r="AJ65" s="2653"/>
      <c r="AK65" s="1563"/>
      <c r="AL65" s="1216"/>
      <c r="AM65" s="1216"/>
      <c r="AN65" s="1212"/>
      <c r="AO65" s="1213">
        <f>IF(SUM(AO62:AO64)&gt;10,10,(SUM(AO62:AO64)))</f>
        <v>10</v>
      </c>
      <c r="AP65" s="1238" t="s">
        <v>1506</v>
      </c>
    </row>
    <row r="66" spans="1:42" s="1213" customFormat="1" ht="12.75" customHeight="1">
      <c r="A66" s="1215"/>
      <c r="B66" s="1216"/>
      <c r="C66" s="1216"/>
      <c r="D66" s="1227"/>
      <c r="E66" s="2658"/>
      <c r="F66" s="2659"/>
      <c r="G66" s="2659"/>
      <c r="H66" s="2659"/>
      <c r="I66" s="2659"/>
      <c r="J66" s="2659"/>
      <c r="K66" s="2659"/>
      <c r="L66" s="2659"/>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60"/>
      <c r="AK66" s="1563"/>
      <c r="AL66" s="1216"/>
      <c r="AM66" s="1216"/>
      <c r="AN66" s="1212"/>
    </row>
    <row r="67" spans="1:42" s="1213" customFormat="1" ht="12.75" customHeight="1">
      <c r="A67" s="1215"/>
      <c r="B67" s="1216"/>
      <c r="C67" s="1216"/>
      <c r="E67" s="1216"/>
      <c r="F67" s="1216"/>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563"/>
      <c r="AL67" s="1216"/>
      <c r="AM67" s="1216"/>
      <c r="AN67" s="1212"/>
    </row>
    <row r="68" spans="1:42" s="1213" customFormat="1" ht="12.75" customHeight="1">
      <c r="A68" s="1215"/>
      <c r="B68" s="2647" t="s">
        <v>568</v>
      </c>
      <c r="C68" s="2647"/>
      <c r="D68" s="1223" t="s">
        <v>1507</v>
      </c>
      <c r="E68" s="1239" t="s">
        <v>2033</v>
      </c>
      <c r="F68" s="1240"/>
      <c r="G68" s="1240"/>
      <c r="H68" s="1240"/>
      <c r="I68" s="1240"/>
      <c r="J68" s="1240"/>
      <c r="K68" s="1240"/>
      <c r="L68" s="1240"/>
      <c r="M68" s="1240"/>
      <c r="N68" s="1240"/>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1"/>
      <c r="AK68" s="1563"/>
      <c r="AL68" s="1216"/>
      <c r="AM68" s="1216"/>
      <c r="AN68" s="1212"/>
    </row>
    <row r="69" spans="1:42" s="1213" customFormat="1" ht="12.75" customHeight="1">
      <c r="A69" s="1215"/>
      <c r="B69" s="1216"/>
      <c r="C69" s="1216"/>
      <c r="D69" s="1226"/>
      <c r="E69" s="2657" t="s">
        <v>568</v>
      </c>
      <c r="F69" s="2647"/>
      <c r="G69" s="1242"/>
      <c r="H69" s="1590" t="s">
        <v>1508</v>
      </c>
      <c r="I69" s="1573"/>
      <c r="J69" s="1242"/>
      <c r="K69" s="1242"/>
      <c r="L69" s="1242"/>
      <c r="M69" s="1242"/>
      <c r="N69" s="1242"/>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3"/>
      <c r="AK69" s="1563"/>
      <c r="AL69" s="1216"/>
      <c r="AM69" s="1216"/>
      <c r="AN69" s="1212"/>
    </row>
    <row r="70" spans="1:42" s="1213" customFormat="1" ht="12.75" customHeight="1">
      <c r="A70" s="1215"/>
      <c r="B70" s="1216"/>
      <c r="C70" s="1216"/>
      <c r="D70" s="1226"/>
      <c r="E70" s="2661" t="s">
        <v>615</v>
      </c>
      <c r="F70" s="2662"/>
      <c r="G70" s="1242"/>
      <c r="H70" s="1590" t="s">
        <v>1509</v>
      </c>
      <c r="I70" s="1242"/>
      <c r="J70" s="1242"/>
      <c r="K70" s="1242"/>
      <c r="L70" s="1242"/>
      <c r="M70" s="1242"/>
      <c r="N70" s="1242"/>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3"/>
      <c r="AK70" s="1563"/>
      <c r="AL70" s="1216"/>
      <c r="AM70" s="1216"/>
      <c r="AN70" s="1212"/>
    </row>
    <row r="71" spans="1:42" s="1213" customFormat="1" ht="12.75" customHeight="1">
      <c r="A71" s="1215"/>
      <c r="B71" s="1216"/>
      <c r="C71" s="1216"/>
      <c r="D71" s="1226"/>
      <c r="E71" s="2661" t="s">
        <v>615</v>
      </c>
      <c r="F71" s="2662"/>
      <c r="G71" s="1242"/>
      <c r="H71" s="1590" t="s">
        <v>2048</v>
      </c>
      <c r="I71" s="1242"/>
      <c r="J71" s="1242"/>
      <c r="K71" s="1242"/>
      <c r="L71" s="1242"/>
      <c r="M71" s="1242"/>
      <c r="N71" s="1242"/>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3"/>
      <c r="AK71" s="1563"/>
      <c r="AL71" s="1216"/>
      <c r="AM71" s="1216"/>
      <c r="AN71" s="1212"/>
    </row>
    <row r="72" spans="1:42" s="1213" customFormat="1" ht="12.75" customHeight="1">
      <c r="A72" s="1215"/>
      <c r="B72" s="1216"/>
      <c r="C72" s="1216"/>
      <c r="D72" s="1226"/>
      <c r="E72" s="1244"/>
      <c r="F72" s="1242"/>
      <c r="G72" s="1242"/>
      <c r="H72" s="1242"/>
      <c r="I72" s="1242"/>
      <c r="J72" s="1242"/>
      <c r="K72" s="1242"/>
      <c r="L72" s="1242"/>
      <c r="M72" s="1242"/>
      <c r="N72" s="1242"/>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3"/>
      <c r="AK72" s="1563"/>
      <c r="AL72" s="1216"/>
      <c r="AM72" s="1216"/>
      <c r="AN72" s="1212"/>
    </row>
    <row r="73" spans="1:42" s="1213" customFormat="1" ht="12.75" customHeight="1">
      <c r="A73" s="1215"/>
      <c r="B73" s="1216"/>
      <c r="C73" s="1216"/>
      <c r="D73" s="1226"/>
      <c r="E73" s="2657" t="s">
        <v>568</v>
      </c>
      <c r="F73" s="2647"/>
      <c r="G73" s="1582"/>
      <c r="H73" s="1014" t="s">
        <v>2047</v>
      </c>
      <c r="I73" s="1582"/>
      <c r="J73" s="1582"/>
      <c r="K73" s="1582"/>
      <c r="L73" s="1582"/>
      <c r="M73" s="1582"/>
      <c r="N73" s="1582"/>
      <c r="O73" s="1582"/>
      <c r="P73" s="1582"/>
      <c r="Q73" s="1582"/>
      <c r="R73" s="1582"/>
      <c r="S73" s="1582"/>
      <c r="T73" s="1582"/>
      <c r="U73" s="1582"/>
      <c r="V73" s="1582"/>
      <c r="W73" s="1582"/>
      <c r="X73" s="1582"/>
      <c r="Y73" s="1582"/>
      <c r="Z73" s="1582"/>
      <c r="AA73" s="1582"/>
      <c r="AB73" s="1582"/>
      <c r="AC73" s="1582"/>
      <c r="AD73" s="1582"/>
      <c r="AE73" s="1582"/>
      <c r="AF73" s="1582"/>
      <c r="AG73" s="1582"/>
      <c r="AH73" s="1582"/>
      <c r="AI73" s="1582"/>
      <c r="AJ73" s="1583"/>
      <c r="AK73" s="1563"/>
      <c r="AL73" s="1216"/>
      <c r="AM73" s="1216"/>
      <c r="AN73" s="1212"/>
    </row>
    <row r="74" spans="1:42" s="1213" customFormat="1" ht="12.75" customHeight="1">
      <c r="A74" s="1215"/>
      <c r="B74" s="1216"/>
      <c r="C74" s="1216"/>
      <c r="D74" s="1227"/>
      <c r="E74" s="1216"/>
      <c r="F74" s="1216"/>
      <c r="G74" s="1216"/>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563"/>
      <c r="AL74" s="1216"/>
      <c r="AM74" s="1216"/>
      <c r="AN74" s="1212"/>
    </row>
    <row r="75" spans="1:42" s="1213" customFormat="1" ht="12.75" customHeight="1">
      <c r="A75" s="1215"/>
      <c r="B75" s="2647" t="s">
        <v>615</v>
      </c>
      <c r="C75" s="2647"/>
      <c r="D75" s="1223" t="s">
        <v>1510</v>
      </c>
      <c r="E75" s="2563" t="s">
        <v>2049</v>
      </c>
      <c r="F75" s="2564"/>
      <c r="G75" s="2564"/>
      <c r="H75" s="2564"/>
      <c r="I75" s="2564"/>
      <c r="J75" s="2564"/>
      <c r="K75" s="2564"/>
      <c r="L75" s="2564"/>
      <c r="M75" s="2564"/>
      <c r="N75" s="2564"/>
      <c r="O75" s="2564"/>
      <c r="P75" s="2564"/>
      <c r="Q75" s="2564"/>
      <c r="R75" s="2564"/>
      <c r="S75" s="2564"/>
      <c r="T75" s="2564"/>
      <c r="U75" s="2564"/>
      <c r="V75" s="2564"/>
      <c r="W75" s="2564"/>
      <c r="X75" s="2564"/>
      <c r="Y75" s="2564"/>
      <c r="Z75" s="2564"/>
      <c r="AA75" s="2564"/>
      <c r="AB75" s="2564"/>
      <c r="AC75" s="2564"/>
      <c r="AD75" s="2564"/>
      <c r="AE75" s="2564"/>
      <c r="AF75" s="2564"/>
      <c r="AG75" s="2564"/>
      <c r="AH75" s="2564"/>
      <c r="AI75" s="2564"/>
      <c r="AJ75" s="2565"/>
      <c r="AK75" s="1563"/>
      <c r="AL75" s="1216"/>
      <c r="AM75" s="1216"/>
      <c r="AN75" s="1212"/>
    </row>
    <row r="76" spans="1:42" s="1213" customFormat="1" ht="12.75" customHeight="1">
      <c r="A76" s="1215"/>
      <c r="B76" s="1216"/>
      <c r="C76" s="1216"/>
      <c r="D76" s="1226"/>
      <c r="E76" s="2570"/>
      <c r="F76" s="2571"/>
      <c r="G76" s="2571"/>
      <c r="H76" s="2571"/>
      <c r="I76" s="2571"/>
      <c r="J76" s="2571"/>
      <c r="K76" s="2571"/>
      <c r="L76" s="2571"/>
      <c r="M76" s="2571"/>
      <c r="N76" s="2571"/>
      <c r="O76" s="2571"/>
      <c r="P76" s="2571"/>
      <c r="Q76" s="2571"/>
      <c r="R76" s="2571"/>
      <c r="S76" s="2571"/>
      <c r="T76" s="2571"/>
      <c r="U76" s="2571"/>
      <c r="V76" s="2571"/>
      <c r="W76" s="2571"/>
      <c r="X76" s="2571"/>
      <c r="Y76" s="2571"/>
      <c r="Z76" s="2571"/>
      <c r="AA76" s="2571"/>
      <c r="AB76" s="2571"/>
      <c r="AC76" s="2571"/>
      <c r="AD76" s="2571"/>
      <c r="AE76" s="2571"/>
      <c r="AF76" s="2571"/>
      <c r="AG76" s="2571"/>
      <c r="AH76" s="2571"/>
      <c r="AI76" s="2571"/>
      <c r="AJ76" s="2572"/>
      <c r="AK76" s="1563"/>
      <c r="AL76" s="1216"/>
      <c r="AM76" s="1216"/>
      <c r="AN76" s="1212"/>
    </row>
    <row r="77" spans="1:42" s="1213" customFormat="1" ht="12.75" customHeight="1">
      <c r="A77" s="1215"/>
      <c r="B77" s="1216"/>
      <c r="C77" s="1216"/>
      <c r="D77" s="1226"/>
      <c r="E77" s="1216"/>
      <c r="F77" s="1216"/>
      <c r="G77" s="1216"/>
      <c r="H77" s="1216"/>
      <c r="I77" s="1216"/>
      <c r="J77" s="1216"/>
      <c r="K77" s="1216"/>
      <c r="L77" s="1216"/>
      <c r="M77" s="1216"/>
      <c r="N77" s="1216"/>
      <c r="O77" s="1216"/>
      <c r="P77" s="1216"/>
      <c r="Q77" s="1216"/>
      <c r="R77" s="1216"/>
      <c r="S77" s="1216"/>
      <c r="T77" s="1216"/>
      <c r="U77" s="1216"/>
      <c r="V77" s="1216"/>
      <c r="W77" s="1216"/>
      <c r="X77" s="1216"/>
      <c r="Y77" s="1216"/>
      <c r="Z77" s="1216"/>
      <c r="AA77" s="1216"/>
      <c r="AB77" s="1216"/>
      <c r="AC77" s="1216"/>
      <c r="AD77" s="1216"/>
      <c r="AE77" s="1216"/>
      <c r="AF77" s="1216"/>
      <c r="AG77" s="1216"/>
      <c r="AH77" s="1216"/>
      <c r="AI77" s="1216"/>
      <c r="AJ77" s="1216"/>
      <c r="AK77" s="1563"/>
      <c r="AL77" s="1216"/>
      <c r="AM77" s="1216"/>
      <c r="AN77" s="1212"/>
    </row>
    <row r="78" spans="1:42" s="1213" customFormat="1" ht="12.75" customHeight="1">
      <c r="A78" s="1229"/>
      <c r="B78" s="1230"/>
      <c r="C78" s="1230"/>
      <c r="D78" s="1230"/>
      <c r="E78" s="1230"/>
      <c r="F78" s="1230"/>
      <c r="G78" s="1231"/>
      <c r="H78" s="1232"/>
      <c r="I78" s="1232"/>
      <c r="J78" s="1232"/>
      <c r="K78" s="1232"/>
      <c r="L78" s="1232"/>
      <c r="M78" s="1232"/>
      <c r="N78" s="1232"/>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3"/>
      <c r="AJ78" s="1233" t="s">
        <v>1511</v>
      </c>
      <c r="AK78" s="2629">
        <f>IF(AK56&gt;0,0,AO65)</f>
        <v>10</v>
      </c>
      <c r="AL78" s="2630"/>
      <c r="AM78" s="2631"/>
      <c r="AN78" s="1212"/>
    </row>
    <row r="79" spans="1:42" s="1213" customFormat="1" ht="12.75" customHeight="1" thickBot="1">
      <c r="A79" s="1234"/>
      <c r="B79" s="1235"/>
      <c r="C79" s="1236"/>
      <c r="D79" s="1236"/>
      <c r="E79" s="1236"/>
      <c r="F79" s="1236"/>
      <c r="G79" s="1236"/>
      <c r="H79" s="1236"/>
      <c r="I79" s="1236"/>
      <c r="J79" s="1236"/>
      <c r="K79" s="1236"/>
      <c r="L79" s="1236"/>
      <c r="M79" s="1236"/>
      <c r="N79" s="1236"/>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7"/>
      <c r="AN79" s="1212"/>
    </row>
    <row r="80" spans="1:42" s="1213" customFormat="1" ht="12.75" customHeight="1" thickTop="1">
      <c r="B80" s="914"/>
      <c r="C80" s="915"/>
      <c r="D80" s="915"/>
      <c r="E80" s="915"/>
      <c r="F80" s="915"/>
      <c r="G80" s="915"/>
      <c r="H80" s="915"/>
      <c r="I80" s="1567"/>
      <c r="J80" s="1567"/>
      <c r="K80" s="1567"/>
      <c r="L80" s="1567"/>
      <c r="M80" s="1567"/>
      <c r="N80" s="1567"/>
      <c r="O80" s="1567"/>
      <c r="P80" s="1567"/>
      <c r="Q80" s="1567"/>
      <c r="S80" s="1575"/>
      <c r="T80" s="1575"/>
      <c r="U80" s="1575"/>
      <c r="V80" s="1575"/>
      <c r="W80" s="1575"/>
      <c r="X80" s="1575"/>
      <c r="Y80" s="1575"/>
      <c r="Z80" s="1575"/>
      <c r="AA80" s="1575"/>
      <c r="AB80" s="1575"/>
      <c r="AC80" s="1575"/>
      <c r="AD80" s="1575"/>
      <c r="AE80" s="1575"/>
      <c r="AG80" s="1575"/>
      <c r="AH80" s="1575"/>
      <c r="AI80" s="1575"/>
      <c r="AJ80" s="1575"/>
      <c r="AK80" s="1226"/>
      <c r="AL80" s="1226"/>
      <c r="AM80" s="1226"/>
      <c r="AN80" s="1212"/>
    </row>
    <row r="81" spans="1:43" s="1213" customFormat="1" ht="12.75" customHeight="1">
      <c r="A81" s="1215" t="s">
        <v>1512</v>
      </c>
      <c r="B81" s="1575" t="s">
        <v>1513</v>
      </c>
      <c r="C81" s="1575"/>
      <c r="D81" s="1575"/>
      <c r="E81" s="1575"/>
      <c r="F81" s="1575"/>
      <c r="G81" s="1575"/>
      <c r="H81" s="1575"/>
      <c r="I81" s="1575"/>
      <c r="J81" s="1575"/>
      <c r="K81" s="1575"/>
      <c r="L81" s="1575"/>
      <c r="M81" s="1575"/>
      <c r="N81" s="1575"/>
      <c r="O81" s="1575"/>
      <c r="P81" s="1575"/>
      <c r="Q81" s="1575"/>
      <c r="R81" s="1575"/>
      <c r="S81" s="1575"/>
      <c r="T81" s="1575"/>
      <c r="U81" s="1575"/>
      <c r="V81" s="1575"/>
      <c r="W81" s="1575"/>
      <c r="X81" s="1575"/>
      <c r="Y81" s="1575"/>
      <c r="Z81" s="1575"/>
      <c r="AA81" s="1575"/>
      <c r="AB81" s="1575"/>
      <c r="AC81" s="1575"/>
      <c r="AD81" s="1575"/>
      <c r="AE81" s="2490" t="s">
        <v>1495</v>
      </c>
      <c r="AF81" s="2490"/>
      <c r="AG81" s="2490"/>
      <c r="AH81" s="2490"/>
      <c r="AI81" s="2490"/>
      <c r="AJ81" s="2490"/>
      <c r="AK81" s="2490"/>
      <c r="AL81" s="1216"/>
      <c r="AM81" s="1216"/>
      <c r="AN81" s="1212"/>
    </row>
    <row r="82" spans="1:43" s="1213" customFormat="1" ht="12.75" customHeight="1">
      <c r="A82" s="1215"/>
      <c r="B82" s="1575" t="s">
        <v>1514</v>
      </c>
      <c r="C82" s="1575"/>
      <c r="D82" s="1575"/>
      <c r="E82" s="1575"/>
      <c r="F82" s="1575"/>
      <c r="G82" s="1575"/>
      <c r="H82" s="1575"/>
      <c r="I82" s="1575"/>
      <c r="J82" s="1575"/>
      <c r="K82" s="1575"/>
      <c r="L82" s="1575"/>
      <c r="M82" s="1575"/>
      <c r="N82" s="1575"/>
      <c r="O82" s="1575"/>
      <c r="P82" s="1575"/>
      <c r="Q82" s="1575"/>
      <c r="R82" s="1575"/>
      <c r="S82" s="1575"/>
      <c r="T82" s="1575"/>
      <c r="U82" s="1575"/>
      <c r="V82" s="1575"/>
      <c r="W82" s="1575"/>
      <c r="X82" s="1575"/>
      <c r="Y82" s="1575"/>
      <c r="Z82" s="1575"/>
      <c r="AA82" s="1575"/>
      <c r="AB82" s="1575"/>
      <c r="AC82" s="1575"/>
      <c r="AD82" s="1575"/>
      <c r="AE82" s="1563"/>
      <c r="AF82" s="1563"/>
      <c r="AG82" s="1563"/>
      <c r="AH82" s="1563"/>
      <c r="AI82" s="1563"/>
      <c r="AJ82" s="1563"/>
      <c r="AK82" s="1563"/>
      <c r="AL82" s="1216"/>
      <c r="AM82" s="1216"/>
      <c r="AN82" s="1212"/>
    </row>
    <row r="83" spans="1:43" s="1213" customFormat="1" ht="12.75" customHeight="1">
      <c r="A83" s="1215"/>
      <c r="B83" s="1575"/>
      <c r="C83" s="1575"/>
      <c r="D83" s="1575"/>
      <c r="E83" s="1575"/>
      <c r="F83" s="1575"/>
      <c r="G83" s="1575"/>
      <c r="H83" s="1575"/>
      <c r="I83" s="1575"/>
      <c r="J83" s="1575"/>
      <c r="K83" s="1575"/>
      <c r="L83" s="1575"/>
      <c r="M83" s="1575"/>
      <c r="N83" s="1575"/>
      <c r="O83" s="1575"/>
      <c r="P83" s="1575"/>
      <c r="Q83" s="1575"/>
      <c r="R83" s="1575"/>
      <c r="S83" s="1575"/>
      <c r="T83" s="1575"/>
      <c r="U83" s="1575"/>
      <c r="V83" s="1575"/>
      <c r="W83" s="1575"/>
      <c r="X83" s="1575"/>
      <c r="Y83" s="1575"/>
      <c r="Z83" s="1575"/>
      <c r="AA83" s="1575"/>
      <c r="AB83" s="1575"/>
      <c r="AC83" s="1575"/>
      <c r="AD83" s="1575"/>
      <c r="AE83" s="1563"/>
      <c r="AF83" s="1563"/>
      <c r="AG83" s="1563"/>
      <c r="AH83" s="1563"/>
      <c r="AI83" s="1563"/>
      <c r="AJ83" s="1563"/>
      <c r="AK83" s="1563"/>
      <c r="AL83" s="1216"/>
      <c r="AM83" s="1216"/>
      <c r="AN83" s="1212"/>
    </row>
    <row r="84" spans="1:43" s="1213" customFormat="1" ht="12.75" customHeight="1">
      <c r="A84" s="1215"/>
      <c r="B84" s="2647" t="s">
        <v>568</v>
      </c>
      <c r="C84" s="2647"/>
      <c r="D84" s="1223" t="s">
        <v>1505</v>
      </c>
      <c r="E84" s="2648" t="s">
        <v>1515</v>
      </c>
      <c r="F84" s="2649"/>
      <c r="G84" s="2649"/>
      <c r="H84" s="2649"/>
      <c r="I84" s="2649"/>
      <c r="J84" s="2649"/>
      <c r="K84" s="2649"/>
      <c r="L84" s="2649"/>
      <c r="M84" s="2649"/>
      <c r="N84" s="2649"/>
      <c r="O84" s="2649"/>
      <c r="P84" s="2649"/>
      <c r="Q84" s="2649"/>
      <c r="R84" s="2649"/>
      <c r="S84" s="2649"/>
      <c r="T84" s="2649"/>
      <c r="U84" s="2649"/>
      <c r="V84" s="2649"/>
      <c r="W84" s="2649"/>
      <c r="X84" s="2649"/>
      <c r="Y84" s="2649"/>
      <c r="Z84" s="2649"/>
      <c r="AA84" s="2649"/>
      <c r="AB84" s="2649"/>
      <c r="AC84" s="2649"/>
      <c r="AD84" s="2649"/>
      <c r="AE84" s="2649"/>
      <c r="AF84" s="2649"/>
      <c r="AG84" s="2649"/>
      <c r="AH84" s="2649"/>
      <c r="AI84" s="2649"/>
      <c r="AJ84" s="2650"/>
      <c r="AK84" s="1563"/>
      <c r="AL84" s="1216"/>
      <c r="AM84" s="1216"/>
      <c r="AN84" s="1212"/>
    </row>
    <row r="85" spans="1:43" s="1213" customFormat="1" ht="12.75" customHeight="1">
      <c r="A85" s="1215"/>
      <c r="B85" s="1575"/>
      <c r="C85" s="1575"/>
      <c r="D85" s="1575"/>
      <c r="E85" s="2651"/>
      <c r="F85" s="2652"/>
      <c r="G85" s="2652"/>
      <c r="H85" s="2652"/>
      <c r="I85" s="2652"/>
      <c r="J85" s="2652"/>
      <c r="K85" s="2652"/>
      <c r="L85" s="2652"/>
      <c r="M85" s="2652"/>
      <c r="N85" s="2652"/>
      <c r="O85" s="2652"/>
      <c r="P85" s="2652"/>
      <c r="Q85" s="2652"/>
      <c r="R85" s="2652"/>
      <c r="S85" s="2652"/>
      <c r="T85" s="2652"/>
      <c r="U85" s="2652"/>
      <c r="V85" s="2652"/>
      <c r="W85" s="2652"/>
      <c r="X85" s="2652"/>
      <c r="Y85" s="2652"/>
      <c r="Z85" s="2652"/>
      <c r="AA85" s="2652"/>
      <c r="AB85" s="2652"/>
      <c r="AC85" s="2652"/>
      <c r="AD85" s="2652"/>
      <c r="AE85" s="2652"/>
      <c r="AF85" s="2652"/>
      <c r="AG85" s="2652"/>
      <c r="AH85" s="2652"/>
      <c r="AI85" s="2652"/>
      <c r="AJ85" s="2653"/>
      <c r="AK85" s="1563"/>
      <c r="AL85" s="1216"/>
      <c r="AM85" s="1216"/>
      <c r="AN85" s="1212"/>
    </row>
    <row r="86" spans="1:43" s="1213" customFormat="1" ht="12.75" customHeight="1">
      <c r="A86" s="1215"/>
      <c r="B86" s="1575"/>
      <c r="C86" s="1575"/>
      <c r="D86" s="1575"/>
      <c r="E86" s="1593"/>
      <c r="F86" s="1594"/>
      <c r="G86" s="1594"/>
      <c r="H86" s="1594"/>
      <c r="I86" s="1594"/>
      <c r="J86" s="1594"/>
      <c r="K86" s="1594"/>
      <c r="L86" s="1594"/>
      <c r="M86" s="1594"/>
      <c r="N86" s="1594"/>
      <c r="O86" s="1594"/>
      <c r="P86" s="1594"/>
      <c r="Q86" s="1594"/>
      <c r="R86" s="1594"/>
      <c r="S86" s="1594"/>
      <c r="T86" s="1594"/>
      <c r="U86" s="1594"/>
      <c r="V86" s="1594"/>
      <c r="W86" s="1594"/>
      <c r="X86" s="1594"/>
      <c r="Y86" s="1594"/>
      <c r="Z86" s="1595"/>
      <c r="AA86" s="1595"/>
      <c r="AB86" s="1595"/>
      <c r="AC86" s="1594"/>
      <c r="AD86" s="1594"/>
      <c r="AE86" s="1594"/>
      <c r="AF86" s="1594"/>
      <c r="AG86" s="1594"/>
      <c r="AH86" s="1594"/>
      <c r="AI86" s="1594"/>
      <c r="AJ86" s="1596"/>
      <c r="AK86" s="1563"/>
      <c r="AL86" s="1216"/>
      <c r="AM86" s="1216"/>
      <c r="AN86" s="1212"/>
    </row>
    <row r="87" spans="1:43" s="1213" customFormat="1" ht="12.75" customHeight="1">
      <c r="A87" s="1215"/>
      <c r="B87" s="1575"/>
      <c r="C87" s="1575"/>
      <c r="D87" s="1575"/>
      <c r="E87" s="2643">
        <f>Application!AC753</f>
        <v>0.3888888888888889</v>
      </c>
      <c r="F87" s="2644"/>
      <c r="G87" s="2644"/>
      <c r="H87" s="2644"/>
      <c r="I87" s="1594"/>
      <c r="J87" s="1597" t="s">
        <v>1516</v>
      </c>
      <c r="K87" s="1594"/>
      <c r="L87" s="1594"/>
      <c r="M87" s="1594"/>
      <c r="N87" s="1594"/>
      <c r="O87" s="1594"/>
      <c r="P87" s="1594"/>
      <c r="Q87" s="1594"/>
      <c r="R87" s="1594"/>
      <c r="S87" s="1594"/>
      <c r="T87" s="1594"/>
      <c r="U87" s="1594"/>
      <c r="V87" s="1594"/>
      <c r="W87" s="1594"/>
      <c r="X87" s="1594"/>
      <c r="Y87" s="1594"/>
      <c r="Z87" s="1598"/>
      <c r="AA87" s="1598"/>
      <c r="AB87" s="1598"/>
      <c r="AC87" s="1594"/>
      <c r="AD87" s="1594"/>
      <c r="AE87" s="1594"/>
      <c r="AF87" s="1594"/>
      <c r="AG87" s="1594"/>
      <c r="AH87" s="1594"/>
      <c r="AI87" s="1594"/>
      <c r="AJ87" s="1596"/>
      <c r="AK87" s="1563"/>
      <c r="AL87" s="1216"/>
      <c r="AM87" s="1216"/>
      <c r="AN87" s="1212"/>
    </row>
    <row r="88" spans="1:43" s="1213" customFormat="1" ht="12.75" customHeight="1">
      <c r="A88" s="1215"/>
      <c r="B88" s="1575"/>
      <c r="C88" s="1575"/>
      <c r="D88" s="1575"/>
      <c r="E88" s="2654">
        <f>0.6-ROUNDUP(E87,2)</f>
        <v>0.20999999999999996</v>
      </c>
      <c r="F88" s="2633"/>
      <c r="G88" s="2633"/>
      <c r="H88" s="2633"/>
      <c r="I88" s="1594"/>
      <c r="J88" s="1597" t="s">
        <v>1517</v>
      </c>
      <c r="K88" s="1594"/>
      <c r="L88" s="1594"/>
      <c r="M88" s="1594"/>
      <c r="N88" s="1594"/>
      <c r="O88" s="1594"/>
      <c r="P88" s="1594"/>
      <c r="Q88" s="1594"/>
      <c r="R88" s="1594"/>
      <c r="S88" s="1594"/>
      <c r="T88" s="1594"/>
      <c r="U88" s="1594"/>
      <c r="V88" s="1594"/>
      <c r="W88" s="1594"/>
      <c r="X88" s="1594"/>
      <c r="Y88" s="1594"/>
      <c r="Z88" s="1594"/>
      <c r="AA88" s="1594"/>
      <c r="AB88" s="1594"/>
      <c r="AC88" s="1594"/>
      <c r="AD88" s="1594"/>
      <c r="AE88" s="1594"/>
      <c r="AF88" s="1594"/>
      <c r="AG88" s="1594"/>
      <c r="AH88" s="1594"/>
      <c r="AI88" s="1594"/>
      <c r="AJ88" s="1596"/>
      <c r="AK88" s="1563"/>
      <c r="AL88" s="1216"/>
      <c r="AM88" s="1216"/>
      <c r="AN88" s="1212"/>
    </row>
    <row r="89" spans="1:43" s="1213" customFormat="1" ht="12.75" customHeight="1">
      <c r="A89" s="1215"/>
      <c r="B89" s="1575"/>
      <c r="C89" s="1575"/>
      <c r="D89" s="1575"/>
      <c r="E89" s="2655">
        <f>IF(E88*200&gt;20,20,E88*200)</f>
        <v>20</v>
      </c>
      <c r="F89" s="2656"/>
      <c r="G89" s="2656"/>
      <c r="H89" s="2656"/>
      <c r="I89" s="1594"/>
      <c r="J89" s="1597" t="s">
        <v>1518</v>
      </c>
      <c r="K89" s="1594"/>
      <c r="L89" s="1594"/>
      <c r="M89" s="1594"/>
      <c r="N89" s="1594"/>
      <c r="O89" s="1594"/>
      <c r="P89" s="1594"/>
      <c r="Q89" s="1594"/>
      <c r="R89" s="1594"/>
      <c r="S89" s="1594"/>
      <c r="T89" s="1594"/>
      <c r="U89" s="1594"/>
      <c r="V89" s="1594"/>
      <c r="W89" s="1594"/>
      <c r="X89" s="1594"/>
      <c r="Y89" s="1594"/>
      <c r="Z89" s="1594"/>
      <c r="AA89" s="1594"/>
      <c r="AB89" s="1594"/>
      <c r="AC89" s="1594"/>
      <c r="AD89" s="1594"/>
      <c r="AE89" s="1594"/>
      <c r="AF89" s="1594"/>
      <c r="AG89" s="1594"/>
      <c r="AH89" s="1594"/>
      <c r="AI89" s="1594"/>
      <c r="AJ89" s="1596"/>
      <c r="AK89" s="1563"/>
      <c r="AL89" s="1216"/>
      <c r="AM89" s="1216"/>
      <c r="AN89" s="1212"/>
      <c r="AP89" s="1213">
        <f>IF(B84="yes",E89,0)</f>
        <v>20</v>
      </c>
      <c r="AQ89" s="1213" t="s">
        <v>1498</v>
      </c>
    </row>
    <row r="90" spans="1:43" s="1213" customFormat="1" ht="12.75" customHeight="1">
      <c r="A90" s="1215"/>
      <c r="B90" s="1575"/>
      <c r="C90" s="1575"/>
      <c r="D90" s="1575"/>
      <c r="E90" s="1245"/>
      <c r="F90" s="1246"/>
      <c r="G90" s="1246"/>
      <c r="H90" s="1246"/>
      <c r="I90" s="1246"/>
      <c r="J90" s="1246"/>
      <c r="K90" s="1246"/>
      <c r="L90" s="1246"/>
      <c r="M90" s="1246"/>
      <c r="N90" s="1246"/>
      <c r="O90" s="1246"/>
      <c r="P90" s="1246"/>
      <c r="Q90" s="1246"/>
      <c r="R90" s="1246"/>
      <c r="S90" s="1246"/>
      <c r="T90" s="1246"/>
      <c r="U90" s="1246"/>
      <c r="V90" s="1246"/>
      <c r="W90" s="1246"/>
      <c r="X90" s="1246"/>
      <c r="Y90" s="1246"/>
      <c r="Z90" s="1246"/>
      <c r="AA90" s="1246"/>
      <c r="AB90" s="1246"/>
      <c r="AC90" s="1246"/>
      <c r="AD90" s="1246"/>
      <c r="AE90" s="1247"/>
      <c r="AF90" s="1247"/>
      <c r="AG90" s="1247"/>
      <c r="AH90" s="1247"/>
      <c r="AI90" s="1247"/>
      <c r="AJ90" s="1248"/>
      <c r="AK90" s="1563"/>
      <c r="AL90" s="1216"/>
      <c r="AM90" s="1216"/>
      <c r="AN90" s="1212"/>
    </row>
    <row r="91" spans="1:43" s="1213" customFormat="1" ht="12.75" customHeight="1">
      <c r="A91" s="1215"/>
      <c r="B91" s="1575"/>
      <c r="C91" s="1575"/>
      <c r="D91" s="1575"/>
      <c r="E91" s="1575"/>
      <c r="F91" s="1575"/>
      <c r="G91" s="1575"/>
      <c r="H91" s="1575"/>
      <c r="I91" s="1575"/>
      <c r="J91" s="1575"/>
      <c r="K91" s="1575"/>
      <c r="L91" s="1575"/>
      <c r="M91" s="1575"/>
      <c r="N91" s="1575"/>
      <c r="O91" s="1575"/>
      <c r="P91" s="1575"/>
      <c r="Q91" s="1575"/>
      <c r="R91" s="1575"/>
      <c r="S91" s="1575"/>
      <c r="T91" s="1575"/>
      <c r="U91" s="1575"/>
      <c r="V91" s="1575"/>
      <c r="W91" s="1575"/>
      <c r="X91" s="1575"/>
      <c r="Y91" s="1575"/>
      <c r="Z91" s="1575"/>
      <c r="AA91" s="1575"/>
      <c r="AB91" s="1575"/>
      <c r="AC91" s="1575"/>
      <c r="AD91" s="1575"/>
      <c r="AE91" s="1563"/>
      <c r="AF91" s="1563"/>
      <c r="AG91" s="1563"/>
      <c r="AH91" s="1563"/>
      <c r="AI91" s="1563"/>
      <c r="AJ91" s="1563"/>
      <c r="AK91" s="1563"/>
      <c r="AL91" s="1216"/>
      <c r="AM91" s="1216"/>
      <c r="AN91" s="1212"/>
    </row>
    <row r="92" spans="1:43" s="1213" customFormat="1" ht="12.75" customHeight="1">
      <c r="A92" s="1215"/>
      <c r="B92" s="2647" t="s">
        <v>568</v>
      </c>
      <c r="C92" s="2647"/>
      <c r="D92" s="1223" t="s">
        <v>1507</v>
      </c>
      <c r="E92" s="2648" t="s">
        <v>2034</v>
      </c>
      <c r="F92" s="2649"/>
      <c r="G92" s="2649"/>
      <c r="H92" s="2649"/>
      <c r="I92" s="2649"/>
      <c r="J92" s="2649"/>
      <c r="K92" s="2649"/>
      <c r="L92" s="2649"/>
      <c r="M92" s="2649"/>
      <c r="N92" s="2649"/>
      <c r="O92" s="2649"/>
      <c r="P92" s="2649"/>
      <c r="Q92" s="2649"/>
      <c r="R92" s="2649"/>
      <c r="S92" s="2649"/>
      <c r="T92" s="2649"/>
      <c r="U92" s="2649"/>
      <c r="V92" s="2649"/>
      <c r="W92" s="2649"/>
      <c r="X92" s="2649"/>
      <c r="Y92" s="2649"/>
      <c r="Z92" s="2649"/>
      <c r="AA92" s="2649"/>
      <c r="AB92" s="2649"/>
      <c r="AC92" s="2649"/>
      <c r="AD92" s="2649"/>
      <c r="AE92" s="2649"/>
      <c r="AF92" s="2649"/>
      <c r="AG92" s="2649"/>
      <c r="AH92" s="2649"/>
      <c r="AI92" s="2649"/>
      <c r="AJ92" s="2650"/>
      <c r="AK92" s="1563"/>
      <c r="AL92" s="1216"/>
      <c r="AM92" s="1216"/>
      <c r="AN92" s="1212"/>
    </row>
    <row r="93" spans="1:43" s="1213" customFormat="1" ht="12.75" customHeight="1">
      <c r="A93" s="1215"/>
      <c r="B93" s="1575"/>
      <c r="C93" s="1575"/>
      <c r="D93" s="1575"/>
      <c r="E93" s="2651"/>
      <c r="F93" s="2652"/>
      <c r="G93" s="2652"/>
      <c r="H93" s="2652"/>
      <c r="I93" s="2652"/>
      <c r="J93" s="2652"/>
      <c r="K93" s="2652"/>
      <c r="L93" s="2652"/>
      <c r="M93" s="2652"/>
      <c r="N93" s="2652"/>
      <c r="O93" s="2652"/>
      <c r="P93" s="2652"/>
      <c r="Q93" s="2652"/>
      <c r="R93" s="2652"/>
      <c r="S93" s="2652"/>
      <c r="T93" s="2652"/>
      <c r="U93" s="2652"/>
      <c r="V93" s="2652"/>
      <c r="W93" s="2652"/>
      <c r="X93" s="2652"/>
      <c r="Y93" s="2652"/>
      <c r="Z93" s="2652"/>
      <c r="AA93" s="2652"/>
      <c r="AB93" s="2652"/>
      <c r="AC93" s="2652"/>
      <c r="AD93" s="2652"/>
      <c r="AE93" s="2652"/>
      <c r="AF93" s="2652"/>
      <c r="AG93" s="2652"/>
      <c r="AH93" s="2652"/>
      <c r="AI93" s="2652"/>
      <c r="AJ93" s="2653"/>
      <c r="AK93" s="1563"/>
      <c r="AL93" s="1216"/>
      <c r="AM93" s="1216"/>
      <c r="AN93" s="1212"/>
    </row>
    <row r="94" spans="1:43" s="1213" customFormat="1" ht="12.75" customHeight="1">
      <c r="A94" s="1215"/>
      <c r="B94" s="1575"/>
      <c r="C94" s="1575"/>
      <c r="D94" s="1575"/>
      <c r="E94" s="2651"/>
      <c r="F94" s="2652"/>
      <c r="G94" s="2652"/>
      <c r="H94" s="2652"/>
      <c r="I94" s="2652"/>
      <c r="J94" s="2652"/>
      <c r="K94" s="2652"/>
      <c r="L94" s="2652"/>
      <c r="M94" s="2652"/>
      <c r="N94" s="2652"/>
      <c r="O94" s="2652"/>
      <c r="P94" s="2652"/>
      <c r="Q94" s="2652"/>
      <c r="R94" s="2652"/>
      <c r="S94" s="2652"/>
      <c r="T94" s="2652"/>
      <c r="U94" s="2652"/>
      <c r="V94" s="2652"/>
      <c r="W94" s="2652"/>
      <c r="X94" s="2652"/>
      <c r="Y94" s="2652"/>
      <c r="Z94" s="2652"/>
      <c r="AA94" s="2652"/>
      <c r="AB94" s="2652"/>
      <c r="AC94" s="2652"/>
      <c r="AD94" s="2652"/>
      <c r="AE94" s="2652"/>
      <c r="AF94" s="2652"/>
      <c r="AG94" s="2652"/>
      <c r="AH94" s="2652"/>
      <c r="AI94" s="2652"/>
      <c r="AJ94" s="2653"/>
      <c r="AK94" s="1563"/>
      <c r="AL94" s="1216"/>
      <c r="AM94" s="1216"/>
      <c r="AN94" s="1212"/>
    </row>
    <row r="95" spans="1:43" s="1213" customFormat="1" ht="12.75" customHeight="1">
      <c r="A95" s="1215"/>
      <c r="B95" s="1575"/>
      <c r="C95" s="1575"/>
      <c r="D95" s="1575"/>
      <c r="E95" s="2651"/>
      <c r="F95" s="2652"/>
      <c r="G95" s="2652"/>
      <c r="H95" s="2652"/>
      <c r="I95" s="2652"/>
      <c r="J95" s="2652"/>
      <c r="K95" s="2652"/>
      <c r="L95" s="2652"/>
      <c r="M95" s="2652"/>
      <c r="N95" s="2652"/>
      <c r="O95" s="2652"/>
      <c r="P95" s="2652"/>
      <c r="Q95" s="2652"/>
      <c r="R95" s="2652"/>
      <c r="S95" s="2652"/>
      <c r="T95" s="2652"/>
      <c r="U95" s="2652"/>
      <c r="V95" s="2652"/>
      <c r="W95" s="2652"/>
      <c r="X95" s="2652"/>
      <c r="Y95" s="2652"/>
      <c r="Z95" s="2652"/>
      <c r="AA95" s="2652"/>
      <c r="AB95" s="2652"/>
      <c r="AC95" s="2652"/>
      <c r="AD95" s="2652"/>
      <c r="AE95" s="2652"/>
      <c r="AF95" s="2652"/>
      <c r="AG95" s="2652"/>
      <c r="AH95" s="2652"/>
      <c r="AI95" s="2652"/>
      <c r="AJ95" s="2653"/>
      <c r="AK95" s="1563"/>
      <c r="AL95" s="1216"/>
      <c r="AM95" s="1216"/>
      <c r="AN95" s="1212"/>
    </row>
    <row r="96" spans="1:43" s="1213" customFormat="1" ht="12.75" customHeight="1">
      <c r="A96" s="1215"/>
      <c r="B96" s="1575"/>
      <c r="C96" s="1575"/>
      <c r="D96" s="1575"/>
      <c r="E96" s="1599"/>
      <c r="F96" s="1585"/>
      <c r="G96" s="1585"/>
      <c r="H96" s="1585"/>
      <c r="I96" s="1585"/>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6"/>
      <c r="AK96" s="1563"/>
      <c r="AL96" s="1216"/>
      <c r="AM96" s="1216"/>
      <c r="AN96" s="1212"/>
    </row>
    <row r="97" spans="1:49" s="1213" customFormat="1" ht="12.75" customHeight="1">
      <c r="A97" s="1215"/>
      <c r="B97" s="1575"/>
      <c r="C97" s="1575"/>
      <c r="D97" s="1575"/>
      <c r="E97" s="2643">
        <f>Application!AC753</f>
        <v>0.3888888888888889</v>
      </c>
      <c r="F97" s="2644"/>
      <c r="G97" s="2644"/>
      <c r="H97" s="2644"/>
      <c r="I97" s="1594"/>
      <c r="J97" s="1597" t="s">
        <v>1516</v>
      </c>
      <c r="K97" s="1594"/>
      <c r="L97" s="1594"/>
      <c r="M97" s="1594"/>
      <c r="N97" s="1594"/>
      <c r="O97" s="1594"/>
      <c r="P97" s="1594"/>
      <c r="Q97" s="1594"/>
      <c r="R97" s="1585"/>
      <c r="S97" s="1585"/>
      <c r="T97" s="1585"/>
      <c r="U97" s="1585"/>
      <c r="V97" s="1585"/>
      <c r="W97" s="1585"/>
      <c r="X97" s="1585"/>
      <c r="Y97" s="1585"/>
      <c r="Z97" s="1585"/>
      <c r="AA97" s="1585"/>
      <c r="AB97" s="1585"/>
      <c r="AC97" s="1585"/>
      <c r="AD97" s="1585"/>
      <c r="AE97" s="1585"/>
      <c r="AF97" s="1585"/>
      <c r="AG97" s="1585"/>
      <c r="AH97" s="1585"/>
      <c r="AI97" s="1585"/>
      <c r="AJ97" s="1586"/>
      <c r="AK97" s="1563"/>
      <c r="AL97" s="1216"/>
      <c r="AM97" s="1216"/>
      <c r="AN97" s="1212"/>
    </row>
    <row r="98" spans="1:49" s="1213" customFormat="1" ht="12.75" customHeight="1">
      <c r="A98" s="1215"/>
      <c r="B98" s="1575"/>
      <c r="C98" s="1575"/>
      <c r="D98" s="1575"/>
      <c r="E98" s="2643">
        <f ca="1">SUMIF(Application!AC728:AG752,0.2,Application!G728:J752)/Application!G753+SUMIF(Application!AC728:AG752,0.25,Application!G728:J752)/Application!G753+SUMIF(Application!AC728:AG752,0.3,Application!G728:J752)/Application!G753</f>
        <v>0.1111111111111111</v>
      </c>
      <c r="F98" s="2644"/>
      <c r="G98" s="2644"/>
      <c r="H98" s="2644"/>
      <c r="I98" s="1594"/>
      <c r="J98" s="1597" t="s">
        <v>1519</v>
      </c>
      <c r="K98" s="1594"/>
      <c r="L98" s="1594"/>
      <c r="M98" s="1594"/>
      <c r="N98" s="1594"/>
      <c r="O98" s="1594"/>
      <c r="P98" s="1594"/>
      <c r="Q98" s="1594"/>
      <c r="R98" s="1585"/>
      <c r="S98" s="1585"/>
      <c r="T98" s="1585"/>
      <c r="U98" s="1585"/>
      <c r="V98" s="1585"/>
      <c r="W98" s="1585"/>
      <c r="X98" s="1585"/>
      <c r="Y98" s="1585"/>
      <c r="Z98" s="1585"/>
      <c r="AA98" s="1585"/>
      <c r="AB98" s="1585"/>
      <c r="AC98" s="1585"/>
      <c r="AD98" s="1585"/>
      <c r="AE98" s="1585"/>
      <c r="AF98" s="1585"/>
      <c r="AG98" s="1585"/>
      <c r="AH98" s="1585"/>
      <c r="AI98" s="1585"/>
      <c r="AJ98" s="1586"/>
      <c r="AK98" s="1563"/>
      <c r="AL98" s="1216"/>
      <c r="AM98" s="1216"/>
      <c r="AN98" s="1212"/>
      <c r="AU98" s="1249"/>
    </row>
    <row r="99" spans="1:49" s="1213" customFormat="1" ht="12.75" customHeight="1">
      <c r="A99" s="1215"/>
      <c r="B99" s="1575"/>
      <c r="C99" s="1575"/>
      <c r="D99" s="1575"/>
      <c r="E99" s="2643">
        <f ca="1">SUMIF(Application!AC728:AG752,0.35,Application!G728:J752)/Application!G753+SUMIF(Application!AC728:AG752,0.4,Application!G728:J752)/Application!G753+SUMIF(Application!AC728:AG752,0.45,Application!G728:J752)/Application!G753+SUMIF(Application!AC728:AG752,0.5,Application!G728:J752)/Application!G753</f>
        <v>0.88888888888888884</v>
      </c>
      <c r="F99" s="2644"/>
      <c r="G99" s="2644"/>
      <c r="H99" s="2644"/>
      <c r="I99" s="1594"/>
      <c r="J99" s="1597" t="s">
        <v>1520</v>
      </c>
      <c r="K99" s="1594"/>
      <c r="L99" s="1594"/>
      <c r="M99" s="1594"/>
      <c r="N99" s="1594"/>
      <c r="O99" s="1594"/>
      <c r="P99" s="1594"/>
      <c r="Q99" s="1594"/>
      <c r="R99" s="1585"/>
      <c r="S99" s="1585"/>
      <c r="T99" s="1585"/>
      <c r="U99" s="1585"/>
      <c r="V99" s="1585"/>
      <c r="W99" s="1585"/>
      <c r="X99" s="1585"/>
      <c r="Y99" s="1585"/>
      <c r="Z99" s="1585"/>
      <c r="AA99" s="1585"/>
      <c r="AB99" s="1585"/>
      <c r="AC99" s="1585"/>
      <c r="AD99" s="1585"/>
      <c r="AE99" s="1585"/>
      <c r="AF99" s="1585"/>
      <c r="AG99" s="1585"/>
      <c r="AH99" s="1585"/>
      <c r="AI99" s="1585"/>
      <c r="AJ99" s="1586"/>
      <c r="AK99" s="1563"/>
      <c r="AL99" s="1216"/>
      <c r="AM99" s="1216"/>
      <c r="AN99" s="1212"/>
      <c r="AU99" s="1249"/>
    </row>
    <row r="100" spans="1:49" s="1213" customFormat="1" ht="12.75" customHeight="1">
      <c r="A100" s="1215"/>
      <c r="B100" s="1575"/>
      <c r="C100" s="1575"/>
      <c r="D100" s="1575"/>
      <c r="E100" s="2645">
        <f ca="1">IF(AND(E97&lt;=0.6,E98&gt;=0.1,OR(E99&gt;=0.1,E98&gt;=0.2)),20,0)</f>
        <v>20</v>
      </c>
      <c r="F100" s="2646"/>
      <c r="G100" s="2646"/>
      <c r="H100" s="2646"/>
      <c r="I100" s="1585"/>
      <c r="J100" s="1600" t="s">
        <v>1518</v>
      </c>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6"/>
      <c r="AK100" s="1563"/>
      <c r="AL100" s="1216"/>
      <c r="AM100" s="1216"/>
      <c r="AN100" s="1212"/>
      <c r="AP100" s="1213">
        <f ca="1">IF(B92="yes",E100,0)</f>
        <v>20</v>
      </c>
      <c r="AQ100" s="1213" t="s">
        <v>1498</v>
      </c>
    </row>
    <row r="101" spans="1:49" s="1213" customFormat="1" ht="12.75" customHeight="1">
      <c r="A101" s="1215"/>
      <c r="B101" s="1575"/>
      <c r="C101" s="1575"/>
      <c r="D101" s="1575"/>
      <c r="E101" s="1245"/>
      <c r="F101" s="1246"/>
      <c r="G101" s="1246"/>
      <c r="H101" s="1246"/>
      <c r="I101" s="1246"/>
      <c r="J101" s="1246"/>
      <c r="K101" s="1246"/>
      <c r="L101" s="1246"/>
      <c r="M101" s="1246"/>
      <c r="N101" s="1246"/>
      <c r="O101" s="1246"/>
      <c r="P101" s="1246"/>
      <c r="Q101" s="1246"/>
      <c r="R101" s="1246"/>
      <c r="S101" s="1246"/>
      <c r="T101" s="1246"/>
      <c r="U101" s="1246"/>
      <c r="V101" s="1246"/>
      <c r="W101" s="1246"/>
      <c r="X101" s="1246"/>
      <c r="Y101" s="1246"/>
      <c r="Z101" s="1246"/>
      <c r="AA101" s="1246"/>
      <c r="AB101" s="1246"/>
      <c r="AC101" s="1246"/>
      <c r="AD101" s="1246"/>
      <c r="AE101" s="1247"/>
      <c r="AF101" s="1247"/>
      <c r="AG101" s="1247"/>
      <c r="AH101" s="1247"/>
      <c r="AI101" s="1247"/>
      <c r="AJ101" s="1248"/>
      <c r="AK101" s="1563"/>
      <c r="AL101" s="1216"/>
      <c r="AM101" s="1216"/>
      <c r="AN101" s="1212"/>
    </row>
    <row r="102" spans="1:49" s="1213" customFormat="1" ht="12.75" customHeight="1">
      <c r="A102" s="1215"/>
      <c r="B102" s="1575"/>
      <c r="C102" s="1575"/>
      <c r="D102" s="1575"/>
      <c r="E102" s="1575"/>
      <c r="F102" s="1575"/>
      <c r="G102" s="1575"/>
      <c r="H102" s="1575"/>
      <c r="I102" s="1575"/>
      <c r="J102" s="1575"/>
      <c r="K102" s="1575"/>
      <c r="L102" s="1575"/>
      <c r="M102" s="1575"/>
      <c r="N102" s="1575"/>
      <c r="O102" s="1575"/>
      <c r="P102" s="1575"/>
      <c r="Q102" s="1575"/>
      <c r="R102" s="1575"/>
      <c r="S102" s="1575"/>
      <c r="T102" s="1575"/>
      <c r="U102" s="1575"/>
      <c r="V102" s="1575"/>
      <c r="W102" s="1575"/>
      <c r="X102" s="1575"/>
      <c r="Y102" s="1575"/>
      <c r="Z102" s="1575"/>
      <c r="AA102" s="1575"/>
      <c r="AB102" s="1575"/>
      <c r="AC102" s="1575"/>
      <c r="AD102" s="1575"/>
      <c r="AE102" s="1563"/>
      <c r="AF102" s="1563"/>
      <c r="AG102" s="1563"/>
      <c r="AH102" s="1563"/>
      <c r="AI102" s="1563"/>
      <c r="AJ102" s="1563"/>
      <c r="AK102" s="1563"/>
      <c r="AL102" s="1216"/>
      <c r="AM102" s="1216"/>
      <c r="AN102" s="1212"/>
    </row>
    <row r="103" spans="1:49" s="1213" customFormat="1" ht="12.75" customHeight="1">
      <c r="A103" s="1229"/>
      <c r="B103" s="1230"/>
      <c r="C103" s="1230"/>
      <c r="D103" s="1230"/>
      <c r="E103" s="1230"/>
      <c r="F103" s="1230"/>
      <c r="G103" s="1231"/>
      <c r="H103" s="1232"/>
      <c r="I103" s="1232"/>
      <c r="J103" s="1232"/>
      <c r="K103" s="1232"/>
      <c r="L103" s="1232"/>
      <c r="M103" s="1232"/>
      <c r="N103" s="1232"/>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3"/>
      <c r="AJ103" s="1233" t="s">
        <v>1521</v>
      </c>
      <c r="AK103" s="2629">
        <f ca="1">MAX(AP89,AP100)</f>
        <v>20</v>
      </c>
      <c r="AL103" s="2630"/>
      <c r="AM103" s="2631"/>
      <c r="AN103" s="1212"/>
    </row>
    <row r="104" spans="1:49" s="1213" customFormat="1" ht="12.75" customHeight="1" thickBot="1">
      <c r="A104" s="1234"/>
      <c r="B104" s="1235"/>
      <c r="C104" s="1236"/>
      <c r="D104" s="1236"/>
      <c r="E104" s="1236"/>
      <c r="F104" s="1236"/>
      <c r="G104" s="1236"/>
      <c r="H104" s="1236"/>
      <c r="I104" s="1236"/>
      <c r="J104" s="1236"/>
      <c r="K104" s="1236"/>
      <c r="L104" s="1236"/>
      <c r="M104" s="1236"/>
      <c r="N104" s="1236"/>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7"/>
      <c r="AN104" s="1212"/>
    </row>
    <row r="105" spans="1:49" s="1213" customFormat="1" ht="12.75" customHeight="1" thickTop="1">
      <c r="B105" s="914"/>
      <c r="C105" s="915"/>
      <c r="D105" s="915"/>
      <c r="E105" s="915"/>
      <c r="F105" s="915"/>
      <c r="G105" s="915"/>
      <c r="H105" s="915"/>
      <c r="I105" s="1567"/>
      <c r="J105" s="1567"/>
      <c r="K105" s="1567"/>
      <c r="L105" s="1567"/>
      <c r="M105" s="1567"/>
      <c r="N105" s="1567"/>
      <c r="O105" s="1567"/>
      <c r="P105" s="1567"/>
      <c r="Q105" s="1567"/>
      <c r="S105" s="1575"/>
      <c r="T105" s="1575"/>
      <c r="U105" s="1575"/>
      <c r="V105" s="1575"/>
      <c r="W105" s="1575"/>
      <c r="X105" s="1575"/>
      <c r="Y105" s="1575"/>
      <c r="Z105" s="1575"/>
      <c r="AA105" s="1575"/>
      <c r="AB105" s="1575"/>
      <c r="AC105" s="1575"/>
      <c r="AD105" s="1575"/>
      <c r="AE105" s="1575"/>
      <c r="AG105" s="1575"/>
      <c r="AH105" s="1575"/>
      <c r="AI105" s="1575"/>
      <c r="AJ105" s="1575"/>
      <c r="AK105" s="1226"/>
      <c r="AL105" s="1226"/>
      <c r="AM105" s="1226"/>
      <c r="AN105" s="1212"/>
    </row>
    <row r="106" spans="1:49" s="1213" customFormat="1" ht="12.75" customHeight="1">
      <c r="A106" s="1215" t="s">
        <v>1522</v>
      </c>
      <c r="B106" s="1575" t="s">
        <v>1523</v>
      </c>
      <c r="C106" s="1575"/>
      <c r="D106" s="1575"/>
      <c r="E106" s="1575"/>
      <c r="F106" s="1575"/>
      <c r="G106" s="1575"/>
      <c r="H106" s="1575"/>
      <c r="I106" s="1575"/>
      <c r="J106" s="1575"/>
      <c r="K106" s="1575"/>
      <c r="L106" s="1575"/>
      <c r="M106" s="1575"/>
      <c r="N106" s="1575"/>
      <c r="O106" s="1575"/>
      <c r="P106" s="1575"/>
      <c r="Q106" s="1575"/>
      <c r="R106" s="1575"/>
      <c r="S106" s="1575"/>
      <c r="T106" s="1575"/>
      <c r="U106" s="1575"/>
      <c r="V106" s="1575"/>
      <c r="W106" s="1575"/>
      <c r="X106" s="1575"/>
      <c r="Y106" s="1575"/>
      <c r="Z106" s="1575"/>
      <c r="AA106" s="1575"/>
      <c r="AB106" s="1575"/>
      <c r="AC106" s="1575"/>
      <c r="AD106" s="1575"/>
      <c r="AE106" s="2490" t="s">
        <v>1504</v>
      </c>
      <c r="AF106" s="2490"/>
      <c r="AG106" s="2490"/>
      <c r="AH106" s="2490"/>
      <c r="AI106" s="2490"/>
      <c r="AJ106" s="2490"/>
      <c r="AK106" s="2490"/>
      <c r="AL106" s="1216"/>
      <c r="AM106" s="1216"/>
      <c r="AN106" s="1212"/>
      <c r="AO106" s="1213" t="str">
        <f>Application!B728</f>
        <v>SRO/Studio</v>
      </c>
      <c r="AQ106" s="1213">
        <f>Application!O728</f>
        <v>1171.1200000000001</v>
      </c>
    </row>
    <row r="107" spans="1:49" s="1213" customFormat="1" ht="12.75" customHeight="1">
      <c r="A107" s="1216"/>
      <c r="B107" s="1575" t="s">
        <v>1514</v>
      </c>
      <c r="C107" s="1575"/>
      <c r="D107" s="1575"/>
      <c r="E107" s="1575"/>
      <c r="F107" s="1575"/>
      <c r="G107" s="1575"/>
      <c r="H107" s="1575"/>
      <c r="I107" s="1575"/>
      <c r="J107" s="1575"/>
      <c r="K107" s="1575"/>
      <c r="L107" s="1575"/>
      <c r="M107" s="1575"/>
      <c r="N107" s="1575"/>
      <c r="O107" s="1575"/>
      <c r="P107" s="1575"/>
      <c r="Q107" s="1575"/>
      <c r="R107" s="1575"/>
      <c r="S107" s="1575"/>
      <c r="T107" s="1575"/>
      <c r="U107" s="1575"/>
      <c r="V107" s="1575"/>
      <c r="W107" s="1575"/>
      <c r="X107" s="1575"/>
      <c r="Y107" s="1575"/>
      <c r="Z107" s="1575"/>
      <c r="AA107" s="1575"/>
      <c r="AB107" s="1575"/>
      <c r="AC107" s="1575"/>
      <c r="AD107" s="1575"/>
      <c r="AE107" s="1563"/>
      <c r="AF107" s="1563"/>
      <c r="AG107" s="1563"/>
      <c r="AH107" s="1563"/>
      <c r="AI107" s="1563"/>
      <c r="AJ107" s="1563"/>
      <c r="AK107" s="1216"/>
      <c r="AL107" s="1216"/>
      <c r="AM107" s="1216"/>
      <c r="AN107" s="1212"/>
      <c r="AO107" s="1213" t="str">
        <f>Application!B729</f>
        <v>1 Bedroom</v>
      </c>
      <c r="AQ107" s="1213">
        <f>Application!O729</f>
        <v>1337.28</v>
      </c>
    </row>
    <row r="108" spans="1:49" s="1213" customFormat="1" ht="12.75" customHeight="1">
      <c r="A108" s="1216"/>
      <c r="B108" s="1575"/>
      <c r="C108" s="1575"/>
      <c r="D108" s="1575"/>
      <c r="E108" s="1594"/>
      <c r="F108" s="1594"/>
      <c r="G108" s="1594"/>
      <c r="H108" s="1594"/>
      <c r="I108" s="1594"/>
      <c r="J108" s="1594"/>
      <c r="K108" s="1594"/>
      <c r="L108" s="1594"/>
      <c r="M108" s="1594"/>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4"/>
      <c r="AH108" s="1594"/>
      <c r="AI108" s="1594"/>
      <c r="AJ108" s="1594"/>
      <c r="AK108" s="1216"/>
      <c r="AL108" s="1216"/>
      <c r="AM108" s="1216"/>
      <c r="AN108" s="1212"/>
      <c r="AO108" s="1213" t="str">
        <f>Application!B730</f>
        <v>2 Bedrooms</v>
      </c>
      <c r="AQ108" s="1213">
        <f>Application!O730</f>
        <v>1494.96</v>
      </c>
    </row>
    <row r="109" spans="1:49" s="1213" customFormat="1" ht="12.75" customHeight="1">
      <c r="A109" s="1216"/>
      <c r="B109" s="2647" t="s">
        <v>568</v>
      </c>
      <c r="C109" s="2647"/>
      <c r="D109" s="1223" t="s">
        <v>1505</v>
      </c>
      <c r="E109" s="2648" t="s">
        <v>2169</v>
      </c>
      <c r="F109" s="2649"/>
      <c r="G109" s="2649"/>
      <c r="H109" s="2649"/>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49"/>
      <c r="AD109" s="2649"/>
      <c r="AE109" s="2649"/>
      <c r="AF109" s="2649"/>
      <c r="AG109" s="2649"/>
      <c r="AH109" s="2649"/>
      <c r="AI109" s="2649"/>
      <c r="AJ109" s="2650"/>
      <c r="AK109" s="1216"/>
      <c r="AL109" s="1216"/>
      <c r="AM109" s="1216"/>
      <c r="AN109" s="1212"/>
      <c r="AO109" s="1213" t="str">
        <f>Application!B731</f>
        <v>3 Bedrooms</v>
      </c>
      <c r="AQ109" s="1213">
        <f>Application!O731</f>
        <v>1657.6000000000001</v>
      </c>
      <c r="AU109" s="1213" t="s">
        <v>2151</v>
      </c>
      <c r="AV109" s="1566" t="s">
        <v>2152</v>
      </c>
      <c r="AW109" s="1213" t="s">
        <v>2153</v>
      </c>
    </row>
    <row r="110" spans="1:49" s="1213" customFormat="1" ht="12.75" customHeight="1">
      <c r="A110" s="1216"/>
      <c r="B110" s="1575"/>
      <c r="C110" s="1575"/>
      <c r="D110" s="1575"/>
      <c r="E110" s="2651"/>
      <c r="F110" s="2652"/>
      <c r="G110" s="2652"/>
      <c r="H110" s="2652"/>
      <c r="I110" s="2652"/>
      <c r="J110" s="2652"/>
      <c r="K110" s="2652"/>
      <c r="L110" s="2652"/>
      <c r="M110" s="2652"/>
      <c r="N110" s="2652"/>
      <c r="O110" s="2652"/>
      <c r="P110" s="2652"/>
      <c r="Q110" s="2652"/>
      <c r="R110" s="2652"/>
      <c r="S110" s="2652"/>
      <c r="T110" s="2652"/>
      <c r="U110" s="2652"/>
      <c r="V110" s="2652"/>
      <c r="W110" s="2652"/>
      <c r="X110" s="2652"/>
      <c r="Y110" s="2652"/>
      <c r="Z110" s="2652"/>
      <c r="AA110" s="2652"/>
      <c r="AB110" s="2652"/>
      <c r="AC110" s="2652"/>
      <c r="AD110" s="2652"/>
      <c r="AE110" s="2652"/>
      <c r="AF110" s="2652"/>
      <c r="AG110" s="2652"/>
      <c r="AH110" s="2652"/>
      <c r="AI110" s="2652"/>
      <c r="AJ110" s="2653"/>
      <c r="AK110" s="1216"/>
      <c r="AL110" s="1216"/>
      <c r="AM110" s="1216"/>
      <c r="AN110" s="1212"/>
      <c r="AO110" s="1213" t="str">
        <f>Application!B732</f>
        <v>4 Bedrooms</v>
      </c>
      <c r="AQ110" s="1213">
        <f>Application!O732</f>
        <v>1778.92</v>
      </c>
      <c r="AU110" s="1250" t="str">
        <f>E118</f>
        <v>Studio/SRO</v>
      </c>
      <c r="AV110" s="1213">
        <f t="array" ref="AV110">SUM(IF(Application!B728:F752="SRO/Studio",Application!G728:J752))</f>
        <v>4</v>
      </c>
      <c r="AW110" s="1251">
        <f>AV110/AV116</f>
        <v>5.5555555555555552E-2</v>
      </c>
    </row>
    <row r="111" spans="1:49" s="1213" customFormat="1" ht="12.75" customHeight="1">
      <c r="A111" s="1216"/>
      <c r="B111" s="1575"/>
      <c r="C111" s="1575"/>
      <c r="D111" s="1575"/>
      <c r="E111" s="2651"/>
      <c r="F111" s="2652"/>
      <c r="G111" s="2652"/>
      <c r="H111" s="2652"/>
      <c r="I111" s="2652"/>
      <c r="J111" s="2652"/>
      <c r="K111" s="2652"/>
      <c r="L111" s="2652"/>
      <c r="M111" s="2652"/>
      <c r="N111" s="2652"/>
      <c r="O111" s="2652"/>
      <c r="P111" s="2652"/>
      <c r="Q111" s="2652"/>
      <c r="R111" s="2652"/>
      <c r="S111" s="2652"/>
      <c r="T111" s="2652"/>
      <c r="U111" s="2652"/>
      <c r="V111" s="2652"/>
      <c r="W111" s="2652"/>
      <c r="X111" s="2652"/>
      <c r="Y111" s="2652"/>
      <c r="Z111" s="2652"/>
      <c r="AA111" s="2652"/>
      <c r="AB111" s="2652"/>
      <c r="AC111" s="2652"/>
      <c r="AD111" s="2652"/>
      <c r="AE111" s="2652"/>
      <c r="AF111" s="2652"/>
      <c r="AG111" s="2652"/>
      <c r="AH111" s="2652"/>
      <c r="AI111" s="2652"/>
      <c r="AJ111" s="2653"/>
      <c r="AK111" s="1216"/>
      <c r="AL111" s="1216"/>
      <c r="AM111" s="1216"/>
      <c r="AN111" s="1212"/>
      <c r="AO111" s="1213" t="str">
        <f>Application!B733</f>
        <v>5 Bedrooms</v>
      </c>
      <c r="AQ111" s="1213">
        <f>Application!O733</f>
        <v>1907.76</v>
      </c>
      <c r="AU111" s="1250" t="str">
        <f>J118</f>
        <v>1-bedroom</v>
      </c>
      <c r="AV111" s="1213">
        <f t="array" ref="AV111">SUM(IF(Application!B728:F752="1 Bedroom",Application!G728:J752))</f>
        <v>18</v>
      </c>
      <c r="AW111" s="1251">
        <f>AV111/AV116</f>
        <v>0.25</v>
      </c>
    </row>
    <row r="112" spans="1:49" s="1213" customFormat="1" ht="12.75" customHeight="1">
      <c r="A112" s="1216"/>
      <c r="B112" s="1575"/>
      <c r="C112" s="1575"/>
      <c r="D112" s="1575"/>
      <c r="E112" s="2651"/>
      <c r="F112" s="2652"/>
      <c r="G112" s="2652"/>
      <c r="H112" s="2652"/>
      <c r="I112" s="2652"/>
      <c r="J112" s="2652"/>
      <c r="K112" s="2652"/>
      <c r="L112" s="2652"/>
      <c r="M112" s="2652"/>
      <c r="N112" s="2652"/>
      <c r="O112" s="2652"/>
      <c r="P112" s="2652"/>
      <c r="Q112" s="2652"/>
      <c r="R112" s="2652"/>
      <c r="S112" s="2652"/>
      <c r="T112" s="2652"/>
      <c r="U112" s="2652"/>
      <c r="V112" s="2652"/>
      <c r="W112" s="2652"/>
      <c r="X112" s="2652"/>
      <c r="Y112" s="2652"/>
      <c r="Z112" s="2652"/>
      <c r="AA112" s="2652"/>
      <c r="AB112" s="2652"/>
      <c r="AC112" s="2652"/>
      <c r="AD112" s="2652"/>
      <c r="AE112" s="2652"/>
      <c r="AF112" s="2652"/>
      <c r="AG112" s="2652"/>
      <c r="AH112" s="2652"/>
      <c r="AI112" s="2652"/>
      <c r="AJ112" s="2653"/>
      <c r="AK112" s="1216"/>
      <c r="AL112" s="1216"/>
      <c r="AM112" s="1216"/>
      <c r="AN112" s="1212"/>
      <c r="AO112" s="1213" t="str">
        <f>Application!B734</f>
        <v>1 Bedroom</v>
      </c>
      <c r="AQ112" s="1213">
        <f>Application!O734</f>
        <v>1000</v>
      </c>
      <c r="AU112" s="1250" t="str">
        <f>O118</f>
        <v>2-bedroom</v>
      </c>
      <c r="AV112" s="1213">
        <f t="array" ref="AV112">SUM(IF(Application!B728:F752="2 Bedrooms",Application!G728:J752))</f>
        <v>31</v>
      </c>
      <c r="AW112" s="1251">
        <f>AV112/AV116</f>
        <v>0.43055555555555558</v>
      </c>
    </row>
    <row r="113" spans="1:52" s="1213" customFormat="1" ht="12.75" customHeight="1">
      <c r="A113" s="1216"/>
      <c r="B113" s="1575"/>
      <c r="C113" s="1575"/>
      <c r="D113" s="1575"/>
      <c r="E113" s="2651"/>
      <c r="F113" s="2652"/>
      <c r="G113" s="2652"/>
      <c r="H113" s="2652"/>
      <c r="I113" s="2652"/>
      <c r="J113" s="2652"/>
      <c r="K113" s="2652"/>
      <c r="L113" s="2652"/>
      <c r="M113" s="2652"/>
      <c r="N113" s="2652"/>
      <c r="O113" s="2652"/>
      <c r="P113" s="2652"/>
      <c r="Q113" s="2652"/>
      <c r="R113" s="2652"/>
      <c r="S113" s="2652"/>
      <c r="T113" s="2652"/>
      <c r="U113" s="2652"/>
      <c r="V113" s="2652"/>
      <c r="W113" s="2652"/>
      <c r="X113" s="2652"/>
      <c r="Y113" s="2652"/>
      <c r="Z113" s="2652"/>
      <c r="AA113" s="2652"/>
      <c r="AB113" s="2652"/>
      <c r="AC113" s="2652"/>
      <c r="AD113" s="2652"/>
      <c r="AE113" s="2652"/>
      <c r="AF113" s="2652"/>
      <c r="AG113" s="2652"/>
      <c r="AH113" s="2652"/>
      <c r="AI113" s="2652"/>
      <c r="AJ113" s="2653"/>
      <c r="AK113" s="1216"/>
      <c r="AL113" s="1216"/>
      <c r="AM113" s="1216"/>
      <c r="AN113" s="1212"/>
      <c r="AO113" s="1213" t="str">
        <f>Application!B735</f>
        <v>2 Bedrooms</v>
      </c>
      <c r="AQ113" s="1213">
        <f>Application!O735</f>
        <v>1194</v>
      </c>
      <c r="AU113" s="1250" t="str">
        <f>T118</f>
        <v>3-bedroom</v>
      </c>
      <c r="AV113" s="1213">
        <f t="array" ref="AV113">SUM(IF(Application!B728:F752="3 Bedrooms",Application!G728:J752))</f>
        <v>16</v>
      </c>
      <c r="AW113" s="1251">
        <f>AV113/AV116</f>
        <v>0.22222222222222221</v>
      </c>
    </row>
    <row r="114" spans="1:52" s="1213" customFormat="1" ht="12.75" customHeight="1">
      <c r="A114" s="1216"/>
      <c r="B114" s="1575"/>
      <c r="C114" s="1575"/>
      <c r="D114" s="1575"/>
      <c r="E114" s="2651"/>
      <c r="F114" s="2652"/>
      <c r="G114" s="2652"/>
      <c r="H114" s="2652"/>
      <c r="I114" s="2652"/>
      <c r="J114" s="2652"/>
      <c r="K114" s="2652"/>
      <c r="L114" s="2652"/>
      <c r="M114" s="2652"/>
      <c r="N114" s="2652"/>
      <c r="O114" s="2652"/>
      <c r="P114" s="2652"/>
      <c r="Q114" s="2652"/>
      <c r="R114" s="2652"/>
      <c r="S114" s="2652"/>
      <c r="T114" s="2652"/>
      <c r="U114" s="2652"/>
      <c r="V114" s="2652"/>
      <c r="W114" s="2652"/>
      <c r="X114" s="2652"/>
      <c r="Y114" s="2652"/>
      <c r="Z114" s="2652"/>
      <c r="AA114" s="2652"/>
      <c r="AB114" s="2652"/>
      <c r="AC114" s="2652"/>
      <c r="AD114" s="2652"/>
      <c r="AE114" s="2652"/>
      <c r="AF114" s="2652"/>
      <c r="AG114" s="2652"/>
      <c r="AH114" s="2652"/>
      <c r="AI114" s="2652"/>
      <c r="AJ114" s="2653"/>
      <c r="AK114" s="1216"/>
      <c r="AL114" s="1216"/>
      <c r="AM114" s="1216"/>
      <c r="AN114" s="1212"/>
      <c r="AO114" s="1213" t="str">
        <f>Application!B736</f>
        <v>3 Bedrooms</v>
      </c>
      <c r="AQ114" s="1213">
        <f>Application!O736</f>
        <v>1380</v>
      </c>
      <c r="AU114" s="1250" t="str">
        <f>Y118</f>
        <v>4-bedroom</v>
      </c>
      <c r="AV114" s="1213">
        <f t="array" ref="AV114">SUM(IF(Application!B728:F752="4 Bedrooms",Application!G728:J752))</f>
        <v>2</v>
      </c>
      <c r="AW114" s="1251">
        <f>AV114/AV116</f>
        <v>2.7777777777777776E-2</v>
      </c>
    </row>
    <row r="115" spans="1:52" s="1213" customFormat="1" ht="12.75" customHeight="1">
      <c r="A115" s="1216"/>
      <c r="B115" s="1575"/>
      <c r="C115" s="1575"/>
      <c r="D115" s="1575"/>
      <c r="E115" s="2651"/>
      <c r="F115" s="2652"/>
      <c r="G115" s="2652"/>
      <c r="H115" s="2652"/>
      <c r="I115" s="2652"/>
      <c r="J115" s="2652"/>
      <c r="K115" s="2652"/>
      <c r="L115" s="2652"/>
      <c r="M115" s="2652"/>
      <c r="N115" s="2652"/>
      <c r="O115" s="2652"/>
      <c r="P115" s="2652"/>
      <c r="Q115" s="2652"/>
      <c r="R115" s="2652"/>
      <c r="S115" s="2652"/>
      <c r="T115" s="2652"/>
      <c r="U115" s="2652"/>
      <c r="V115" s="2652"/>
      <c r="W115" s="2652"/>
      <c r="X115" s="2652"/>
      <c r="Y115" s="2652"/>
      <c r="Z115" s="2652"/>
      <c r="AA115" s="2652"/>
      <c r="AB115" s="2652"/>
      <c r="AC115" s="2652"/>
      <c r="AD115" s="2652"/>
      <c r="AE115" s="2652"/>
      <c r="AF115" s="2652"/>
      <c r="AG115" s="2652"/>
      <c r="AH115" s="2652"/>
      <c r="AI115" s="2652"/>
      <c r="AJ115" s="2653"/>
      <c r="AK115" s="1216"/>
      <c r="AL115" s="1216"/>
      <c r="AM115" s="1216"/>
      <c r="AN115" s="1212"/>
      <c r="AO115" s="1213">
        <f>Application!B737</f>
        <v>0</v>
      </c>
      <c r="AQ115" s="1213">
        <f>Application!O737</f>
        <v>0</v>
      </c>
      <c r="AU115" s="1250" t="str">
        <f>AD118</f>
        <v>5-bedroom</v>
      </c>
      <c r="AV115" s="1213">
        <f t="array" ref="AV115">SUM(IF(Application!B728:F752="5 Bedrooms",Application!G728:J752))</f>
        <v>1</v>
      </c>
      <c r="AW115" s="1251">
        <f>AV115/AV116</f>
        <v>1.3888888888888888E-2</v>
      </c>
    </row>
    <row r="116" spans="1:52" s="1213" customFormat="1" ht="12.75" customHeight="1">
      <c r="A116" s="1216"/>
      <c r="B116" s="1575"/>
      <c r="C116" s="1575"/>
      <c r="D116" s="1575"/>
      <c r="E116" s="2651"/>
      <c r="F116" s="2652"/>
      <c r="G116" s="2652"/>
      <c r="H116" s="2652"/>
      <c r="I116" s="2652"/>
      <c r="J116" s="2652"/>
      <c r="K116" s="2652"/>
      <c r="L116" s="2652"/>
      <c r="M116" s="2652"/>
      <c r="N116" s="2652"/>
      <c r="O116" s="2652"/>
      <c r="P116" s="2652"/>
      <c r="Q116" s="2652"/>
      <c r="R116" s="2652"/>
      <c r="S116" s="2652"/>
      <c r="T116" s="2652"/>
      <c r="U116" s="2652"/>
      <c r="V116" s="2652"/>
      <c r="W116" s="2652"/>
      <c r="X116" s="2652"/>
      <c r="Y116" s="2652"/>
      <c r="Z116" s="2652"/>
      <c r="AA116" s="2652"/>
      <c r="AB116" s="2652"/>
      <c r="AC116" s="2652"/>
      <c r="AD116" s="2652"/>
      <c r="AE116" s="2652"/>
      <c r="AF116" s="2652"/>
      <c r="AG116" s="2652"/>
      <c r="AH116" s="2652"/>
      <c r="AI116" s="2652"/>
      <c r="AJ116" s="2653"/>
      <c r="AK116" s="1216"/>
      <c r="AL116" s="1216"/>
      <c r="AM116" s="1216"/>
      <c r="AN116" s="1212"/>
      <c r="AO116" s="1213">
        <f>Application!B738</f>
        <v>0</v>
      </c>
      <c r="AQ116" s="1213">
        <f>Application!O738</f>
        <v>0</v>
      </c>
      <c r="AV116" s="1213">
        <f>SUM(AV110:AV115)</f>
        <v>72</v>
      </c>
      <c r="AW116" s="1251">
        <f>SUM(AW110:AW115)</f>
        <v>1</v>
      </c>
    </row>
    <row r="117" spans="1:52" s="1213" customFormat="1" ht="12.75" customHeight="1">
      <c r="A117" s="1216"/>
      <c r="B117" s="1575"/>
      <c r="C117" s="1575"/>
      <c r="D117" s="1575"/>
      <c r="E117" s="1599"/>
      <c r="F117" s="1585"/>
      <c r="G117" s="1585"/>
      <c r="H117" s="1585"/>
      <c r="I117" s="1585"/>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6"/>
      <c r="AK117" s="1216"/>
      <c r="AL117" s="1216"/>
      <c r="AM117" s="1216"/>
      <c r="AN117" s="1212"/>
      <c r="AO117" s="1213">
        <f>Application!B739</f>
        <v>0</v>
      </c>
      <c r="AQ117" s="1213">
        <f>Application!O739</f>
        <v>0</v>
      </c>
    </row>
    <row r="118" spans="1:52" s="1213" customFormat="1" ht="12.75" customHeight="1">
      <c r="A118" s="1216"/>
      <c r="B118" s="1575"/>
      <c r="C118" s="1216"/>
      <c r="D118" s="1216"/>
      <c r="E118" s="2643" t="s">
        <v>1787</v>
      </c>
      <c r="F118" s="2644"/>
      <c r="G118" s="2644"/>
      <c r="H118" s="2644"/>
      <c r="I118" s="1594"/>
      <c r="J118" s="2644" t="s">
        <v>1832</v>
      </c>
      <c r="K118" s="2644"/>
      <c r="L118" s="2644"/>
      <c r="M118" s="2644"/>
      <c r="N118" s="1594"/>
      <c r="O118" s="2644" t="s">
        <v>1833</v>
      </c>
      <c r="P118" s="2644"/>
      <c r="Q118" s="2644"/>
      <c r="R118" s="2644"/>
      <c r="S118" s="1594"/>
      <c r="T118" s="2644" t="s">
        <v>1524</v>
      </c>
      <c r="U118" s="2644"/>
      <c r="V118" s="2644"/>
      <c r="W118" s="2644"/>
      <c r="X118" s="1594"/>
      <c r="Y118" s="2644" t="s">
        <v>1834</v>
      </c>
      <c r="Z118" s="2644"/>
      <c r="AA118" s="2644"/>
      <c r="AB118" s="2644"/>
      <c r="AC118" s="1594"/>
      <c r="AD118" s="2644" t="s">
        <v>1835</v>
      </c>
      <c r="AE118" s="2644"/>
      <c r="AF118" s="2644"/>
      <c r="AG118" s="2644"/>
      <c r="AH118" s="1594"/>
      <c r="AI118" s="1594"/>
      <c r="AJ118" s="1596"/>
      <c r="AK118" s="1216"/>
      <c r="AL118" s="1216"/>
      <c r="AM118" s="1216"/>
      <c r="AN118" s="1212"/>
      <c r="AO118" s="1213">
        <f>Application!B740</f>
        <v>0</v>
      </c>
      <c r="AQ118" s="1213">
        <f>Application!O740</f>
        <v>0</v>
      </c>
    </row>
    <row r="119" spans="1:52" s="1213" customFormat="1" ht="12.75" customHeight="1">
      <c r="A119" s="1216"/>
      <c r="B119" s="1575"/>
      <c r="C119" s="1216"/>
      <c r="D119" s="1216"/>
      <c r="E119" s="1601"/>
      <c r="F119" s="1602"/>
      <c r="G119" s="1602"/>
      <c r="H119" s="1602"/>
      <c r="I119" s="1594"/>
      <c r="J119" s="1602"/>
      <c r="K119" s="1602"/>
      <c r="L119" s="1602"/>
      <c r="M119" s="1602"/>
      <c r="N119" s="1594"/>
      <c r="O119" s="1602"/>
      <c r="P119" s="1602"/>
      <c r="Q119" s="1602"/>
      <c r="R119" s="1602"/>
      <c r="S119" s="1594"/>
      <c r="T119" s="1602"/>
      <c r="U119" s="1602"/>
      <c r="V119" s="1602"/>
      <c r="W119" s="1602"/>
      <c r="X119" s="1594"/>
      <c r="Y119" s="1602"/>
      <c r="Z119" s="1602"/>
      <c r="AA119" s="1602"/>
      <c r="AB119" s="1602"/>
      <c r="AC119" s="1594"/>
      <c r="AD119" s="1602"/>
      <c r="AE119" s="1602"/>
      <c r="AF119" s="1602"/>
      <c r="AG119" s="1602"/>
      <c r="AH119" s="1594"/>
      <c r="AI119" s="1594"/>
      <c r="AJ119" s="1596"/>
      <c r="AK119" s="1216"/>
      <c r="AL119" s="1216"/>
      <c r="AM119" s="1216"/>
      <c r="AN119" s="1212"/>
      <c r="AO119" s="1213">
        <f>Application!B741</f>
        <v>0</v>
      </c>
      <c r="AQ119" s="1213">
        <f>Application!O741</f>
        <v>0</v>
      </c>
    </row>
    <row r="120" spans="1:52" s="1213" customFormat="1" ht="12.75" customHeight="1">
      <c r="A120" s="1216"/>
      <c r="B120" s="1575"/>
      <c r="C120" s="1216"/>
      <c r="D120" s="1216"/>
      <c r="E120" s="1603" t="s">
        <v>1836</v>
      </c>
      <c r="F120" s="1602"/>
      <c r="G120" s="1602"/>
      <c r="H120" s="1602"/>
      <c r="I120" s="1594"/>
      <c r="J120" s="1602"/>
      <c r="K120" s="1602"/>
      <c r="L120" s="1602"/>
      <c r="M120" s="1602"/>
      <c r="N120" s="1594"/>
      <c r="O120" s="1602"/>
      <c r="P120" s="1602"/>
      <c r="Q120" s="1602"/>
      <c r="R120" s="1602"/>
      <c r="S120" s="1594"/>
      <c r="T120" s="1602"/>
      <c r="U120" s="1602"/>
      <c r="V120" s="1602"/>
      <c r="W120" s="1602"/>
      <c r="X120" s="1594"/>
      <c r="Y120" s="1602"/>
      <c r="Z120" s="1602"/>
      <c r="AA120" s="1602"/>
      <c r="AB120" s="1602"/>
      <c r="AC120" s="1594"/>
      <c r="AD120" s="1602"/>
      <c r="AE120" s="1602"/>
      <c r="AF120" s="1602"/>
      <c r="AG120" s="1602"/>
      <c r="AH120" s="1594"/>
      <c r="AI120" s="1594"/>
      <c r="AJ120" s="1596"/>
      <c r="AK120" s="1216"/>
      <c r="AL120" s="1216"/>
      <c r="AM120" s="1216"/>
      <c r="AN120" s="1212"/>
      <c r="AO120" s="1213">
        <f>Application!B742</f>
        <v>0</v>
      </c>
      <c r="AQ120" s="1213">
        <f>Application!O742</f>
        <v>0</v>
      </c>
    </row>
    <row r="121" spans="1:52" s="1213" customFormat="1" ht="12.75" customHeight="1">
      <c r="A121" s="1216"/>
      <c r="B121" s="1575"/>
      <c r="C121" s="1216"/>
      <c r="D121" s="1216"/>
      <c r="E121" s="2641">
        <v>2446</v>
      </c>
      <c r="F121" s="2642"/>
      <c r="G121" s="2642"/>
      <c r="H121" s="2642"/>
      <c r="I121" s="1604"/>
      <c r="J121" s="2642">
        <v>2754</v>
      </c>
      <c r="K121" s="2642"/>
      <c r="L121" s="2642"/>
      <c r="M121" s="2642"/>
      <c r="N121" s="1604"/>
      <c r="O121" s="2642">
        <v>3423</v>
      </c>
      <c r="P121" s="2642"/>
      <c r="Q121" s="2642"/>
      <c r="R121" s="2642"/>
      <c r="S121" s="1604"/>
      <c r="T121" s="2642">
        <v>4167</v>
      </c>
      <c r="U121" s="2642"/>
      <c r="V121" s="2642"/>
      <c r="W121" s="2642"/>
      <c r="X121" s="1604"/>
      <c r="Y121" s="2642">
        <v>5022</v>
      </c>
      <c r="Z121" s="2642"/>
      <c r="AA121" s="2642"/>
      <c r="AB121" s="2642"/>
      <c r="AC121" s="1604"/>
      <c r="AD121" s="2642">
        <v>5222</v>
      </c>
      <c r="AE121" s="2642"/>
      <c r="AF121" s="2642"/>
      <c r="AG121" s="2642"/>
      <c r="AH121" s="1594"/>
      <c r="AI121" s="1594"/>
      <c r="AJ121" s="1596"/>
      <c r="AK121" s="1216"/>
      <c r="AL121" s="1216"/>
      <c r="AM121" s="1216"/>
      <c r="AN121" s="1212"/>
      <c r="AO121" s="1213">
        <f>Application!B743</f>
        <v>0</v>
      </c>
      <c r="AQ121" s="1213">
        <f>Application!O743</f>
        <v>0</v>
      </c>
    </row>
    <row r="122" spans="1:52" s="1213" customFormat="1" ht="12.75" customHeight="1">
      <c r="A122" s="1216"/>
      <c r="B122" s="1575"/>
      <c r="C122" s="1216"/>
      <c r="D122" s="1216"/>
      <c r="E122" s="1601"/>
      <c r="F122" s="1602"/>
      <c r="G122" s="1602"/>
      <c r="H122" s="1602"/>
      <c r="I122" s="1594"/>
      <c r="J122" s="1602"/>
      <c r="K122" s="1602"/>
      <c r="L122" s="1602"/>
      <c r="M122" s="1602"/>
      <c r="N122" s="1594"/>
      <c r="O122" s="1602"/>
      <c r="P122" s="1602"/>
      <c r="Q122" s="1602"/>
      <c r="R122" s="1602"/>
      <c r="S122" s="1594"/>
      <c r="T122" s="1602"/>
      <c r="U122" s="1602"/>
      <c r="V122" s="1602"/>
      <c r="W122" s="1602"/>
      <c r="X122" s="1594"/>
      <c r="Y122" s="1602"/>
      <c r="Z122" s="1602"/>
      <c r="AA122" s="1602"/>
      <c r="AB122" s="1602"/>
      <c r="AC122" s="1594"/>
      <c r="AD122" s="1602"/>
      <c r="AE122" s="1602"/>
      <c r="AF122" s="1602"/>
      <c r="AG122" s="1602"/>
      <c r="AH122" s="1594"/>
      <c r="AI122" s="1594"/>
      <c r="AJ122" s="1596"/>
      <c r="AK122" s="1216"/>
      <c r="AL122" s="1216"/>
      <c r="AM122" s="1216"/>
      <c r="AN122" s="1212"/>
      <c r="AO122" s="1213">
        <f>Application!B744</f>
        <v>0</v>
      </c>
      <c r="AQ122" s="1213">
        <f>Application!O744</f>
        <v>0</v>
      </c>
      <c r="AU122" s="1252"/>
      <c r="AV122" s="1252"/>
      <c r="AW122" s="1252"/>
      <c r="AX122" s="1252"/>
      <c r="AY122" s="1252"/>
      <c r="AZ122" s="1252"/>
    </row>
    <row r="123" spans="1:52" s="1213" customFormat="1" ht="12.75" customHeight="1">
      <c r="A123" s="1216"/>
      <c r="B123" s="1575"/>
      <c r="C123" s="1216"/>
      <c r="D123" s="1216"/>
      <c r="E123" s="1603" t="s">
        <v>2155</v>
      </c>
      <c r="F123" s="1602"/>
      <c r="G123" s="1602"/>
      <c r="H123" s="1602"/>
      <c r="I123" s="1594"/>
      <c r="J123" s="1602"/>
      <c r="K123" s="1602"/>
      <c r="L123" s="1602"/>
      <c r="M123" s="1602"/>
      <c r="N123" s="1594"/>
      <c r="O123" s="1602"/>
      <c r="P123" s="1602"/>
      <c r="Q123" s="1602"/>
      <c r="R123" s="1602"/>
      <c r="S123" s="1594"/>
      <c r="T123" s="1602"/>
      <c r="U123" s="1602"/>
      <c r="V123" s="1602"/>
      <c r="W123" s="1602"/>
      <c r="X123" s="1594"/>
      <c r="Y123" s="1602"/>
      <c r="Z123" s="1602"/>
      <c r="AA123" s="1602"/>
      <c r="AB123" s="1602"/>
      <c r="AC123" s="1594"/>
      <c r="AD123" s="1602"/>
      <c r="AE123" s="1602"/>
      <c r="AF123" s="1602"/>
      <c r="AG123" s="1602"/>
      <c r="AH123" s="1594"/>
      <c r="AI123" s="1594"/>
      <c r="AJ123" s="1596"/>
      <c r="AK123" s="1216"/>
      <c r="AL123" s="1216"/>
      <c r="AM123" s="1216"/>
      <c r="AN123" s="1212"/>
      <c r="AO123" s="1213">
        <f>Application!B745</f>
        <v>0</v>
      </c>
      <c r="AQ123" s="1213">
        <f>Application!O745</f>
        <v>0</v>
      </c>
      <c r="AU123" s="1252"/>
      <c r="AV123" s="1252"/>
      <c r="AW123" s="1252"/>
      <c r="AX123" s="1252"/>
      <c r="AY123" s="1252"/>
      <c r="AZ123" s="1252"/>
    </row>
    <row r="124" spans="1:52" s="1213" customFormat="1" ht="12.75" customHeight="1">
      <c r="A124" s="1216"/>
      <c r="B124" s="1575"/>
      <c r="C124" s="1216"/>
      <c r="D124" s="1216"/>
      <c r="E124" s="2639">
        <f>Application!DX663</f>
        <v>1171.1200000000001</v>
      </c>
      <c r="F124" s="2640"/>
      <c r="G124" s="2640"/>
      <c r="H124" s="2640"/>
      <c r="I124" s="1604"/>
      <c r="J124" s="2640">
        <f>Application!EC663</f>
        <v>1318.5422222222223</v>
      </c>
      <c r="K124" s="2640"/>
      <c r="L124" s="2640"/>
      <c r="M124" s="2640"/>
      <c r="N124" s="1604"/>
      <c r="O124" s="2640">
        <f>Application!EH663</f>
        <v>1465.8348387096773</v>
      </c>
      <c r="P124" s="2640"/>
      <c r="Q124" s="2640"/>
      <c r="R124" s="2640"/>
      <c r="S124" s="1605"/>
      <c r="T124" s="2640">
        <f>Application!EM663</f>
        <v>1588.2</v>
      </c>
      <c r="U124" s="2640"/>
      <c r="V124" s="2640"/>
      <c r="W124" s="2640"/>
      <c r="X124" s="1605"/>
      <c r="Y124" s="2640">
        <f>Application!ER663</f>
        <v>1778.92</v>
      </c>
      <c r="Z124" s="2640"/>
      <c r="AA124" s="2640"/>
      <c r="AB124" s="2640"/>
      <c r="AC124" s="1605"/>
      <c r="AD124" s="2640">
        <f>Application!EW663</f>
        <v>1907.76</v>
      </c>
      <c r="AE124" s="2640"/>
      <c r="AF124" s="2640"/>
      <c r="AG124" s="2640"/>
      <c r="AH124" s="1594"/>
      <c r="AI124" s="1594"/>
      <c r="AJ124" s="1596"/>
      <c r="AK124" s="1216"/>
      <c r="AL124" s="1216"/>
      <c r="AM124" s="1216"/>
      <c r="AN124" s="1212"/>
      <c r="AO124" s="1213">
        <f>Application!B746</f>
        <v>0</v>
      </c>
      <c r="AQ124" s="1213">
        <f>Application!O746</f>
        <v>0</v>
      </c>
      <c r="AU124" s="1252"/>
      <c r="AV124" s="1252"/>
      <c r="AW124" s="1253"/>
      <c r="AX124" s="1253"/>
      <c r="AY124" s="1252"/>
      <c r="AZ124" s="1252"/>
    </row>
    <row r="125" spans="1:52" s="1213" customFormat="1" ht="12.75" customHeight="1">
      <c r="A125" s="1216"/>
      <c r="B125" s="1575"/>
      <c r="C125" s="1216"/>
      <c r="D125" s="1216"/>
      <c r="E125" s="1606"/>
      <c r="F125" s="1602"/>
      <c r="G125" s="1602"/>
      <c r="H125" s="1602"/>
      <c r="I125" s="1594"/>
      <c r="J125" s="1597"/>
      <c r="K125" s="1594"/>
      <c r="L125" s="1594"/>
      <c r="M125" s="1594"/>
      <c r="N125" s="1594"/>
      <c r="O125" s="1594"/>
      <c r="P125" s="1594"/>
      <c r="Q125" s="1594"/>
      <c r="R125" s="1594"/>
      <c r="S125" s="1594"/>
      <c r="T125" s="1594"/>
      <c r="U125" s="1594"/>
      <c r="V125" s="1594"/>
      <c r="W125" s="1594"/>
      <c r="X125" s="1594"/>
      <c r="Y125" s="1594"/>
      <c r="Z125" s="1594"/>
      <c r="AA125" s="1594"/>
      <c r="AB125" s="1594"/>
      <c r="AC125" s="1594"/>
      <c r="AD125" s="1594"/>
      <c r="AE125" s="1594"/>
      <c r="AF125" s="1594"/>
      <c r="AG125" s="1594"/>
      <c r="AH125" s="1594"/>
      <c r="AI125" s="1594"/>
      <c r="AJ125" s="1596"/>
      <c r="AK125" s="1216"/>
      <c r="AL125" s="1216"/>
      <c r="AM125" s="1216"/>
      <c r="AN125" s="1212"/>
      <c r="AO125" s="1213">
        <f>Application!B747</f>
        <v>0</v>
      </c>
      <c r="AQ125" s="1213">
        <f>Application!O747</f>
        <v>0</v>
      </c>
      <c r="AU125" s="1252"/>
      <c r="AV125" s="1252"/>
      <c r="AW125" s="1253"/>
      <c r="AX125" s="1253"/>
      <c r="AY125" s="1252"/>
      <c r="AZ125" s="1252"/>
    </row>
    <row r="126" spans="1:52" s="1213" customFormat="1" ht="12.75" customHeight="1">
      <c r="A126" s="1216"/>
      <c r="B126" s="1575"/>
      <c r="C126" s="1216"/>
      <c r="D126" s="1216"/>
      <c r="E126" s="1603" t="s">
        <v>2156</v>
      </c>
      <c r="F126" s="1602"/>
      <c r="G126" s="1602"/>
      <c r="H126" s="1602"/>
      <c r="I126" s="1594"/>
      <c r="J126" s="1597"/>
      <c r="K126" s="1594"/>
      <c r="L126" s="1594"/>
      <c r="M126" s="1594"/>
      <c r="N126" s="1594"/>
      <c r="O126" s="1594"/>
      <c r="P126" s="1594"/>
      <c r="Q126" s="1594"/>
      <c r="R126" s="1594"/>
      <c r="S126" s="1594"/>
      <c r="T126" s="1594"/>
      <c r="U126" s="1594"/>
      <c r="V126" s="1594"/>
      <c r="W126" s="1594"/>
      <c r="X126" s="1594"/>
      <c r="Y126" s="1594"/>
      <c r="Z126" s="1594"/>
      <c r="AA126" s="1594"/>
      <c r="AB126" s="1594"/>
      <c r="AC126" s="1594"/>
      <c r="AD126" s="1594"/>
      <c r="AE126" s="1594"/>
      <c r="AF126" s="1594"/>
      <c r="AG126" s="1594"/>
      <c r="AH126" s="1594"/>
      <c r="AI126" s="1594"/>
      <c r="AJ126" s="1596"/>
      <c r="AK126" s="1216"/>
      <c r="AL126" s="1216"/>
      <c r="AM126" s="1216"/>
      <c r="AN126" s="1212"/>
      <c r="AO126" s="1213">
        <f>Application!B748</f>
        <v>0</v>
      </c>
      <c r="AQ126" s="1213">
        <f>Application!O748</f>
        <v>0</v>
      </c>
      <c r="AU126" s="1252"/>
      <c r="AV126" s="1252"/>
      <c r="AW126" s="1253"/>
      <c r="AX126" s="1253"/>
      <c r="AY126" s="1252"/>
      <c r="AZ126" s="1252"/>
    </row>
    <row r="127" spans="1:52" s="1213" customFormat="1" ht="12.75" customHeight="1">
      <c r="A127" s="1216"/>
      <c r="B127" s="1575"/>
      <c r="C127" s="1216"/>
      <c r="D127" s="1216"/>
      <c r="E127" s="2632">
        <f>(E121-E124)/E121</f>
        <v>0.52121013900245294</v>
      </c>
      <c r="F127" s="2633"/>
      <c r="G127" s="2633"/>
      <c r="H127" s="2634"/>
      <c r="I127" s="1594"/>
      <c r="J127" s="2632">
        <f>(J121-J124)/J121</f>
        <v>0.52122649882998462</v>
      </c>
      <c r="K127" s="2633"/>
      <c r="L127" s="2633"/>
      <c r="M127" s="2634"/>
      <c r="N127" s="1594"/>
      <c r="O127" s="2632">
        <f>(O121-O124)/O121</f>
        <v>0.57176896327499926</v>
      </c>
      <c r="P127" s="2633"/>
      <c r="Q127" s="2633"/>
      <c r="R127" s="2634"/>
      <c r="S127" s="1594"/>
      <c r="T127" s="2632">
        <f>(T121-T124)/T121</f>
        <v>0.61886249100071999</v>
      </c>
      <c r="U127" s="2633"/>
      <c r="V127" s="2633"/>
      <c r="W127" s="2634"/>
      <c r="X127" s="1594"/>
      <c r="Y127" s="2632">
        <f>(Y121-Y124)/Y121</f>
        <v>0.6457745917960972</v>
      </c>
      <c r="Z127" s="2633"/>
      <c r="AA127" s="2633"/>
      <c r="AB127" s="2634"/>
      <c r="AC127" s="1594"/>
      <c r="AD127" s="2632">
        <f>(AD121-AD124)/AD121</f>
        <v>0.63466870930677899</v>
      </c>
      <c r="AE127" s="2633"/>
      <c r="AF127" s="2633"/>
      <c r="AG127" s="2634"/>
      <c r="AH127" s="1594"/>
      <c r="AI127" s="1594"/>
      <c r="AJ127" s="1596"/>
      <c r="AK127" s="1216"/>
      <c r="AL127" s="1216"/>
      <c r="AM127" s="1216"/>
      <c r="AN127" s="1212"/>
      <c r="AO127" s="1213">
        <f>Application!B749</f>
        <v>0</v>
      </c>
      <c r="AQ127" s="1213">
        <f>Application!O749</f>
        <v>0</v>
      </c>
      <c r="AU127" s="1252"/>
      <c r="AV127" s="1252"/>
      <c r="AW127" s="1253"/>
      <c r="AX127" s="1253"/>
      <c r="AY127" s="1252"/>
      <c r="AZ127" s="1252"/>
    </row>
    <row r="128" spans="1:52" s="1213" customFormat="1" ht="12.75" customHeight="1">
      <c r="A128" s="1216"/>
      <c r="B128" s="1575"/>
      <c r="C128" s="1216"/>
      <c r="D128" s="1216"/>
      <c r="E128" s="1607"/>
      <c r="F128" s="1608"/>
      <c r="G128" s="1608"/>
      <c r="H128" s="1608"/>
      <c r="I128" s="1594"/>
      <c r="J128" s="1608"/>
      <c r="K128" s="1608"/>
      <c r="L128" s="1608"/>
      <c r="M128" s="1608"/>
      <c r="N128" s="1594"/>
      <c r="O128" s="1608"/>
      <c r="P128" s="1608"/>
      <c r="Q128" s="1608"/>
      <c r="R128" s="1608"/>
      <c r="S128" s="1594"/>
      <c r="T128" s="1608"/>
      <c r="U128" s="1608"/>
      <c r="V128" s="1608"/>
      <c r="W128" s="1608"/>
      <c r="X128" s="1594"/>
      <c r="Y128" s="1608"/>
      <c r="Z128" s="1608"/>
      <c r="AA128" s="1608"/>
      <c r="AB128" s="1608"/>
      <c r="AC128" s="1594"/>
      <c r="AD128" s="1608"/>
      <c r="AE128" s="1608"/>
      <c r="AF128" s="1608"/>
      <c r="AG128" s="1608"/>
      <c r="AH128" s="1594"/>
      <c r="AI128" s="1594"/>
      <c r="AJ128" s="1596"/>
      <c r="AK128" s="1216"/>
      <c r="AL128" s="1216"/>
      <c r="AM128" s="1216"/>
      <c r="AN128" s="1212"/>
      <c r="AO128" s="1213">
        <f>Application!B750</f>
        <v>0</v>
      </c>
      <c r="AQ128" s="1213">
        <f>Application!O750</f>
        <v>0</v>
      </c>
      <c r="AU128" s="1252"/>
      <c r="AV128" s="1252"/>
      <c r="AW128" s="1253"/>
      <c r="AX128" s="1253"/>
      <c r="AY128" s="1252"/>
      <c r="AZ128" s="1252"/>
    </row>
    <row r="129" spans="1:52" s="1213" customFormat="1" ht="12.75" customHeight="1">
      <c r="A129" s="1216"/>
      <c r="B129" s="1575"/>
      <c r="C129" s="1216"/>
      <c r="D129" s="1216"/>
      <c r="E129" s="1609" t="s">
        <v>2157</v>
      </c>
      <c r="F129" s="1608"/>
      <c r="G129" s="1608"/>
      <c r="H129" s="1608"/>
      <c r="I129" s="1594"/>
      <c r="J129" s="1608"/>
      <c r="K129" s="1608"/>
      <c r="L129" s="1608"/>
      <c r="M129" s="1608"/>
      <c r="N129" s="1594"/>
      <c r="O129" s="1608"/>
      <c r="P129" s="1608"/>
      <c r="Q129" s="1608"/>
      <c r="R129" s="1608"/>
      <c r="S129" s="1594"/>
      <c r="T129" s="1608"/>
      <c r="U129" s="1608"/>
      <c r="V129" s="1608"/>
      <c r="W129" s="1608"/>
      <c r="X129" s="1594"/>
      <c r="Y129" s="1608"/>
      <c r="Z129" s="1608"/>
      <c r="AA129" s="1608"/>
      <c r="AB129" s="1608"/>
      <c r="AC129" s="1594"/>
      <c r="AD129" s="1608"/>
      <c r="AE129" s="1608"/>
      <c r="AF129" s="1608"/>
      <c r="AG129" s="1608"/>
      <c r="AH129" s="1594"/>
      <c r="AI129" s="1594"/>
      <c r="AJ129" s="1596"/>
      <c r="AK129" s="1216"/>
      <c r="AL129" s="1216"/>
      <c r="AM129" s="1216"/>
      <c r="AN129" s="1212"/>
      <c r="AO129" s="1213">
        <f>Application!B751</f>
        <v>0</v>
      </c>
      <c r="AQ129" s="1213">
        <f>Application!O751</f>
        <v>0</v>
      </c>
      <c r="AU129" s="1253"/>
      <c r="AV129" s="1252"/>
      <c r="AW129" s="1253"/>
      <c r="AX129" s="1253"/>
      <c r="AY129" s="1252"/>
      <c r="AZ129" s="1252"/>
    </row>
    <row r="130" spans="1:52" s="1213" customFormat="1" ht="12.75" customHeight="1">
      <c r="A130" s="1216"/>
      <c r="B130" s="1575"/>
      <c r="C130" s="1216"/>
      <c r="D130" s="1216"/>
      <c r="E130" s="2636">
        <f>IF(((E127-0.1)*AW110)&gt;0,((E127-0.1)*AW110),0)</f>
        <v>2.3400563277914052E-2</v>
      </c>
      <c r="F130" s="2637"/>
      <c r="G130" s="2637"/>
      <c r="H130" s="2638"/>
      <c r="I130" s="1594"/>
      <c r="J130" s="2636">
        <f>IF(((J127-0.1)*AW111)&gt;0,((J127-0.1)*AW111),0)</f>
        <v>0.10530662470749616</v>
      </c>
      <c r="K130" s="2637"/>
      <c r="L130" s="2637"/>
      <c r="M130" s="2638"/>
      <c r="N130" s="1594"/>
      <c r="O130" s="2636">
        <f>IF(((O127-0.1)*AW112)&gt;0,((O127-0.1)*AW112),0)</f>
        <v>0.2031227480767358</v>
      </c>
      <c r="P130" s="2637"/>
      <c r="Q130" s="2637"/>
      <c r="R130" s="2638"/>
      <c r="S130" s="1594"/>
      <c r="T130" s="2636">
        <f>IF(((T127-0.1)*AW113)&gt;0,((T127-0.1)*AW113),0)</f>
        <v>0.11530277577793778</v>
      </c>
      <c r="U130" s="2637"/>
      <c r="V130" s="2637"/>
      <c r="W130" s="2638"/>
      <c r="X130" s="1594"/>
      <c r="Y130" s="2636">
        <f>IF(((Y127-0.1)*AW114)&gt;0,((Y127-0.1)*AW114),0)</f>
        <v>1.5160405327669366E-2</v>
      </c>
      <c r="Z130" s="2637"/>
      <c r="AA130" s="2637"/>
      <c r="AB130" s="2638"/>
      <c r="AC130" s="1594"/>
      <c r="AD130" s="2636">
        <f>IF(((AD127-0.1)*AW115)&gt;0,((AD127-0.1)*AW115),0)</f>
        <v>7.4259542959274859E-3</v>
      </c>
      <c r="AE130" s="2637"/>
      <c r="AF130" s="2637"/>
      <c r="AG130" s="2638"/>
      <c r="AH130" s="1594"/>
      <c r="AI130" s="1594"/>
      <c r="AJ130" s="1596"/>
      <c r="AK130" s="1216"/>
      <c r="AL130" s="1216"/>
      <c r="AM130" s="1216"/>
      <c r="AN130" s="1212"/>
      <c r="AO130" s="1213">
        <f>Application!B752</f>
        <v>0</v>
      </c>
      <c r="AQ130" s="1213">
        <f>Application!O752</f>
        <v>0</v>
      </c>
      <c r="AU130" s="1252"/>
      <c r="AV130" s="1252"/>
      <c r="AW130" s="1252"/>
      <c r="AX130" s="1253"/>
      <c r="AY130" s="1252"/>
      <c r="AZ130" s="1252"/>
    </row>
    <row r="131" spans="1:52" s="1213" customFormat="1" ht="12.75" customHeight="1">
      <c r="A131" s="1216"/>
      <c r="B131" s="1575"/>
      <c r="C131" s="1216"/>
      <c r="D131" s="1216"/>
      <c r="E131" s="1606"/>
      <c r="F131" s="1602"/>
      <c r="G131" s="1602"/>
      <c r="H131" s="1602"/>
      <c r="I131" s="1594"/>
      <c r="J131" s="1597"/>
      <c r="K131" s="1594"/>
      <c r="L131" s="1594"/>
      <c r="M131" s="1594"/>
      <c r="N131" s="1594"/>
      <c r="O131" s="1594"/>
      <c r="P131" s="1594"/>
      <c r="Q131" s="1594"/>
      <c r="R131" s="1594"/>
      <c r="S131" s="1594"/>
      <c r="T131" s="1594"/>
      <c r="U131" s="1594"/>
      <c r="V131" s="1594"/>
      <c r="W131" s="1594"/>
      <c r="X131" s="1594"/>
      <c r="Y131" s="1594"/>
      <c r="Z131" s="1594"/>
      <c r="AA131" s="1594"/>
      <c r="AB131" s="1594"/>
      <c r="AC131" s="1594"/>
      <c r="AD131" s="1594"/>
      <c r="AE131" s="1594"/>
      <c r="AF131" s="1594"/>
      <c r="AG131" s="1594"/>
      <c r="AH131" s="1594"/>
      <c r="AI131" s="1594"/>
      <c r="AJ131" s="1596"/>
      <c r="AK131" s="1216"/>
      <c r="AL131" s="1216"/>
      <c r="AM131" s="1216"/>
      <c r="AN131" s="1212"/>
      <c r="AU131" s="1252"/>
      <c r="AV131" s="1252"/>
      <c r="AW131" s="1252"/>
      <c r="AX131" s="1252"/>
      <c r="AY131" s="1252"/>
      <c r="AZ131" s="1252"/>
    </row>
    <row r="132" spans="1:52" s="1213" customFormat="1" ht="12.75" customHeight="1">
      <c r="A132" s="1216"/>
      <c r="B132" s="1575"/>
      <c r="C132" s="1216"/>
      <c r="D132" s="1216"/>
      <c r="E132" s="2632">
        <f>ROUNDDOWN(SUMIF(E130:AG130,"&gt;0"),2)</f>
        <v>0.46</v>
      </c>
      <c r="F132" s="2633"/>
      <c r="G132" s="2633"/>
      <c r="H132" s="2634"/>
      <c r="I132" s="1594"/>
      <c r="J132" s="1597" t="s">
        <v>2158</v>
      </c>
      <c r="K132" s="1594"/>
      <c r="L132" s="1594"/>
      <c r="M132" s="1594"/>
      <c r="N132" s="1594"/>
      <c r="O132" s="1594"/>
      <c r="P132" s="1594"/>
      <c r="Q132" s="1594"/>
      <c r="R132" s="1594"/>
      <c r="S132" s="1594"/>
      <c r="T132" s="1594"/>
      <c r="U132" s="1594"/>
      <c r="V132" s="1594"/>
      <c r="W132" s="1594"/>
      <c r="X132" s="1594"/>
      <c r="Y132" s="1594"/>
      <c r="Z132" s="1594"/>
      <c r="AA132" s="1594"/>
      <c r="AB132" s="1594"/>
      <c r="AC132" s="1594"/>
      <c r="AD132" s="1610"/>
      <c r="AE132" s="1610"/>
      <c r="AF132" s="1610"/>
      <c r="AG132" s="1610"/>
      <c r="AH132" s="1594"/>
      <c r="AI132" s="1594"/>
      <c r="AJ132" s="1596"/>
      <c r="AK132" s="1216"/>
      <c r="AL132" s="1216"/>
      <c r="AM132" s="1216"/>
      <c r="AN132" s="1212"/>
      <c r="AU132" s="1252"/>
      <c r="AV132" s="1252"/>
      <c r="AW132" s="1252"/>
      <c r="AX132" s="1253"/>
      <c r="AY132" s="1252"/>
      <c r="AZ132" s="1252"/>
    </row>
    <row r="133" spans="1:52" s="1213" customFormat="1" ht="12.75" customHeight="1">
      <c r="A133" s="1216"/>
      <c r="B133" s="1575"/>
      <c r="C133" s="1216"/>
      <c r="D133" s="1216"/>
      <c r="E133" s="2629">
        <f>IF((E132*100)&gt;10,10,E132*100)</f>
        <v>10</v>
      </c>
      <c r="F133" s="2630"/>
      <c r="G133" s="2630"/>
      <c r="H133" s="2631"/>
      <c r="I133" s="1594"/>
      <c r="J133" s="1597" t="s">
        <v>1518</v>
      </c>
      <c r="K133" s="1594"/>
      <c r="L133" s="1594"/>
      <c r="M133" s="1594"/>
      <c r="N133" s="1594"/>
      <c r="O133" s="1594"/>
      <c r="P133" s="1594"/>
      <c r="Q133" s="1594"/>
      <c r="R133" s="1594"/>
      <c r="S133" s="1594"/>
      <c r="T133" s="1594"/>
      <c r="U133" s="1594"/>
      <c r="V133" s="1594"/>
      <c r="W133" s="1594"/>
      <c r="X133" s="1594"/>
      <c r="Y133" s="1594"/>
      <c r="Z133" s="1594"/>
      <c r="AA133" s="1594"/>
      <c r="AB133" s="1594"/>
      <c r="AC133" s="1594"/>
      <c r="AD133" s="1594"/>
      <c r="AE133" s="1594"/>
      <c r="AF133" s="1594"/>
      <c r="AG133" s="1594"/>
      <c r="AH133" s="1594"/>
      <c r="AI133" s="1594"/>
      <c r="AJ133" s="1596"/>
      <c r="AK133" s="1216"/>
      <c r="AL133" s="1216"/>
      <c r="AM133" s="1216"/>
      <c r="AN133" s="1212"/>
      <c r="AU133" s="1252"/>
      <c r="AV133" s="1252"/>
      <c r="AW133" s="1252"/>
      <c r="AX133" s="1252"/>
      <c r="AY133" s="1252"/>
      <c r="AZ133" s="1252"/>
    </row>
    <row r="134" spans="1:52" s="1213" customFormat="1" ht="12.75" customHeight="1">
      <c r="A134" s="1216"/>
      <c r="B134" s="1216"/>
      <c r="C134" s="1216"/>
      <c r="D134" s="1216"/>
      <c r="E134" s="1254"/>
      <c r="F134" s="1255"/>
      <c r="G134" s="1255"/>
      <c r="H134" s="1255"/>
      <c r="I134" s="1255"/>
      <c r="J134" s="1255"/>
      <c r="K134" s="1255"/>
      <c r="L134" s="1255"/>
      <c r="M134" s="1255"/>
      <c r="N134" s="1255"/>
      <c r="O134" s="1255"/>
      <c r="P134" s="1255"/>
      <c r="Q134" s="1255"/>
      <c r="R134" s="1255"/>
      <c r="S134" s="1255"/>
      <c r="T134" s="1255"/>
      <c r="U134" s="1255"/>
      <c r="V134" s="1255"/>
      <c r="W134" s="1255"/>
      <c r="X134" s="1255"/>
      <c r="Y134" s="1255"/>
      <c r="Z134" s="1255"/>
      <c r="AA134" s="1255"/>
      <c r="AB134" s="1255"/>
      <c r="AC134" s="1255"/>
      <c r="AD134" s="1255"/>
      <c r="AE134" s="1255"/>
      <c r="AF134" s="1255"/>
      <c r="AG134" s="1255"/>
      <c r="AH134" s="1255"/>
      <c r="AI134" s="1255"/>
      <c r="AJ134" s="1256"/>
      <c r="AK134" s="1216"/>
      <c r="AL134" s="1216"/>
      <c r="AM134" s="1216"/>
      <c r="AN134" s="1212"/>
      <c r="AT134" s="1257"/>
      <c r="AU134" s="1252"/>
      <c r="AV134" s="1252"/>
      <c r="AW134" s="1253"/>
      <c r="AX134" s="1252"/>
      <c r="AY134" s="1252"/>
      <c r="AZ134" s="1252"/>
    </row>
    <row r="135" spans="1:52" s="1213" customFormat="1" ht="12.75" customHeight="1">
      <c r="A135" s="1216"/>
      <c r="B135" s="1216"/>
      <c r="C135" s="1216"/>
      <c r="D135" s="1216"/>
      <c r="E135" s="1216"/>
      <c r="F135" s="1216"/>
      <c r="G135" s="1216"/>
      <c r="H135" s="1216"/>
      <c r="I135" s="1216"/>
      <c r="J135" s="1216"/>
      <c r="K135" s="1216"/>
      <c r="L135" s="1216"/>
      <c r="M135" s="1216"/>
      <c r="N135" s="1216"/>
      <c r="O135" s="1216"/>
      <c r="P135" s="1216"/>
      <c r="Q135" s="1216"/>
      <c r="R135" s="1216"/>
      <c r="S135" s="1216"/>
      <c r="T135" s="1216"/>
      <c r="U135" s="1216"/>
      <c r="V135" s="1216"/>
      <c r="W135" s="1216"/>
      <c r="X135" s="1216"/>
      <c r="Y135" s="1216"/>
      <c r="Z135" s="1216"/>
      <c r="AA135" s="1216"/>
      <c r="AB135" s="1216"/>
      <c r="AC135" s="1216"/>
      <c r="AD135" s="1216"/>
      <c r="AE135" s="1216"/>
      <c r="AF135" s="1216"/>
      <c r="AG135" s="1216"/>
      <c r="AH135" s="1216"/>
      <c r="AI135" s="1216"/>
      <c r="AJ135" s="1216"/>
      <c r="AK135" s="1216"/>
      <c r="AL135" s="1216"/>
      <c r="AM135" s="1216"/>
      <c r="AN135" s="1212"/>
      <c r="AU135" s="1252"/>
      <c r="AV135" s="1252"/>
      <c r="AW135" s="1252"/>
      <c r="AX135" s="1252"/>
      <c r="AY135" s="1252"/>
      <c r="AZ135" s="1252"/>
    </row>
    <row r="136" spans="1:52" s="1213" customFormat="1" ht="12.75" customHeight="1">
      <c r="A136" s="1216"/>
      <c r="B136" s="1216"/>
      <c r="C136" s="1216"/>
      <c r="D136" s="1216"/>
      <c r="E136" s="1216"/>
      <c r="F136" s="1216"/>
      <c r="G136" s="1216"/>
      <c r="H136" s="1216"/>
      <c r="I136" s="1216"/>
      <c r="J136" s="1216"/>
      <c r="K136" s="1216"/>
      <c r="L136" s="1216"/>
      <c r="M136" s="1216"/>
      <c r="N136" s="1216"/>
      <c r="O136" s="1216"/>
      <c r="P136" s="1216"/>
      <c r="Q136" s="1216"/>
      <c r="R136" s="1216"/>
      <c r="S136" s="1216"/>
      <c r="T136" s="1216"/>
      <c r="U136" s="1216"/>
      <c r="V136" s="1216"/>
      <c r="W136" s="1216"/>
      <c r="X136" s="1216"/>
      <c r="Y136" s="1216"/>
      <c r="Z136" s="1216"/>
      <c r="AA136" s="1216"/>
      <c r="AB136" s="1216"/>
      <c r="AC136" s="1216"/>
      <c r="AD136" s="1216"/>
      <c r="AE136" s="1216"/>
      <c r="AF136" s="1216"/>
      <c r="AG136" s="1216"/>
      <c r="AH136" s="1216"/>
      <c r="AI136" s="1216"/>
      <c r="AJ136" s="1216"/>
      <c r="AK136" s="1216"/>
      <c r="AL136" s="1216"/>
      <c r="AM136" s="1216"/>
      <c r="AN136" s="1212"/>
    </row>
    <row r="137" spans="1:52" s="1213" customFormat="1" ht="12.75" customHeight="1">
      <c r="A137" s="1229"/>
      <c r="B137" s="1230"/>
      <c r="C137" s="1230"/>
      <c r="D137" s="1230"/>
      <c r="E137" s="1230"/>
      <c r="F137" s="1230"/>
      <c r="G137" s="1231"/>
      <c r="H137" s="1232"/>
      <c r="I137" s="1232"/>
      <c r="J137" s="1232"/>
      <c r="K137" s="1232"/>
      <c r="L137" s="1232"/>
      <c r="M137" s="1232"/>
      <c r="N137" s="1232"/>
      <c r="O137" s="1232"/>
      <c r="P137" s="1232"/>
      <c r="Q137" s="1232"/>
      <c r="R137" s="1232"/>
      <c r="S137" s="1232"/>
      <c r="T137" s="1232"/>
      <c r="U137" s="1232"/>
      <c r="V137" s="1232"/>
      <c r="W137" s="1232"/>
      <c r="X137" s="1232"/>
      <c r="Y137" s="1232"/>
      <c r="Z137" s="1232"/>
      <c r="AA137" s="1232"/>
      <c r="AB137" s="1232"/>
      <c r="AC137" s="1232"/>
      <c r="AD137" s="1232"/>
      <c r="AE137" s="1232"/>
      <c r="AF137" s="1232"/>
      <c r="AG137" s="1232"/>
      <c r="AH137" s="1232"/>
      <c r="AI137" s="1233"/>
      <c r="AJ137" s="1233" t="s">
        <v>1525</v>
      </c>
      <c r="AK137" s="2629">
        <f>E133</f>
        <v>10</v>
      </c>
      <c r="AL137" s="2630"/>
      <c r="AM137" s="2631"/>
      <c r="AN137" s="1212"/>
    </row>
    <row r="138" spans="1:52" s="1213" customFormat="1" ht="12.75" customHeight="1" thickBot="1">
      <c r="A138" s="1234"/>
      <c r="B138" s="1235"/>
      <c r="C138" s="1236"/>
      <c r="D138" s="1236"/>
      <c r="E138" s="1236"/>
      <c r="F138" s="1236"/>
      <c r="G138" s="1236"/>
      <c r="H138" s="1236"/>
      <c r="I138" s="1236"/>
      <c r="J138" s="1236"/>
      <c r="K138" s="1236"/>
      <c r="L138" s="1236"/>
      <c r="M138" s="1236"/>
      <c r="N138" s="1236"/>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7"/>
      <c r="AN138" s="1212"/>
    </row>
    <row r="139" spans="1:52" s="1213" customFormat="1" ht="12.75" customHeight="1" thickTop="1">
      <c r="B139" s="914"/>
      <c r="C139" s="915"/>
      <c r="D139" s="915"/>
      <c r="E139" s="915"/>
      <c r="F139" s="915"/>
      <c r="G139" s="915"/>
      <c r="H139" s="915"/>
      <c r="I139" s="1567"/>
      <c r="J139" s="1567"/>
      <c r="K139" s="1567"/>
      <c r="L139" s="1567"/>
      <c r="M139" s="1567"/>
      <c r="N139" s="1567"/>
      <c r="O139" s="1567"/>
      <c r="P139" s="1567"/>
      <c r="Q139" s="1567"/>
      <c r="S139" s="1575"/>
      <c r="T139" s="1575"/>
      <c r="U139" s="1575"/>
      <c r="V139" s="1575"/>
      <c r="W139" s="1575"/>
      <c r="X139" s="1575"/>
      <c r="Y139" s="1575"/>
      <c r="Z139" s="1575"/>
      <c r="AA139" s="1575"/>
      <c r="AB139" s="1575"/>
      <c r="AC139" s="1575"/>
      <c r="AD139" s="1575"/>
      <c r="AE139" s="1575"/>
      <c r="AG139" s="1575"/>
      <c r="AH139" s="1575"/>
      <c r="AI139" s="1575"/>
      <c r="AJ139" s="1575"/>
      <c r="AK139" s="1226"/>
      <c r="AL139" s="1226"/>
      <c r="AM139" s="1226"/>
      <c r="AN139" s="1212"/>
    </row>
    <row r="140" spans="1:52" s="1575" customFormat="1" ht="12.75" customHeight="1">
      <c r="A140" s="1215" t="s">
        <v>1526</v>
      </c>
      <c r="AE140" s="2490" t="s">
        <v>1504</v>
      </c>
      <c r="AF140" s="2490"/>
      <c r="AG140" s="2490"/>
      <c r="AH140" s="2490"/>
      <c r="AI140" s="2490"/>
      <c r="AJ140" s="2490"/>
      <c r="AK140" s="2490"/>
      <c r="AL140" s="1555"/>
      <c r="AN140" s="1258"/>
      <c r="AO140" s="1213"/>
    </row>
    <row r="141" spans="1:52" s="1575" customFormat="1" ht="12.9" customHeight="1">
      <c r="A141" s="1215"/>
      <c r="AE141" s="1555"/>
      <c r="AF141" s="1555"/>
      <c r="AG141" s="1555"/>
      <c r="AH141" s="1555"/>
      <c r="AI141" s="1555"/>
      <c r="AJ141" s="1555"/>
      <c r="AK141" s="1555"/>
      <c r="AL141" s="1555"/>
      <c r="AN141" s="1258"/>
    </row>
    <row r="142" spans="1:52" s="1213" customFormat="1" ht="12.75" customHeight="1">
      <c r="A142" s="1215"/>
      <c r="B142" s="1215" t="s">
        <v>1527</v>
      </c>
      <c r="C142" s="1575"/>
      <c r="D142" s="1575"/>
      <c r="E142" s="1575"/>
      <c r="F142" s="1575"/>
      <c r="G142" s="1575"/>
      <c r="H142" s="1575"/>
      <c r="I142" s="1575"/>
      <c r="J142" s="1575"/>
      <c r="K142" s="1575"/>
      <c r="L142" s="1575"/>
      <c r="M142" s="1575"/>
      <c r="N142" s="1575"/>
      <c r="O142" s="1575"/>
      <c r="P142" s="1575"/>
      <c r="Q142" s="1575"/>
      <c r="R142" s="1575"/>
      <c r="S142" s="1575"/>
      <c r="T142" s="1575"/>
      <c r="U142" s="1575"/>
      <c r="V142" s="1575"/>
      <c r="W142" s="1575"/>
      <c r="X142" s="1575"/>
      <c r="Y142" s="1575"/>
      <c r="Z142" s="1575"/>
      <c r="AA142" s="1575"/>
      <c r="AB142" s="1575"/>
      <c r="AC142" s="1575"/>
      <c r="AD142" s="1575"/>
      <c r="AF142" s="2475" t="s">
        <v>1528</v>
      </c>
      <c r="AG142" s="2475"/>
      <c r="AH142" s="2475"/>
      <c r="AI142" s="2475"/>
      <c r="AJ142" s="2475"/>
      <c r="AK142" s="2475"/>
      <c r="AL142" s="2475"/>
      <c r="AM142" s="1575"/>
      <c r="AN142" s="1212"/>
    </row>
    <row r="143" spans="1:52" s="1213" customFormat="1" ht="12.75" customHeight="1">
      <c r="A143" s="1215"/>
      <c r="B143" s="1215" t="s">
        <v>555</v>
      </c>
      <c r="C143" s="1581"/>
      <c r="D143" s="1581"/>
      <c r="E143" s="1581"/>
      <c r="F143" s="1581"/>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75"/>
      <c r="AL143" s="1557"/>
      <c r="AM143" s="1575"/>
      <c r="AN143" s="1212"/>
    </row>
    <row r="144" spans="1:52" s="1213" customFormat="1" ht="15" customHeight="1">
      <c r="A144" s="1215"/>
      <c r="B144" s="2635" t="s">
        <v>2489</v>
      </c>
      <c r="C144" s="2635"/>
      <c r="D144" s="2635"/>
      <c r="E144" s="2635"/>
      <c r="F144" s="2635"/>
      <c r="G144" s="2635"/>
      <c r="H144" s="2635"/>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35"/>
      <c r="AD144" s="1575"/>
      <c r="AE144" s="1557"/>
      <c r="AF144" s="1557"/>
      <c r="AG144" s="1557"/>
      <c r="AH144" s="1557"/>
      <c r="AI144" s="1557"/>
      <c r="AJ144" s="1557"/>
      <c r="AK144" s="1557"/>
      <c r="AL144" s="1557"/>
      <c r="AM144" s="1575"/>
      <c r="AN144" s="1212"/>
      <c r="AP144" s="1566"/>
    </row>
    <row r="145" spans="1:42" s="1213" customFormat="1" ht="12.75" customHeight="1">
      <c r="A145" s="1215"/>
      <c r="B145" s="1215"/>
      <c r="C145" s="1575"/>
      <c r="D145" s="1575"/>
      <c r="E145" s="1575"/>
      <c r="F145" s="1575"/>
      <c r="G145" s="1575"/>
      <c r="H145" s="1575"/>
      <c r="I145" s="1575"/>
      <c r="J145" s="1575"/>
      <c r="K145" s="1575"/>
      <c r="L145" s="1575"/>
      <c r="M145" s="1575"/>
      <c r="N145" s="1575"/>
      <c r="O145" s="1575"/>
      <c r="P145" s="1575"/>
      <c r="Q145" s="1575"/>
      <c r="R145" s="1575"/>
      <c r="S145" s="1575"/>
      <c r="T145" s="1575"/>
      <c r="U145" s="1575"/>
      <c r="V145" s="1575"/>
      <c r="W145" s="1575"/>
      <c r="X145" s="1575"/>
      <c r="Y145" s="1575"/>
      <c r="Z145" s="1575"/>
      <c r="AA145" s="1575"/>
      <c r="AB145" s="1575"/>
      <c r="AC145" s="1575"/>
      <c r="AD145" s="1575"/>
      <c r="AE145" s="1557"/>
      <c r="AF145" s="1557"/>
      <c r="AG145" s="1557"/>
      <c r="AH145" s="1557"/>
      <c r="AI145" s="1557"/>
      <c r="AJ145" s="1557"/>
      <c r="AK145" s="1557"/>
      <c r="AL145" s="1557"/>
      <c r="AM145" s="1575"/>
      <c r="AN145" s="1212"/>
      <c r="AO145" s="1220" t="s">
        <v>312</v>
      </c>
      <c r="AP145" s="1221"/>
    </row>
    <row r="146" spans="1:42" s="1213" customFormat="1" ht="12.75" customHeight="1">
      <c r="A146" s="1215"/>
      <c r="B146" s="1575" t="s">
        <v>1529</v>
      </c>
      <c r="C146" s="1575"/>
      <c r="D146" s="1575"/>
      <c r="E146" s="1575"/>
      <c r="F146" s="1575"/>
      <c r="G146" s="1575"/>
      <c r="H146" s="1575"/>
      <c r="I146" s="1575"/>
      <c r="J146" s="1575"/>
      <c r="K146" s="1575"/>
      <c r="L146" s="1575"/>
      <c r="M146" s="1575"/>
      <c r="N146" s="1575"/>
      <c r="O146" s="1575"/>
      <c r="P146" s="1575"/>
      <c r="Q146" s="1575"/>
      <c r="R146" s="1575"/>
      <c r="S146" s="1575"/>
      <c r="T146" s="1575"/>
      <c r="U146" s="1575"/>
      <c r="V146" s="1575"/>
      <c r="W146" s="1575"/>
      <c r="X146" s="1575"/>
      <c r="Y146" s="1575"/>
      <c r="Z146" s="1575"/>
      <c r="AA146" s="1575"/>
      <c r="AB146" s="1575"/>
      <c r="AC146" s="1575"/>
      <c r="AD146" s="1575"/>
      <c r="AE146" s="1575"/>
      <c r="AF146" s="1575"/>
      <c r="AG146" s="1575"/>
      <c r="AH146" s="1575"/>
      <c r="AI146" s="1575"/>
      <c r="AJ146" s="1575"/>
      <c r="AK146" s="1575"/>
      <c r="AL146" s="1575"/>
      <c r="AM146" s="1575"/>
      <c r="AN146" s="1212"/>
      <c r="AO146" s="1085" t="s">
        <v>1530</v>
      </c>
      <c r="AP146" s="1259">
        <v>5</v>
      </c>
    </row>
    <row r="147" spans="1:42" s="1213" customFormat="1" ht="12.75" customHeight="1">
      <c r="A147" s="1215"/>
      <c r="B147" s="2628" t="s">
        <v>1531</v>
      </c>
      <c r="C147" s="2628"/>
      <c r="D147" s="2628"/>
      <c r="E147" s="2628"/>
      <c r="F147" s="2628"/>
      <c r="G147" s="2628"/>
      <c r="H147" s="2628"/>
      <c r="I147" s="2628"/>
      <c r="J147" s="2628"/>
      <c r="K147" s="2628"/>
      <c r="L147" s="2628"/>
      <c r="M147" s="2628"/>
      <c r="N147" s="2628"/>
      <c r="O147" s="2628"/>
      <c r="P147" s="2628"/>
      <c r="Q147" s="2628"/>
      <c r="R147" s="2628"/>
      <c r="S147" s="2628"/>
      <c r="T147" s="2628"/>
      <c r="U147" s="2628"/>
      <c r="V147" s="2628"/>
      <c r="W147" s="2628"/>
      <c r="X147" s="2628"/>
      <c r="Y147" s="2628"/>
      <c r="Z147" s="2628"/>
      <c r="AA147" s="2628"/>
      <c r="AB147" s="2628"/>
      <c r="AC147" s="2628"/>
      <c r="AD147" s="2628"/>
      <c r="AE147" s="2628"/>
      <c r="AF147" s="2628"/>
      <c r="AG147" s="2628"/>
      <c r="AH147" s="2628"/>
      <c r="AI147" s="2628"/>
      <c r="AM147" s="1575"/>
      <c r="AN147" s="1212"/>
      <c r="AO147" s="1085" t="s">
        <v>1531</v>
      </c>
      <c r="AP147" s="1259">
        <v>7</v>
      </c>
    </row>
    <row r="148" spans="1:42" s="1213" customFormat="1" ht="12.9" customHeight="1">
      <c r="A148" s="1215"/>
      <c r="B148" s="1581"/>
      <c r="C148" s="1581"/>
      <c r="D148" s="1581"/>
      <c r="E148" s="1581"/>
      <c r="F148" s="1581"/>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55"/>
      <c r="AM148" s="1575"/>
      <c r="AN148" s="1212"/>
      <c r="AO148" s="1085" t="s">
        <v>2717</v>
      </c>
      <c r="AP148" s="1259">
        <v>7</v>
      </c>
    </row>
    <row r="149" spans="1:42" s="1213" customFormat="1" ht="12.75" customHeight="1">
      <c r="A149" s="1215"/>
      <c r="B149" s="1575" t="s">
        <v>1532</v>
      </c>
      <c r="AB149" s="2481" t="s">
        <v>615</v>
      </c>
      <c r="AC149" s="2481"/>
      <c r="AD149" s="1555"/>
      <c r="AM149" s="1575"/>
      <c r="AN149" s="1212"/>
      <c r="AO149" s="1085"/>
      <c r="AP149" s="1085"/>
    </row>
    <row r="150" spans="1:42" s="1213" customFormat="1" ht="9" customHeight="1">
      <c r="A150" s="1215"/>
      <c r="B150" s="1581"/>
      <c r="C150" s="1581"/>
      <c r="D150" s="1581"/>
      <c r="E150" s="1581"/>
      <c r="F150" s="1581"/>
      <c r="G150" s="1581"/>
      <c r="H150" s="1581"/>
      <c r="I150" s="1581"/>
      <c r="J150" s="1581"/>
      <c r="K150" s="1581"/>
      <c r="L150" s="1581"/>
      <c r="M150" s="1581"/>
      <c r="N150" s="1581"/>
      <c r="O150" s="1581"/>
      <c r="P150" s="1581"/>
      <c r="Q150" s="1581"/>
      <c r="R150" s="1581"/>
      <c r="S150" s="1581"/>
      <c r="T150" s="1581"/>
      <c r="U150" s="1581"/>
      <c r="V150" s="1581"/>
      <c r="W150" s="1581"/>
      <c r="X150" s="1581"/>
      <c r="Y150" s="1581"/>
      <c r="Z150" s="1581"/>
      <c r="AA150" s="1581"/>
      <c r="AB150" s="1581"/>
      <c r="AC150" s="1581"/>
      <c r="AD150" s="1555"/>
      <c r="AM150" s="1575"/>
      <c r="AN150" s="1212"/>
      <c r="AO150" s="1220" t="s">
        <v>1533</v>
      </c>
      <c r="AP150" s="1259"/>
    </row>
    <row r="151" spans="1:42" s="1213" customFormat="1" ht="12.75" customHeight="1">
      <c r="A151" s="1215"/>
      <c r="B151" s="1215" t="s">
        <v>1534</v>
      </c>
      <c r="C151" s="1581"/>
      <c r="D151" s="1581"/>
      <c r="E151" s="1581"/>
      <c r="F151" s="1581"/>
      <c r="G151" s="1581"/>
      <c r="H151" s="1581"/>
      <c r="I151" s="1581"/>
      <c r="J151" s="1581"/>
      <c r="K151" s="1581"/>
      <c r="L151" s="1581"/>
      <c r="M151" s="1581"/>
      <c r="N151" s="1581"/>
      <c r="O151" s="1581"/>
      <c r="P151" s="1581"/>
      <c r="Q151" s="1581"/>
      <c r="R151" s="1581"/>
      <c r="S151" s="1581"/>
      <c r="T151" s="1581"/>
      <c r="U151" s="1581"/>
      <c r="V151" s="1581"/>
      <c r="W151" s="1581"/>
      <c r="X151" s="1581"/>
      <c r="Y151" s="1581"/>
      <c r="Z151" s="1581"/>
      <c r="AA151" s="1581"/>
      <c r="AB151" s="1581"/>
      <c r="AC151" s="1581"/>
      <c r="AD151" s="1555"/>
      <c r="AM151" s="1575"/>
      <c r="AN151" s="1212"/>
      <c r="AO151" s="1085" t="s">
        <v>1535</v>
      </c>
      <c r="AP151" s="1259">
        <v>5</v>
      </c>
    </row>
    <row r="152" spans="1:42" s="1213" customFormat="1" ht="12.75" customHeight="1">
      <c r="A152" s="1215"/>
      <c r="B152" s="2628" t="s">
        <v>1533</v>
      </c>
      <c r="C152" s="2628"/>
      <c r="D152" s="2628"/>
      <c r="E152" s="2628"/>
      <c r="F152" s="2628"/>
      <c r="G152" s="2628"/>
      <c r="H152" s="2628"/>
      <c r="I152" s="2628"/>
      <c r="J152" s="2628"/>
      <c r="K152" s="2628"/>
      <c r="L152" s="2628"/>
      <c r="M152" s="2628"/>
      <c r="N152" s="2628"/>
      <c r="O152" s="2628"/>
      <c r="P152" s="2628"/>
      <c r="Q152" s="2628"/>
      <c r="R152" s="2628"/>
      <c r="S152" s="2628"/>
      <c r="T152" s="2628"/>
      <c r="U152" s="2628"/>
      <c r="V152" s="2628"/>
      <c r="W152" s="2628"/>
      <c r="X152" s="2628"/>
      <c r="Y152" s="2628"/>
      <c r="Z152" s="2628"/>
      <c r="AA152" s="2628"/>
      <c r="AB152" s="2628"/>
      <c r="AC152" s="2628"/>
      <c r="AD152" s="2628"/>
      <c r="AE152" s="2628"/>
      <c r="AF152" s="2628"/>
      <c r="AG152" s="2628"/>
      <c r="AH152" s="2628"/>
      <c r="AI152" s="2628"/>
      <c r="AJ152" s="2628"/>
      <c r="AN152" s="1212"/>
      <c r="AO152" s="1085" t="s">
        <v>1536</v>
      </c>
      <c r="AP152" s="1259">
        <v>7</v>
      </c>
    </row>
    <row r="153" spans="1:42" s="1213" customFormat="1" ht="12.75" customHeight="1">
      <c r="B153" s="1575" t="s">
        <v>1537</v>
      </c>
      <c r="C153" s="1581"/>
      <c r="D153" s="1581"/>
      <c r="E153" s="1581"/>
      <c r="F153" s="1581"/>
      <c r="G153" s="1581"/>
      <c r="H153" s="1581"/>
      <c r="I153" s="1581"/>
      <c r="J153" s="1581"/>
      <c r="K153" s="1581"/>
      <c r="L153" s="1581"/>
      <c r="M153" s="1581"/>
      <c r="N153" s="1581"/>
      <c r="O153" s="1581"/>
      <c r="P153" s="1581"/>
      <c r="Q153" s="1581"/>
      <c r="R153" s="1581"/>
      <c r="S153" s="1581"/>
      <c r="T153" s="1581"/>
      <c r="U153" s="1581"/>
      <c r="AM153" s="1575"/>
      <c r="AN153" s="1212"/>
      <c r="AO153" s="1085"/>
      <c r="AP153" s="1259"/>
    </row>
    <row r="154" spans="1:42" s="1213" customFormat="1" ht="12.75" customHeight="1">
      <c r="AM154" s="1575"/>
      <c r="AN154" s="1212"/>
    </row>
    <row r="155" spans="1:42" s="1226" customFormat="1" ht="12.75" customHeight="1">
      <c r="A155" s="1260"/>
      <c r="B155" s="1261"/>
      <c r="C155" s="1261"/>
      <c r="D155" s="1261"/>
      <c r="E155" s="1261"/>
      <c r="F155" s="1261"/>
      <c r="G155" s="1261"/>
      <c r="H155" s="1261"/>
      <c r="I155" s="1261"/>
      <c r="J155" s="1261"/>
      <c r="K155" s="1261"/>
      <c r="L155" s="1261"/>
      <c r="M155" s="1261"/>
      <c r="N155" s="1261"/>
      <c r="O155" s="1261"/>
      <c r="P155" s="1261"/>
      <c r="Q155" s="1261"/>
      <c r="R155" s="1261"/>
      <c r="S155" s="1261"/>
      <c r="T155" s="1261"/>
      <c r="U155" s="1261"/>
      <c r="V155" s="1261"/>
      <c r="W155" s="1261"/>
      <c r="X155" s="1261"/>
      <c r="Y155" s="1261"/>
      <c r="Z155" s="1261"/>
      <c r="AA155" s="1261"/>
      <c r="AB155" s="1261"/>
      <c r="AC155" s="1261"/>
      <c r="AD155" s="1261"/>
      <c r="AE155" s="1261"/>
      <c r="AF155" s="1261"/>
      <c r="AG155" s="1261"/>
      <c r="AH155" s="1261"/>
      <c r="AI155" s="1233" t="s">
        <v>1539</v>
      </c>
      <c r="AJ155" s="2435">
        <f>IF($AB$149="N/A",VLOOKUP($B$147,$AO$145:$AP$148,2,FALSE),VLOOKUP($B$152,$AO$150:$AP$153,2,FALSE))</f>
        <v>7</v>
      </c>
      <c r="AK155" s="2435"/>
      <c r="AL155" s="1566"/>
      <c r="AM155" s="1213"/>
      <c r="AN155" s="1262"/>
    </row>
    <row r="156" spans="1:42" s="1226" customFormat="1" ht="12.75" customHeight="1">
      <c r="A156" s="1566"/>
      <c r="B156" s="1566"/>
      <c r="C156" s="1213"/>
      <c r="D156" s="1213"/>
      <c r="E156" s="1213"/>
      <c r="F156" s="1213"/>
      <c r="G156" s="1213"/>
      <c r="H156" s="1213"/>
      <c r="I156" s="1213"/>
      <c r="J156" s="1213"/>
      <c r="K156" s="1213"/>
      <c r="L156" s="1213"/>
      <c r="M156" s="1213"/>
      <c r="N156" s="1213"/>
      <c r="O156" s="1213"/>
      <c r="P156" s="1213"/>
      <c r="Q156" s="1213"/>
      <c r="R156" s="1213"/>
      <c r="S156" s="1213"/>
      <c r="T156" s="1213"/>
      <c r="U156" s="1213"/>
      <c r="V156" s="1213"/>
      <c r="W156" s="1213"/>
      <c r="X156" s="1213"/>
      <c r="Y156" s="1213"/>
      <c r="Z156" s="1213"/>
      <c r="AA156" s="1213"/>
      <c r="AB156" s="1213"/>
      <c r="AC156" s="1213"/>
      <c r="AD156" s="1213"/>
      <c r="AE156" s="1213"/>
      <c r="AF156" s="1213"/>
      <c r="AG156" s="1213"/>
      <c r="AH156" s="1213"/>
      <c r="AI156" s="1213"/>
      <c r="AJ156" s="1213"/>
      <c r="AK156" s="1213"/>
      <c r="AL156" s="1213"/>
      <c r="AM156" s="1213"/>
      <c r="AN156" s="1262"/>
    </row>
    <row r="157" spans="1:42" s="1226" customFormat="1" ht="12.75" customHeight="1">
      <c r="A157" s="1213"/>
      <c r="B157" s="1215" t="s">
        <v>1541</v>
      </c>
      <c r="C157" s="1575"/>
      <c r="D157" s="1213"/>
      <c r="E157" s="1263"/>
      <c r="F157" s="1263"/>
      <c r="G157" s="1263"/>
      <c r="H157" s="1263"/>
      <c r="I157" s="1263"/>
      <c r="J157" s="1263"/>
      <c r="K157" s="1263"/>
      <c r="L157" s="1263"/>
      <c r="M157" s="1263"/>
      <c r="N157" s="1263"/>
      <c r="O157" s="1263"/>
      <c r="P157" s="1263"/>
      <c r="Q157" s="1263"/>
      <c r="R157" s="1263"/>
      <c r="S157" s="1263"/>
      <c r="T157" s="1263"/>
      <c r="U157" s="1263"/>
      <c r="V157" s="1263"/>
      <c r="W157" s="1263"/>
      <c r="X157" s="1263"/>
      <c r="Y157" s="1263"/>
      <c r="Z157" s="1263"/>
      <c r="AA157" s="1263"/>
      <c r="AB157" s="1263"/>
      <c r="AC157" s="1263"/>
      <c r="AD157" s="1263"/>
      <c r="AE157" s="1213"/>
      <c r="AF157" s="2475" t="s">
        <v>1542</v>
      </c>
      <c r="AG157" s="2475"/>
      <c r="AH157" s="2475"/>
      <c r="AI157" s="2475"/>
      <c r="AJ157" s="2475"/>
      <c r="AK157" s="2475"/>
      <c r="AL157" s="2475"/>
      <c r="AM157" s="1264"/>
      <c r="AN157" s="1262"/>
    </row>
    <row r="158" spans="1:42" s="1226" customFormat="1" ht="12.75" customHeight="1">
      <c r="A158" s="1213"/>
      <c r="B158" s="1575" t="s">
        <v>1543</v>
      </c>
      <c r="C158" s="1213"/>
      <c r="D158" s="1213"/>
      <c r="E158" s="1213"/>
      <c r="F158" s="1213"/>
      <c r="G158" s="1213"/>
      <c r="H158" s="1213"/>
      <c r="I158" s="1213"/>
      <c r="J158" s="1213"/>
      <c r="K158" s="1213"/>
      <c r="L158" s="1213"/>
      <c r="M158" s="1213"/>
      <c r="N158" s="1213"/>
      <c r="O158" s="1213"/>
      <c r="P158" s="1213"/>
      <c r="Q158" s="1213"/>
      <c r="R158" s="1213"/>
      <c r="S158" s="1213"/>
      <c r="T158" s="1213"/>
      <c r="U158" s="1213"/>
      <c r="V158" s="1213"/>
      <c r="W158" s="1213"/>
      <c r="X158" s="1213"/>
      <c r="Y158" s="1213"/>
      <c r="Z158" s="1213"/>
      <c r="AA158" s="1575"/>
      <c r="AB158" s="1575"/>
      <c r="AC158" s="1575"/>
      <c r="AD158" s="1575"/>
      <c r="AE158" s="1213"/>
      <c r="AF158" s="1213"/>
      <c r="AG158" s="1213"/>
      <c r="AH158" s="1213"/>
      <c r="AI158" s="1213"/>
      <c r="AJ158" s="1213"/>
      <c r="AK158" s="1213"/>
      <c r="AL158" s="1213"/>
      <c r="AM158" s="1264"/>
      <c r="AN158" s="1262"/>
    </row>
    <row r="159" spans="1:42" s="1226" customFormat="1" ht="12.75" customHeight="1">
      <c r="A159" s="1213"/>
      <c r="B159" s="1213"/>
      <c r="C159" s="2628" t="s">
        <v>1540</v>
      </c>
      <c r="D159" s="2628"/>
      <c r="E159" s="2628"/>
      <c r="F159" s="2628"/>
      <c r="G159" s="2628"/>
      <c r="H159" s="2628"/>
      <c r="I159" s="2628"/>
      <c r="J159" s="2628"/>
      <c r="K159" s="2628"/>
      <c r="L159" s="2628"/>
      <c r="M159" s="2628"/>
      <c r="N159" s="2628"/>
      <c r="O159" s="2628"/>
      <c r="P159" s="2628"/>
      <c r="Q159" s="2628"/>
      <c r="R159" s="2628"/>
      <c r="S159" s="2628"/>
      <c r="T159" s="2628"/>
      <c r="U159" s="2628"/>
      <c r="V159" s="2628"/>
      <c r="W159" s="2628"/>
      <c r="X159" s="2628"/>
      <c r="Y159" s="2628"/>
      <c r="Z159" s="2628"/>
      <c r="AA159" s="2628"/>
      <c r="AB159" s="2628"/>
      <c r="AC159" s="2628"/>
      <c r="AD159" s="2628"/>
      <c r="AE159" s="2628"/>
      <c r="AF159" s="2628"/>
      <c r="AG159" s="2628"/>
      <c r="AH159" s="2628"/>
      <c r="AI159" s="2628"/>
      <c r="AJ159" s="1213"/>
      <c r="AK159" s="1213"/>
      <c r="AL159" s="1213"/>
      <c r="AM159" s="1264"/>
      <c r="AN159" s="1265"/>
      <c r="AO159" s="1085" t="s">
        <v>312</v>
      </c>
      <c r="AP159" s="1085"/>
    </row>
    <row r="160" spans="1:42" s="1226" customFormat="1" ht="12.9" customHeight="1">
      <c r="A160" s="1213"/>
      <c r="B160" s="1213"/>
      <c r="C160" s="1581"/>
      <c r="D160" s="1581"/>
      <c r="E160" s="1581"/>
      <c r="F160" s="1581"/>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D160" s="1581"/>
      <c r="AE160" s="1213"/>
      <c r="AF160" s="1213"/>
      <c r="AG160" s="1213"/>
      <c r="AH160" s="1213"/>
      <c r="AI160" s="1213"/>
      <c r="AJ160" s="1213"/>
      <c r="AK160" s="1213"/>
      <c r="AL160" s="1213"/>
      <c r="AM160" s="1264"/>
      <c r="AN160" s="1265"/>
      <c r="AO160" s="1085" t="s">
        <v>1538</v>
      </c>
      <c r="AP160" s="1266">
        <v>2</v>
      </c>
    </row>
    <row r="161" spans="1:73" s="1226" customFormat="1" ht="12.75" customHeight="1">
      <c r="A161" s="1213"/>
      <c r="B161" s="1213"/>
      <c r="C161" s="1575" t="s">
        <v>1545</v>
      </c>
      <c r="D161" s="1213"/>
      <c r="E161" s="1213"/>
      <c r="F161" s="1213"/>
      <c r="G161" s="1213"/>
      <c r="H161" s="1213"/>
      <c r="I161" s="1213"/>
      <c r="J161" s="1213"/>
      <c r="K161" s="1213"/>
      <c r="L161" s="1213"/>
      <c r="M161" s="1213"/>
      <c r="N161" s="1213"/>
      <c r="O161" s="1213"/>
      <c r="P161" s="1213"/>
      <c r="Q161" s="1213"/>
      <c r="R161" s="1213"/>
      <c r="S161" s="1213"/>
      <c r="T161" s="1213"/>
      <c r="U161" s="1213"/>
      <c r="V161" s="1213"/>
      <c r="W161" s="1213"/>
      <c r="X161" s="1213"/>
      <c r="Y161" s="1213"/>
      <c r="Z161" s="1213"/>
      <c r="AA161" s="1213"/>
      <c r="AB161" s="1213"/>
      <c r="AC161" s="2481" t="s">
        <v>615</v>
      </c>
      <c r="AD161" s="2481"/>
      <c r="AE161" s="1213"/>
      <c r="AF161" s="1213"/>
      <c r="AG161" s="1213"/>
      <c r="AH161" s="1213"/>
      <c r="AI161" s="1213"/>
      <c r="AJ161" s="1213"/>
      <c r="AK161" s="1213"/>
      <c r="AL161" s="1213"/>
      <c r="AM161" s="1264"/>
      <c r="AN161" s="1265"/>
      <c r="AO161" s="1085" t="s">
        <v>1540</v>
      </c>
      <c r="AP161" s="1266">
        <v>3</v>
      </c>
    </row>
    <row r="162" spans="1:73" s="1226" customFormat="1" ht="9" customHeight="1">
      <c r="A162" s="1213"/>
      <c r="B162" s="1213"/>
      <c r="C162" s="1581"/>
      <c r="D162" s="1581"/>
      <c r="E162" s="1581"/>
      <c r="F162" s="1581"/>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D162" s="1581"/>
      <c r="AE162" s="1213"/>
      <c r="AF162" s="1213"/>
      <c r="AG162" s="1213"/>
      <c r="AH162" s="1213"/>
      <c r="AI162" s="1213"/>
      <c r="AJ162" s="1213"/>
      <c r="AK162" s="1213"/>
      <c r="AL162" s="1213"/>
      <c r="AM162" s="1264"/>
      <c r="AN162" s="1265"/>
      <c r="AO162" s="1267" t="s">
        <v>1838</v>
      </c>
      <c r="AP162" s="1266">
        <v>3</v>
      </c>
    </row>
    <row r="163" spans="1:73" s="1226" customFormat="1" ht="12.75" customHeight="1">
      <c r="A163" s="1213"/>
      <c r="B163" s="1213"/>
      <c r="C163" s="2628" t="s">
        <v>1533</v>
      </c>
      <c r="D163" s="2628"/>
      <c r="E163" s="2628"/>
      <c r="F163" s="2628"/>
      <c r="G163" s="2628"/>
      <c r="H163" s="2628"/>
      <c r="I163" s="2628"/>
      <c r="J163" s="2628"/>
      <c r="K163" s="2628"/>
      <c r="L163" s="2628"/>
      <c r="M163" s="2628"/>
      <c r="N163" s="2628"/>
      <c r="O163" s="2628"/>
      <c r="P163" s="2628"/>
      <c r="Q163" s="2628"/>
      <c r="R163" s="2628"/>
      <c r="S163" s="2628"/>
      <c r="T163" s="2628"/>
      <c r="U163" s="2628"/>
      <c r="V163" s="2628"/>
      <c r="W163" s="2628"/>
      <c r="X163" s="2628"/>
      <c r="Y163" s="2628"/>
      <c r="Z163" s="2628"/>
      <c r="AA163" s="2628"/>
      <c r="AB163" s="2628"/>
      <c r="AC163" s="2628"/>
      <c r="AD163" s="2628"/>
      <c r="AE163" s="1213"/>
      <c r="AF163" s="1213"/>
      <c r="AG163" s="1213"/>
      <c r="AH163" s="1213"/>
      <c r="AI163" s="1213"/>
      <c r="AJ163" s="1213"/>
      <c r="AK163" s="1213"/>
      <c r="AL163" s="1213"/>
      <c r="AM163" s="1264"/>
      <c r="AN163" s="1265"/>
      <c r="AO163" s="1267"/>
      <c r="AP163" s="1266"/>
    </row>
    <row r="164" spans="1:73" s="1226" customFormat="1" ht="12.75" customHeight="1">
      <c r="A164" s="1213"/>
      <c r="B164" s="1213"/>
      <c r="C164" s="1575" t="s">
        <v>1537</v>
      </c>
      <c r="D164" s="1575"/>
      <c r="E164" s="1575"/>
      <c r="F164" s="1575"/>
      <c r="G164" s="1575"/>
      <c r="H164" s="1575"/>
      <c r="I164" s="1575"/>
      <c r="J164" s="1575"/>
      <c r="K164" s="1575"/>
      <c r="L164" s="1575"/>
      <c r="M164" s="1575"/>
      <c r="N164" s="1575"/>
      <c r="O164" s="1575"/>
      <c r="P164" s="1575"/>
      <c r="Q164" s="1575"/>
      <c r="R164" s="1575"/>
      <c r="S164" s="1575"/>
      <c r="T164" s="1575"/>
      <c r="U164" s="1575"/>
      <c r="V164" s="1575"/>
      <c r="W164" s="1575"/>
      <c r="X164" s="1575"/>
      <c r="Y164" s="1575"/>
      <c r="Z164" s="1575"/>
      <c r="AA164" s="1575"/>
      <c r="AB164" s="1575"/>
      <c r="AC164" s="1575"/>
      <c r="AD164" s="1575"/>
      <c r="AE164" s="1575"/>
      <c r="AF164" s="1575"/>
      <c r="AG164" s="1575"/>
      <c r="AH164" s="1575"/>
      <c r="AI164" s="1575"/>
      <c r="AJ164" s="1575"/>
      <c r="AK164" s="1575"/>
      <c r="AL164" s="1213"/>
      <c r="AM164" s="1264"/>
      <c r="AN164" s="1265"/>
      <c r="AO164" s="1268"/>
      <c r="AP164" s="1268"/>
    </row>
    <row r="165" spans="1:73" s="1226" customFormat="1" ht="12.75" customHeight="1">
      <c r="A165" s="1213"/>
      <c r="B165" s="1213"/>
      <c r="C165" s="1213"/>
      <c r="D165" s="1213"/>
      <c r="E165" s="1213"/>
      <c r="F165" s="1213"/>
      <c r="G165" s="1213"/>
      <c r="H165" s="1213"/>
      <c r="I165" s="1213"/>
      <c r="J165" s="1213"/>
      <c r="K165" s="1213"/>
      <c r="L165" s="1213"/>
      <c r="M165" s="1213"/>
      <c r="N165" s="1213"/>
      <c r="O165" s="1213"/>
      <c r="P165" s="1213"/>
      <c r="Q165" s="1213"/>
      <c r="R165" s="1213"/>
      <c r="S165" s="1213"/>
      <c r="T165" s="1213"/>
      <c r="U165" s="1213"/>
      <c r="V165" s="1213"/>
      <c r="W165" s="1213"/>
      <c r="X165" s="1213"/>
      <c r="Y165" s="1213"/>
      <c r="Z165" s="1213"/>
      <c r="AA165" s="1213"/>
      <c r="AB165" s="1213"/>
      <c r="AC165" s="1213"/>
      <c r="AD165" s="1213"/>
      <c r="AE165" s="1213"/>
      <c r="AF165" s="1213"/>
      <c r="AG165" s="1213"/>
      <c r="AH165" s="1213"/>
      <c r="AI165" s="1213"/>
      <c r="AJ165" s="1213"/>
      <c r="AK165" s="1213"/>
      <c r="AL165" s="1213"/>
      <c r="AM165" s="1264"/>
      <c r="AN165" s="1265"/>
    </row>
    <row r="166" spans="1:73" s="1226" customFormat="1" ht="12.75" customHeight="1">
      <c r="A166" s="1213"/>
      <c r="B166" s="1213"/>
      <c r="C166" s="1215" t="s">
        <v>1547</v>
      </c>
      <c r="D166" s="1581"/>
      <c r="E166" s="1581"/>
      <c r="F166" s="1581"/>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D166" s="1581"/>
      <c r="AE166" s="1213"/>
      <c r="AF166" s="1213"/>
      <c r="AG166" s="1213"/>
      <c r="AH166" s="1213"/>
      <c r="AI166" s="1213"/>
      <c r="AJ166" s="1213"/>
      <c r="AK166" s="1213"/>
      <c r="AL166" s="1213"/>
      <c r="AM166" s="1264"/>
      <c r="AN166" s="1265"/>
      <c r="AO166" s="1085" t="s">
        <v>1533</v>
      </c>
      <c r="AP166" s="1085"/>
    </row>
    <row r="167" spans="1:73" s="1226" customFormat="1" ht="12.75" customHeight="1">
      <c r="A167" s="1213"/>
      <c r="B167" s="1213"/>
      <c r="C167" s="2627" t="s">
        <v>2533</v>
      </c>
      <c r="D167" s="2627"/>
      <c r="E167" s="2627"/>
      <c r="F167" s="2627"/>
      <c r="G167" s="2627"/>
      <c r="H167" s="2627"/>
      <c r="I167" s="2627"/>
      <c r="J167" s="2627"/>
      <c r="K167" s="2627"/>
      <c r="L167" s="2627"/>
      <c r="M167" s="2627"/>
      <c r="N167" s="2627"/>
      <c r="O167" s="2627"/>
      <c r="P167" s="2627"/>
      <c r="Q167" s="2627"/>
      <c r="R167" s="2627"/>
      <c r="S167" s="2627"/>
      <c r="T167" s="2627"/>
      <c r="U167" s="2627"/>
      <c r="V167" s="2627"/>
      <c r="W167" s="2627"/>
      <c r="X167" s="2627"/>
      <c r="Y167" s="2627"/>
      <c r="Z167" s="2627"/>
      <c r="AA167" s="2627"/>
      <c r="AB167" s="2627"/>
      <c r="AC167" s="2627"/>
      <c r="AD167" s="2627"/>
      <c r="AE167" s="1213"/>
      <c r="AF167" s="1213"/>
      <c r="AG167" s="1213"/>
      <c r="AH167" s="1213"/>
      <c r="AI167" s="1213"/>
      <c r="AJ167" s="1213"/>
      <c r="AK167" s="1213"/>
      <c r="AL167" s="1213"/>
      <c r="AM167" s="1264"/>
      <c r="AN167" s="1265"/>
      <c r="AO167" s="1085" t="s">
        <v>1544</v>
      </c>
      <c r="AP167" s="1266">
        <v>2</v>
      </c>
    </row>
    <row r="168" spans="1:73" s="1226" customFormat="1" ht="12.75" customHeight="1">
      <c r="A168" s="1213"/>
      <c r="B168" s="1213"/>
      <c r="C168" s="1581"/>
      <c r="D168" s="1581"/>
      <c r="E168" s="1581"/>
      <c r="F168" s="1581"/>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D168" s="1581"/>
      <c r="AE168" s="1213"/>
      <c r="AF168" s="1213"/>
      <c r="AG168" s="1213"/>
      <c r="AH168" s="1213"/>
      <c r="AI168" s="1213"/>
      <c r="AJ168" s="1213"/>
      <c r="AK168" s="1213"/>
      <c r="AL168" s="1213"/>
      <c r="AM168" s="1264"/>
      <c r="AN168" s="1265"/>
      <c r="AO168" s="1085" t="s">
        <v>1546</v>
      </c>
      <c r="AP168" s="1266">
        <v>3</v>
      </c>
    </row>
    <row r="169" spans="1:73" s="1226" customFormat="1" ht="12.75" customHeight="1">
      <c r="A169" s="1269"/>
      <c r="B169" s="1232"/>
      <c r="C169" s="1232"/>
      <c r="D169" s="1231"/>
      <c r="E169" s="1232"/>
      <c r="F169" s="1232"/>
      <c r="G169" s="1232"/>
      <c r="H169" s="1232"/>
      <c r="I169" s="1232"/>
      <c r="J169" s="1232"/>
      <c r="K169" s="1232"/>
      <c r="L169" s="1232"/>
      <c r="M169" s="1232"/>
      <c r="N169" s="1232"/>
      <c r="O169" s="1232"/>
      <c r="P169" s="1232"/>
      <c r="Q169" s="1261"/>
      <c r="R169" s="1270"/>
      <c r="S169" s="1232"/>
      <c r="T169" s="1232"/>
      <c r="U169" s="1232"/>
      <c r="V169" s="1232"/>
      <c r="W169" s="1232"/>
      <c r="X169" s="1232"/>
      <c r="Y169" s="1232"/>
      <c r="Z169" s="1232"/>
      <c r="AA169" s="1232"/>
      <c r="AB169" s="1232"/>
      <c r="AC169" s="1232"/>
      <c r="AD169" s="1232"/>
      <c r="AE169" s="1232"/>
      <c r="AF169" s="1232"/>
      <c r="AG169" s="1232"/>
      <c r="AH169" s="1232"/>
      <c r="AI169" s="1233" t="s">
        <v>1548</v>
      </c>
      <c r="AJ169" s="2453">
        <f>IF($AC$161="N/A",VLOOKUP($C$159,$AO$159:$AP$162,2,FALSE),VLOOKUP($C$163,$AO$166:$AP$168,2,FALSE))</f>
        <v>3</v>
      </c>
      <c r="AK169" s="2453"/>
      <c r="AL169" s="1271"/>
      <c r="AM169" s="1272"/>
      <c r="AN169" s="1265"/>
      <c r="AO169" s="1267"/>
      <c r="AP169" s="1266"/>
    </row>
    <row r="170" spans="1:73" s="1226" customFormat="1" ht="12.75" customHeight="1">
      <c r="A170" s="1213"/>
      <c r="B170" s="1273"/>
      <c r="R170" s="1213"/>
      <c r="S170" s="1273"/>
      <c r="AN170" s="1265"/>
    </row>
    <row r="171" spans="1:73" s="1226" customFormat="1" ht="12.75" customHeight="1">
      <c r="A171" s="1274"/>
      <c r="B171" s="1264"/>
      <c r="C171" s="1264"/>
      <c r="D171" s="1264"/>
      <c r="E171" s="1264"/>
      <c r="F171" s="1264"/>
      <c r="G171" s="1264"/>
      <c r="H171" s="1264"/>
      <c r="I171" s="1264"/>
      <c r="J171" s="1264"/>
      <c r="K171" s="1264"/>
      <c r="L171" s="1264"/>
      <c r="M171" s="1264"/>
      <c r="N171" s="1264"/>
      <c r="O171" s="1264"/>
      <c r="P171" s="1264"/>
      <c r="Q171" s="1264"/>
      <c r="R171" s="1264"/>
      <c r="S171" s="1264"/>
      <c r="T171" s="1264"/>
      <c r="U171" s="1264"/>
      <c r="V171" s="1264"/>
      <c r="W171" s="1264"/>
      <c r="X171" s="1264"/>
      <c r="Y171" s="1264"/>
      <c r="Z171" s="1264"/>
      <c r="AA171" s="1264"/>
      <c r="AB171" s="1264"/>
      <c r="AC171" s="1264"/>
      <c r="AD171" s="1264"/>
      <c r="AE171" s="1264"/>
      <c r="AF171" s="1264"/>
      <c r="AG171" s="1264"/>
      <c r="AH171" s="1264"/>
      <c r="AI171" s="1264"/>
      <c r="AJ171" s="1264"/>
      <c r="AK171" s="1264"/>
      <c r="AL171" s="1264"/>
      <c r="AM171" s="1264"/>
      <c r="AN171" s="1265"/>
    </row>
    <row r="172" spans="1:73" s="1226" customFormat="1" ht="12.75" customHeight="1">
      <c r="A172" s="1229"/>
      <c r="B172" s="1230"/>
      <c r="C172" s="1230"/>
      <c r="D172" s="1230"/>
      <c r="E172" s="1230"/>
      <c r="F172" s="1230"/>
      <c r="G172" s="1231"/>
      <c r="H172" s="1232"/>
      <c r="I172" s="1232"/>
      <c r="J172" s="1232"/>
      <c r="K172" s="1232"/>
      <c r="L172" s="1232"/>
      <c r="M172" s="1232"/>
      <c r="N172" s="1232"/>
      <c r="O172" s="1232"/>
      <c r="P172" s="1232"/>
      <c r="Q172" s="1232"/>
      <c r="R172" s="1232"/>
      <c r="S172" s="1232"/>
      <c r="T172" s="1232"/>
      <c r="U172" s="1232"/>
      <c r="V172" s="1232"/>
      <c r="W172" s="1232"/>
      <c r="X172" s="1232"/>
      <c r="Y172" s="1232"/>
      <c r="Z172" s="1232"/>
      <c r="AA172" s="1232"/>
      <c r="AB172" s="1232"/>
      <c r="AC172" s="1232"/>
      <c r="AD172" s="1232"/>
      <c r="AE172" s="1232"/>
      <c r="AF172" s="1232"/>
      <c r="AG172" s="1232"/>
      <c r="AH172" s="1232"/>
      <c r="AI172" s="1233"/>
      <c r="AJ172" s="1233" t="s">
        <v>1549</v>
      </c>
      <c r="AK172" s="2629">
        <f>$AJ$155+$AJ$169</f>
        <v>10</v>
      </c>
      <c r="AL172" s="2630"/>
      <c r="AM172" s="2631"/>
      <c r="AN172" s="1265"/>
    </row>
    <row r="173" spans="1:73" s="1226" customFormat="1" ht="12.75" customHeight="1" thickBot="1">
      <c r="A173" s="1234"/>
      <c r="B173" s="1235"/>
      <c r="C173" s="1236"/>
      <c r="D173" s="1236"/>
      <c r="E173" s="1236"/>
      <c r="F173" s="1236"/>
      <c r="G173" s="1236"/>
      <c r="H173" s="1236"/>
      <c r="I173" s="1236"/>
      <c r="J173" s="1236"/>
      <c r="K173" s="1236"/>
      <c r="L173" s="1236"/>
      <c r="M173" s="1236"/>
      <c r="N173" s="1236"/>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7"/>
      <c r="AN173" s="1265"/>
      <c r="AO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row>
    <row r="174" spans="1:73" s="1226" customFormat="1" ht="12.75" customHeight="1" thickTop="1">
      <c r="A174" s="1213"/>
      <c r="B174" s="914"/>
      <c r="C174" s="915"/>
      <c r="D174" s="915"/>
      <c r="E174" s="915"/>
      <c r="F174" s="915"/>
      <c r="G174" s="915"/>
      <c r="H174" s="915"/>
      <c r="I174" s="1567"/>
      <c r="J174" s="1567"/>
      <c r="K174" s="1567"/>
      <c r="L174" s="1567"/>
      <c r="M174" s="1567"/>
      <c r="N174" s="1567"/>
      <c r="O174" s="1567"/>
      <c r="P174" s="1567"/>
      <c r="Q174" s="1567"/>
      <c r="R174" s="1213"/>
      <c r="S174" s="1575"/>
      <c r="T174" s="1575"/>
      <c r="U174" s="1575"/>
      <c r="V174" s="1575"/>
      <c r="W174" s="1575"/>
      <c r="X174" s="1575"/>
      <c r="Y174" s="1575"/>
      <c r="Z174" s="1575"/>
      <c r="AA174" s="1575"/>
      <c r="AB174" s="1575"/>
      <c r="AC174" s="1575"/>
      <c r="AD174" s="1575"/>
      <c r="AE174" s="1575"/>
      <c r="AF174" s="1213"/>
      <c r="AG174" s="1575"/>
      <c r="AH174" s="1575"/>
      <c r="AI174" s="1575"/>
      <c r="AJ174" s="1575"/>
      <c r="AN174" s="1265"/>
      <c r="AP174" s="1275" t="s">
        <v>1550</v>
      </c>
      <c r="AQ174" s="1275">
        <v>0</v>
      </c>
    </row>
    <row r="175" spans="1:73" s="1226" customFormat="1" ht="12.75" customHeight="1">
      <c r="A175" s="1215" t="s">
        <v>1551</v>
      </c>
      <c r="B175" s="1215" t="s">
        <v>2036</v>
      </c>
      <c r="C175" s="1276"/>
      <c r="D175" s="1277"/>
      <c r="E175" s="1277"/>
      <c r="F175" s="1277"/>
      <c r="G175" s="1277"/>
      <c r="H175" s="1277"/>
      <c r="I175" s="1277"/>
      <c r="J175" s="1277"/>
      <c r="K175" s="1213"/>
      <c r="L175" s="1213"/>
      <c r="M175" s="1213"/>
      <c r="N175" s="1213"/>
      <c r="O175" s="1213"/>
      <c r="P175" s="1213"/>
      <c r="Q175" s="1213"/>
      <c r="R175" s="1213"/>
      <c r="S175" s="1213"/>
      <c r="T175" s="1213"/>
      <c r="U175" s="1213"/>
      <c r="V175" s="1213"/>
      <c r="W175" s="1213"/>
      <c r="X175" s="1213"/>
      <c r="Y175" s="1558"/>
      <c r="Z175" s="1558"/>
      <c r="AA175" s="1558"/>
      <c r="AB175" s="1558"/>
      <c r="AC175" s="1213"/>
      <c r="AD175" s="1213"/>
      <c r="AE175" s="2490" t="s">
        <v>1504</v>
      </c>
      <c r="AF175" s="2490"/>
      <c r="AG175" s="2490"/>
      <c r="AH175" s="2490"/>
      <c r="AI175" s="2490"/>
      <c r="AJ175" s="2490"/>
      <c r="AK175" s="2490"/>
      <c r="AL175" s="1555"/>
      <c r="AN175" s="1265"/>
      <c r="AP175" s="1226" t="s">
        <v>1119</v>
      </c>
      <c r="AQ175" s="1226">
        <v>10</v>
      </c>
    </row>
    <row r="176" spans="1:73" s="1226" customFormat="1" ht="12.75" customHeight="1">
      <c r="A176" s="1215"/>
      <c r="B176" s="1278"/>
      <c r="C176" s="1279"/>
      <c r="D176" s="1277"/>
      <c r="E176" s="1277"/>
      <c r="F176" s="1277"/>
      <c r="G176" s="1277"/>
      <c r="H176" s="1213"/>
      <c r="I176" s="1213"/>
      <c r="J176" s="1213"/>
      <c r="K176" s="1213"/>
      <c r="L176" s="1213"/>
      <c r="M176" s="1213"/>
      <c r="N176" s="1213"/>
      <c r="O176" s="1213"/>
      <c r="P176" s="1213"/>
      <c r="Q176" s="1213"/>
      <c r="R176" s="1558"/>
      <c r="S176" s="1558"/>
      <c r="T176" s="1558"/>
      <c r="U176" s="1558"/>
      <c r="V176" s="1558"/>
      <c r="W176" s="1558"/>
      <c r="X176" s="1558"/>
      <c r="Y176" s="1558"/>
      <c r="Z176" s="1558"/>
      <c r="AA176" s="1558"/>
      <c r="AB176" s="1558"/>
      <c r="AC176" s="1555"/>
      <c r="AD176" s="1555"/>
      <c r="AE176" s="1213"/>
      <c r="AF176" s="1213"/>
      <c r="AG176" s="1213"/>
      <c r="AH176" s="1213"/>
      <c r="AI176" s="1213"/>
      <c r="AJ176" s="1213"/>
      <c r="AK176" s="1213"/>
      <c r="AL176" s="1213"/>
      <c r="AN176" s="1265"/>
      <c r="AP176" s="1226" t="s">
        <v>1552</v>
      </c>
      <c r="AQ176" s="1226">
        <v>10</v>
      </c>
    </row>
    <row r="177" spans="1:45" s="1226" customFormat="1" ht="12.75" customHeight="1">
      <c r="A177" s="1213"/>
      <c r="B177" s="2625" t="s">
        <v>1559</v>
      </c>
      <c r="C177" s="2625"/>
      <c r="D177" s="2625"/>
      <c r="E177" s="2625"/>
      <c r="F177" s="2625"/>
      <c r="G177" s="2625"/>
      <c r="H177" s="2625"/>
      <c r="I177" s="2625"/>
      <c r="J177" s="2625"/>
      <c r="K177" s="2625"/>
      <c r="L177" s="2625"/>
      <c r="M177" s="2625"/>
      <c r="N177" s="2625"/>
      <c r="O177" s="2625"/>
      <c r="P177" s="2625"/>
      <c r="Q177" s="2625"/>
      <c r="R177" s="2625"/>
      <c r="S177" s="2625"/>
      <c r="T177" s="2625"/>
      <c r="U177" s="2625"/>
      <c r="V177" s="2625"/>
      <c r="W177" s="2625"/>
      <c r="X177" s="2625"/>
      <c r="Y177" s="2625"/>
      <c r="Z177" s="2625"/>
      <c r="AA177" s="2625"/>
      <c r="AB177" s="2625"/>
      <c r="AC177" s="2625"/>
      <c r="AD177" s="1213"/>
      <c r="AE177" s="1213"/>
      <c r="AF177" s="2475" t="s">
        <v>1553</v>
      </c>
      <c r="AG177" s="2475"/>
      <c r="AH177" s="2475"/>
      <c r="AI177" s="2475"/>
      <c r="AJ177" s="2475"/>
      <c r="AK177" s="2475"/>
      <c r="AL177" s="2475"/>
      <c r="AN177" s="1265"/>
      <c r="AP177" s="1226" t="s">
        <v>1121</v>
      </c>
      <c r="AQ177" s="1226">
        <v>10</v>
      </c>
    </row>
    <row r="178" spans="1:45" s="1226" customFormat="1" ht="12.75" customHeight="1">
      <c r="A178" s="1213"/>
      <c r="B178" s="2626" t="s">
        <v>2035</v>
      </c>
      <c r="C178" s="2626"/>
      <c r="D178" s="2626"/>
      <c r="E178" s="2626"/>
      <c r="F178" s="2626"/>
      <c r="G178" s="2626"/>
      <c r="H178" s="2626"/>
      <c r="I178" s="2626"/>
      <c r="J178" s="2626"/>
      <c r="K178" s="2626"/>
      <c r="L178" s="2626"/>
      <c r="M178" s="2626"/>
      <c r="N178" s="2626"/>
      <c r="O178" s="2626"/>
      <c r="P178" s="2626"/>
      <c r="Q178" s="2626"/>
      <c r="R178" s="2626"/>
      <c r="S178" s="2626"/>
      <c r="T178" s="2627" t="s">
        <v>615</v>
      </c>
      <c r="U178" s="2627"/>
      <c r="V178" s="2627"/>
      <c r="W178" s="2627"/>
      <c r="X178" s="2627"/>
      <c r="Y178" s="2627"/>
      <c r="Z178" s="2627"/>
      <c r="AA178" s="2627"/>
      <c r="AB178" s="2627"/>
      <c r="AC178" s="2627"/>
      <c r="AD178" s="1213"/>
      <c r="AE178" s="1213"/>
      <c r="AF178" s="1213"/>
      <c r="AG178" s="1213"/>
      <c r="AH178" s="1213"/>
      <c r="AI178" s="1213"/>
      <c r="AJ178" s="1563"/>
      <c r="AK178" s="1566"/>
      <c r="AL178" s="1566"/>
      <c r="AM178" s="1566"/>
      <c r="AN178" s="1265"/>
      <c r="AP178" s="1226" t="s">
        <v>1120</v>
      </c>
      <c r="AQ178" s="1226">
        <v>10</v>
      </c>
      <c r="AS178" s="1226" t="s">
        <v>615</v>
      </c>
    </row>
    <row r="179" spans="1:45" s="1226" customFormat="1" ht="12.75" customHeight="1">
      <c r="A179" s="1213"/>
      <c r="B179" s="1581"/>
      <c r="C179" s="1581"/>
      <c r="D179" s="1581"/>
      <c r="E179" s="1581"/>
      <c r="F179" s="1581"/>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D179" s="1581"/>
      <c r="AE179" s="1213"/>
      <c r="AF179" s="1213"/>
      <c r="AG179" s="1213"/>
      <c r="AH179" s="1213"/>
      <c r="AI179" s="1213"/>
      <c r="AJ179" s="1563"/>
      <c r="AK179" s="1566"/>
      <c r="AL179" s="1566"/>
      <c r="AM179" s="1280"/>
      <c r="AP179" s="1226" t="s">
        <v>1554</v>
      </c>
      <c r="AQ179" s="1226">
        <v>10</v>
      </c>
      <c r="AS179" s="1226" t="s">
        <v>1555</v>
      </c>
    </row>
    <row r="180" spans="1:45" s="1226" customFormat="1" ht="12.75" customHeight="1">
      <c r="A180" s="1269"/>
      <c r="B180" s="1232"/>
      <c r="C180" s="1232"/>
      <c r="D180" s="1232"/>
      <c r="E180" s="1232"/>
      <c r="F180" s="1232"/>
      <c r="G180" s="1232"/>
      <c r="H180" s="1232"/>
      <c r="I180" s="1232"/>
      <c r="J180" s="1232"/>
      <c r="K180" s="1232"/>
      <c r="L180" s="1232"/>
      <c r="M180" s="1232"/>
      <c r="N180" s="1232"/>
      <c r="O180" s="1232"/>
      <c r="P180" s="1232"/>
      <c r="Q180" s="1232"/>
      <c r="R180" s="1232"/>
      <c r="S180" s="1232"/>
      <c r="T180" s="1232"/>
      <c r="U180" s="1232"/>
      <c r="V180" s="1232"/>
      <c r="W180" s="1232"/>
      <c r="X180" s="1232"/>
      <c r="Y180" s="1232"/>
      <c r="Z180" s="1232"/>
      <c r="AA180" s="1232"/>
      <c r="AB180" s="1232"/>
      <c r="AC180" s="1232"/>
      <c r="AD180" s="1232"/>
      <c r="AE180" s="1232"/>
      <c r="AF180" s="1232"/>
      <c r="AG180" s="1232"/>
      <c r="AH180" s="1232"/>
      <c r="AI180" s="1233"/>
      <c r="AJ180" s="1233" t="s">
        <v>1556</v>
      </c>
      <c r="AK180" s="2454">
        <f>IF(AK78&gt;0,VLOOKUP($B$177,AP174:AQ181,2,FALSE),0)</f>
        <v>10</v>
      </c>
      <c r="AL180" s="2455"/>
      <c r="AM180" s="2456"/>
      <c r="AN180" s="1212"/>
      <c r="AP180" s="1226" t="s">
        <v>1557</v>
      </c>
      <c r="AQ180" s="1226">
        <v>10</v>
      </c>
      <c r="AS180" s="1226" t="s">
        <v>1558</v>
      </c>
    </row>
    <row r="181" spans="1:45" s="1226" customFormat="1" ht="12.75" customHeight="1" thickBot="1">
      <c r="A181" s="1281"/>
      <c r="B181" s="1281"/>
      <c r="C181" s="1282"/>
      <c r="D181" s="1283"/>
      <c r="E181" s="1283"/>
      <c r="F181" s="1283"/>
      <c r="G181" s="1283"/>
      <c r="H181" s="1283"/>
      <c r="I181" s="1283"/>
      <c r="J181" s="1283"/>
      <c r="K181" s="1283"/>
      <c r="L181" s="1283"/>
      <c r="M181" s="1283"/>
      <c r="N181" s="1283"/>
      <c r="O181" s="1283"/>
      <c r="P181" s="1283"/>
      <c r="Q181" s="1283"/>
      <c r="R181" s="1283"/>
      <c r="S181" s="1283"/>
      <c r="T181" s="1283"/>
      <c r="U181" s="1283"/>
      <c r="V181" s="1283"/>
      <c r="W181" s="1283"/>
      <c r="X181" s="1283"/>
      <c r="Y181" s="1283"/>
      <c r="Z181" s="1283"/>
      <c r="AA181" s="1283"/>
      <c r="AB181" s="1283"/>
      <c r="AC181" s="1283"/>
      <c r="AD181" s="1283"/>
      <c r="AE181" s="1283"/>
      <c r="AF181" s="1283"/>
      <c r="AG181" s="1283"/>
      <c r="AH181" s="1283"/>
      <c r="AI181" s="1283"/>
      <c r="AJ181" s="1283"/>
      <c r="AK181" s="1283"/>
      <c r="AL181" s="1283"/>
      <c r="AM181" s="1283"/>
      <c r="AN181" s="1265"/>
      <c r="AP181" s="1226" t="s">
        <v>1559</v>
      </c>
      <c r="AQ181" s="1226">
        <v>10</v>
      </c>
    </row>
    <row r="182" spans="1:45" s="1226" customFormat="1" ht="12.75" customHeight="1" thickTop="1">
      <c r="A182" s="1213"/>
      <c r="B182" s="914"/>
      <c r="C182" s="915"/>
      <c r="D182" s="915"/>
      <c r="E182" s="915"/>
      <c r="F182" s="915"/>
      <c r="G182" s="915"/>
      <c r="H182" s="915"/>
      <c r="I182" s="1567"/>
      <c r="J182" s="1567"/>
      <c r="K182" s="1567"/>
      <c r="L182" s="1567"/>
      <c r="M182" s="1567"/>
      <c r="N182" s="1567"/>
      <c r="O182" s="1567"/>
      <c r="P182" s="1567"/>
      <c r="Q182" s="1567"/>
      <c r="R182" s="1213"/>
      <c r="S182" s="1575"/>
      <c r="T182" s="1575"/>
      <c r="U182" s="1575"/>
      <c r="V182" s="1575"/>
      <c r="W182" s="1575"/>
      <c r="X182" s="1575"/>
      <c r="Y182" s="1575"/>
      <c r="Z182" s="1575"/>
      <c r="AA182" s="1575"/>
      <c r="AB182" s="1575"/>
      <c r="AC182" s="1575"/>
      <c r="AD182" s="1575"/>
      <c r="AE182" s="1575"/>
      <c r="AF182" s="1213"/>
      <c r="AG182" s="1575"/>
      <c r="AH182" s="1575"/>
      <c r="AI182" s="1575"/>
      <c r="AJ182" s="1575"/>
      <c r="AN182" s="1265"/>
    </row>
    <row r="183" spans="1:45">
      <c r="A183" s="1215" t="s">
        <v>1560</v>
      </c>
      <c r="B183" s="1215" t="s">
        <v>1561</v>
      </c>
      <c r="C183" s="1276"/>
      <c r="D183" s="1277"/>
      <c r="E183" s="1277"/>
      <c r="F183" s="1277"/>
      <c r="G183" s="1277"/>
      <c r="H183" s="1277"/>
      <c r="I183" s="1277"/>
      <c r="J183" s="1277"/>
      <c r="K183" s="1226"/>
      <c r="L183" s="1226"/>
      <c r="M183" s="1226"/>
      <c r="N183" s="1226"/>
      <c r="O183" s="1226"/>
      <c r="P183" s="1226"/>
      <c r="Q183" s="1226"/>
      <c r="R183" s="1226"/>
      <c r="S183" s="1226"/>
      <c r="T183" s="1226"/>
      <c r="U183" s="1226"/>
      <c r="V183" s="1226"/>
      <c r="W183" s="1226"/>
      <c r="X183" s="1226"/>
      <c r="Y183" s="1558"/>
      <c r="Z183" s="1558"/>
      <c r="AA183" s="1558"/>
      <c r="AB183" s="1558"/>
      <c r="AC183" s="1226"/>
      <c r="AD183" s="1226"/>
      <c r="AE183" s="2490" t="s">
        <v>1562</v>
      </c>
      <c r="AF183" s="2490"/>
      <c r="AG183" s="2490"/>
      <c r="AH183" s="2490"/>
      <c r="AI183" s="2490"/>
      <c r="AJ183" s="2490"/>
      <c r="AK183" s="2490"/>
    </row>
    <row r="184" spans="1:45">
      <c r="A184" s="1215"/>
      <c r="B184" s="1215"/>
      <c r="C184" s="1276"/>
      <c r="D184" s="1277"/>
      <c r="E184" s="1277"/>
      <c r="F184" s="1277"/>
      <c r="G184" s="1277"/>
      <c r="H184" s="1277"/>
      <c r="I184" s="1277"/>
      <c r="J184" s="1277"/>
      <c r="K184" s="1213"/>
      <c r="L184" s="1213"/>
      <c r="M184" s="1213"/>
      <c r="N184" s="1213"/>
      <c r="O184" s="1213"/>
      <c r="P184" s="1213"/>
      <c r="Q184" s="1213"/>
      <c r="R184" s="1213"/>
      <c r="S184" s="1213"/>
      <c r="T184" s="1213"/>
      <c r="U184" s="1213"/>
      <c r="V184" s="1213"/>
      <c r="W184" s="1213"/>
      <c r="X184" s="1213"/>
      <c r="Y184" s="1558"/>
      <c r="Z184" s="1558"/>
      <c r="AA184" s="1558"/>
      <c r="AB184" s="1558"/>
      <c r="AC184" s="1213"/>
      <c r="AD184" s="1213"/>
      <c r="AE184" s="1563"/>
      <c r="AF184" s="1563"/>
      <c r="AG184" s="1563"/>
      <c r="AH184" s="1563"/>
      <c r="AI184" s="1563"/>
      <c r="AJ184" s="1563"/>
      <c r="AK184" s="1563"/>
    </row>
    <row r="185" spans="1:45">
      <c r="A185" s="1215"/>
      <c r="B185" s="1284" t="s">
        <v>1788</v>
      </c>
      <c r="C185" s="1276"/>
      <c r="D185" s="1277"/>
      <c r="E185" s="1277"/>
      <c r="F185" s="1277"/>
      <c r="G185" s="1277"/>
      <c r="H185" s="1277"/>
      <c r="I185" s="1277"/>
      <c r="J185" s="1277"/>
      <c r="K185" s="1213"/>
      <c r="L185" s="1213"/>
      <c r="M185" s="1213"/>
      <c r="N185" s="1213"/>
      <c r="O185" s="1213"/>
      <c r="P185" s="1213"/>
      <c r="Q185" s="1213"/>
      <c r="R185" s="1213"/>
      <c r="S185" s="1213"/>
      <c r="T185" s="1213"/>
      <c r="U185" s="1213"/>
      <c r="V185" s="1213"/>
      <c r="W185" s="1213"/>
      <c r="X185" s="1213"/>
      <c r="Y185" s="1558"/>
      <c r="Z185" s="1558"/>
      <c r="AA185" s="1558"/>
      <c r="AB185" s="1558"/>
      <c r="AC185" s="1213"/>
      <c r="AD185" s="1213"/>
      <c r="AE185" s="1563"/>
      <c r="AF185" s="1563"/>
      <c r="AG185" s="1563"/>
      <c r="AH185" s="1563"/>
      <c r="AI185" s="1563"/>
      <c r="AJ185" s="1563"/>
      <c r="AK185" s="1563"/>
    </row>
    <row r="186" spans="1:45">
      <c r="A186" s="1581"/>
      <c r="C186" s="1285"/>
      <c r="D186" s="1286"/>
      <c r="E186" s="1286"/>
      <c r="F186" s="1286"/>
      <c r="G186" s="1286"/>
      <c r="H186" s="1286"/>
      <c r="I186" s="1286"/>
      <c r="J186" s="1286"/>
      <c r="K186" s="1213"/>
      <c r="L186" s="1213"/>
      <c r="M186" s="1213"/>
      <c r="N186" s="1213"/>
      <c r="O186" s="1213"/>
      <c r="P186" s="1213"/>
      <c r="Q186" s="1213"/>
      <c r="R186" s="1213"/>
      <c r="S186" s="1213"/>
      <c r="T186" s="1213"/>
      <c r="U186" s="1213"/>
      <c r="V186" s="1213"/>
      <c r="W186" s="1213"/>
      <c r="X186" s="1213"/>
      <c r="Y186" s="1556"/>
      <c r="Z186" s="1556"/>
      <c r="AA186" s="1556"/>
      <c r="AB186" s="1556"/>
      <c r="AC186" s="1213"/>
      <c r="AD186" s="1213"/>
      <c r="AE186" s="1273"/>
      <c r="AF186" s="1273"/>
      <c r="AG186" s="1273"/>
      <c r="AH186" s="1273"/>
      <c r="AI186" s="1273"/>
      <c r="AJ186" s="1273"/>
      <c r="AK186" s="1273"/>
    </row>
    <row r="187" spans="1:45">
      <c r="A187" s="1581"/>
      <c r="B187" s="1287" t="s">
        <v>1824</v>
      </c>
      <c r="C187" s="1285"/>
      <c r="D187" s="1286"/>
      <c r="E187" s="1286"/>
      <c r="F187" s="1286"/>
      <c r="G187" s="1286"/>
      <c r="H187" s="1286"/>
      <c r="I187" s="1286"/>
      <c r="J187" s="1286"/>
      <c r="K187" s="1213"/>
      <c r="L187" s="1213"/>
      <c r="M187" s="1213"/>
      <c r="N187" s="1213"/>
      <c r="O187" s="1213"/>
      <c r="P187" s="1213"/>
      <c r="Q187" s="1213"/>
      <c r="R187" s="1213"/>
      <c r="S187" s="1213"/>
      <c r="T187" s="1213"/>
      <c r="U187" s="1213"/>
      <c r="V187" s="1213"/>
      <c r="W187" s="1213"/>
      <c r="X187" s="1213"/>
      <c r="Y187" s="1556"/>
      <c r="Z187" s="1556"/>
      <c r="AA187" s="1556"/>
      <c r="AB187" s="1556"/>
      <c r="AC187" s="1213"/>
      <c r="AD187" s="1213"/>
      <c r="AE187" s="1273"/>
      <c r="AF187" s="1273"/>
      <c r="AG187" s="1273"/>
      <c r="AH187" s="1273"/>
      <c r="AI187" s="1273"/>
      <c r="AJ187" s="1273"/>
      <c r="AK187" s="1273"/>
    </row>
    <row r="188" spans="1:45">
      <c r="A188" s="1581"/>
      <c r="B188" s="2619" t="s">
        <v>2747</v>
      </c>
      <c r="C188" s="2619"/>
      <c r="D188" s="2619"/>
      <c r="E188" s="2619"/>
      <c r="F188" s="2619"/>
      <c r="G188" s="2619"/>
      <c r="H188" s="2619"/>
      <c r="I188" s="2619"/>
      <c r="J188" s="2619"/>
      <c r="K188" s="2619"/>
      <c r="L188" s="2619"/>
      <c r="M188" s="2619"/>
      <c r="N188" s="2619"/>
      <c r="O188" s="2619"/>
      <c r="P188" s="2619"/>
      <c r="Q188" s="2619"/>
      <c r="R188" s="2619"/>
      <c r="S188" s="2619"/>
      <c r="T188" s="2619"/>
      <c r="U188" s="2619"/>
      <c r="V188" s="2619"/>
      <c r="W188" s="2619"/>
      <c r="X188" s="2619"/>
      <c r="Y188" s="2619"/>
      <c r="Z188" s="2619"/>
      <c r="AA188" s="2619"/>
      <c r="AB188" s="2619"/>
      <c r="AC188" s="1288"/>
      <c r="AD188" s="2620">
        <f>Application!AO637</f>
        <v>35253013</v>
      </c>
      <c r="AE188" s="2620"/>
      <c r="AF188" s="2620"/>
      <c r="AG188" s="2620"/>
      <c r="AH188" s="2620"/>
      <c r="AI188" s="2620"/>
      <c r="AJ188" s="2620"/>
      <c r="AK188" s="1273"/>
    </row>
    <row r="189" spans="1:45">
      <c r="A189" s="1581"/>
      <c r="B189" s="2619"/>
      <c r="C189" s="2619"/>
      <c r="D189" s="2619"/>
      <c r="E189" s="2619"/>
      <c r="F189" s="2619"/>
      <c r="G189" s="2619"/>
      <c r="H189" s="2619"/>
      <c r="I189" s="2619"/>
      <c r="J189" s="2619"/>
      <c r="K189" s="2619"/>
      <c r="L189" s="2619"/>
      <c r="M189" s="2619"/>
      <c r="N189" s="2619"/>
      <c r="O189" s="2619"/>
      <c r="P189" s="2619"/>
      <c r="Q189" s="2619"/>
      <c r="R189" s="2619"/>
      <c r="S189" s="2619"/>
      <c r="T189" s="2619"/>
      <c r="U189" s="2619"/>
      <c r="V189" s="2619"/>
      <c r="W189" s="2619"/>
      <c r="X189" s="2619"/>
      <c r="Y189" s="2619"/>
      <c r="Z189" s="2619"/>
      <c r="AA189" s="2619"/>
      <c r="AB189" s="2619"/>
      <c r="AC189" s="1288"/>
      <c r="AD189" s="2620"/>
      <c r="AE189" s="2620"/>
      <c r="AF189" s="2620"/>
      <c r="AG189" s="2620"/>
      <c r="AH189" s="2620"/>
      <c r="AI189" s="2620"/>
      <c r="AJ189" s="2620"/>
      <c r="AK189" s="1273"/>
    </row>
    <row r="190" spans="1:45">
      <c r="A190" s="1581"/>
      <c r="B190" s="2619"/>
      <c r="C190" s="2619"/>
      <c r="D190" s="2619"/>
      <c r="E190" s="2619"/>
      <c r="F190" s="2619"/>
      <c r="G190" s="2619"/>
      <c r="H190" s="2619"/>
      <c r="I190" s="2619"/>
      <c r="J190" s="2619"/>
      <c r="K190" s="2619"/>
      <c r="L190" s="2619"/>
      <c r="M190" s="2619"/>
      <c r="N190" s="2619"/>
      <c r="O190" s="2619"/>
      <c r="P190" s="2619"/>
      <c r="Q190" s="2619"/>
      <c r="R190" s="2619"/>
      <c r="S190" s="2619"/>
      <c r="T190" s="2619"/>
      <c r="U190" s="2619"/>
      <c r="V190" s="2619"/>
      <c r="W190" s="2619"/>
      <c r="X190" s="2619"/>
      <c r="Y190" s="2619"/>
      <c r="Z190" s="2619"/>
      <c r="AA190" s="2619"/>
      <c r="AB190" s="2619"/>
      <c r="AC190" s="1288"/>
      <c r="AD190" s="2620"/>
      <c r="AE190" s="2620"/>
      <c r="AF190" s="2620"/>
      <c r="AG190" s="2620"/>
      <c r="AH190" s="2620"/>
      <c r="AI190" s="2620"/>
      <c r="AJ190" s="2620"/>
      <c r="AK190" s="1273"/>
    </row>
    <row r="191" spans="1:45">
      <c r="A191" s="1581"/>
      <c r="B191" s="2619"/>
      <c r="C191" s="2619"/>
      <c r="D191" s="2619"/>
      <c r="E191" s="2619"/>
      <c r="F191" s="2619"/>
      <c r="G191" s="2619"/>
      <c r="H191" s="2619"/>
      <c r="I191" s="2619"/>
      <c r="J191" s="2619"/>
      <c r="K191" s="2619"/>
      <c r="L191" s="2619"/>
      <c r="M191" s="2619"/>
      <c r="N191" s="2619"/>
      <c r="O191" s="2619"/>
      <c r="P191" s="2619"/>
      <c r="Q191" s="2619"/>
      <c r="R191" s="2619"/>
      <c r="S191" s="2619"/>
      <c r="T191" s="2619"/>
      <c r="U191" s="2619"/>
      <c r="V191" s="2619"/>
      <c r="W191" s="2619"/>
      <c r="X191" s="2619"/>
      <c r="Y191" s="2619"/>
      <c r="Z191" s="2619"/>
      <c r="AA191" s="2619"/>
      <c r="AB191" s="2619"/>
      <c r="AC191" s="1288"/>
      <c r="AD191" s="2620"/>
      <c r="AE191" s="2620"/>
      <c r="AF191" s="2620"/>
      <c r="AG191" s="2620"/>
      <c r="AH191" s="2620"/>
      <c r="AI191" s="2620"/>
      <c r="AJ191" s="2620"/>
      <c r="AK191" s="1273"/>
    </row>
    <row r="192" spans="1:45">
      <c r="A192" s="1581"/>
      <c r="B192" s="2619"/>
      <c r="C192" s="2619"/>
      <c r="D192" s="2619"/>
      <c r="E192" s="2619"/>
      <c r="F192" s="2619"/>
      <c r="G192" s="2619"/>
      <c r="H192" s="2619"/>
      <c r="I192" s="2619"/>
      <c r="J192" s="2619"/>
      <c r="K192" s="2619"/>
      <c r="L192" s="2619"/>
      <c r="M192" s="2619"/>
      <c r="N192" s="2619"/>
      <c r="O192" s="2619"/>
      <c r="P192" s="2619"/>
      <c r="Q192" s="2619"/>
      <c r="R192" s="2619"/>
      <c r="S192" s="2619"/>
      <c r="T192" s="2619"/>
      <c r="U192" s="2619"/>
      <c r="V192" s="2619"/>
      <c r="W192" s="2619"/>
      <c r="X192" s="2619"/>
      <c r="Y192" s="2619"/>
      <c r="Z192" s="2619"/>
      <c r="AA192" s="2619"/>
      <c r="AB192" s="2619"/>
      <c r="AC192" s="1288"/>
      <c r="AD192" s="2620"/>
      <c r="AE192" s="2620"/>
      <c r="AF192" s="2620"/>
      <c r="AG192" s="2620"/>
      <c r="AH192" s="2620"/>
      <c r="AI192" s="2620"/>
      <c r="AJ192" s="2620"/>
      <c r="AK192" s="1273"/>
    </row>
    <row r="193" spans="1:37">
      <c r="A193" s="1581"/>
      <c r="B193" s="2619"/>
      <c r="C193" s="2619"/>
      <c r="D193" s="2619"/>
      <c r="E193" s="2619"/>
      <c r="F193" s="2619"/>
      <c r="G193" s="2619"/>
      <c r="H193" s="2619"/>
      <c r="I193" s="2619"/>
      <c r="J193" s="2619"/>
      <c r="K193" s="2619"/>
      <c r="L193" s="2619"/>
      <c r="M193" s="2619"/>
      <c r="N193" s="2619"/>
      <c r="O193" s="2619"/>
      <c r="P193" s="2619"/>
      <c r="Q193" s="2619"/>
      <c r="R193" s="2619"/>
      <c r="S193" s="2619"/>
      <c r="T193" s="2619"/>
      <c r="U193" s="2619"/>
      <c r="V193" s="2619"/>
      <c r="W193" s="2619"/>
      <c r="X193" s="2619"/>
      <c r="Y193" s="2619"/>
      <c r="Z193" s="2619"/>
      <c r="AA193" s="2619"/>
      <c r="AB193" s="2619"/>
      <c r="AC193" s="1288"/>
      <c r="AD193" s="2620"/>
      <c r="AE193" s="2620"/>
      <c r="AF193" s="2620"/>
      <c r="AG193" s="2620"/>
      <c r="AH193" s="2620"/>
      <c r="AI193" s="2620"/>
      <c r="AJ193" s="2620"/>
      <c r="AK193" s="1273"/>
    </row>
    <row r="194" spans="1:37">
      <c r="A194" s="1581"/>
      <c r="B194" s="2619"/>
      <c r="C194" s="2619"/>
      <c r="D194" s="2619"/>
      <c r="E194" s="2619"/>
      <c r="F194" s="2619"/>
      <c r="G194" s="2619"/>
      <c r="H194" s="2619"/>
      <c r="I194" s="2619"/>
      <c r="J194" s="2619"/>
      <c r="K194" s="2619"/>
      <c r="L194" s="2619"/>
      <c r="M194" s="2619"/>
      <c r="N194" s="2619"/>
      <c r="O194" s="2619"/>
      <c r="P194" s="2619"/>
      <c r="Q194" s="2619"/>
      <c r="R194" s="2619"/>
      <c r="S194" s="2619"/>
      <c r="T194" s="2619"/>
      <c r="U194" s="2619"/>
      <c r="V194" s="2619"/>
      <c r="W194" s="2619"/>
      <c r="X194" s="2619"/>
      <c r="Y194" s="2619"/>
      <c r="Z194" s="2619"/>
      <c r="AA194" s="2619"/>
      <c r="AB194" s="2619"/>
      <c r="AC194" s="1288"/>
      <c r="AD194" s="2620"/>
      <c r="AE194" s="2620"/>
      <c r="AF194" s="2620"/>
      <c r="AG194" s="2620"/>
      <c r="AH194" s="2620"/>
      <c r="AI194" s="2620"/>
      <c r="AJ194" s="2620"/>
      <c r="AK194" s="1273"/>
    </row>
    <row r="195" spans="1:37">
      <c r="A195" s="1581"/>
      <c r="B195" s="2619"/>
      <c r="C195" s="2619"/>
      <c r="D195" s="2619"/>
      <c r="E195" s="2619"/>
      <c r="F195" s="2619"/>
      <c r="G195" s="2619"/>
      <c r="H195" s="2619"/>
      <c r="I195" s="2619"/>
      <c r="J195" s="2619"/>
      <c r="K195" s="2619"/>
      <c r="L195" s="2619"/>
      <c r="M195" s="2619"/>
      <c r="N195" s="2619"/>
      <c r="O195" s="2619"/>
      <c r="P195" s="2619"/>
      <c r="Q195" s="2619"/>
      <c r="R195" s="2619"/>
      <c r="S195" s="2619"/>
      <c r="T195" s="2619"/>
      <c r="U195" s="2619"/>
      <c r="V195" s="2619"/>
      <c r="W195" s="2619"/>
      <c r="X195" s="2619"/>
      <c r="Y195" s="2619"/>
      <c r="Z195" s="2619"/>
      <c r="AA195" s="2619"/>
      <c r="AB195" s="2619"/>
      <c r="AC195" s="1288"/>
      <c r="AD195" s="2620"/>
      <c r="AE195" s="2620"/>
      <c r="AF195" s="2620"/>
      <c r="AG195" s="2620"/>
      <c r="AH195" s="2620"/>
      <c r="AI195" s="2620"/>
      <c r="AJ195" s="2620"/>
      <c r="AK195" s="1273"/>
    </row>
    <row r="196" spans="1:37">
      <c r="A196" s="1581"/>
      <c r="B196" s="2619"/>
      <c r="C196" s="2619"/>
      <c r="D196" s="2619"/>
      <c r="E196" s="2619"/>
      <c r="F196" s="2619"/>
      <c r="G196" s="2619"/>
      <c r="H196" s="2619"/>
      <c r="I196" s="2619"/>
      <c r="J196" s="2619"/>
      <c r="K196" s="2619"/>
      <c r="L196" s="2619"/>
      <c r="M196" s="2619"/>
      <c r="N196" s="2619"/>
      <c r="O196" s="2619"/>
      <c r="P196" s="2619"/>
      <c r="Q196" s="2619"/>
      <c r="R196" s="2619"/>
      <c r="S196" s="2619"/>
      <c r="T196" s="2619"/>
      <c r="U196" s="2619"/>
      <c r="V196" s="2619"/>
      <c r="W196" s="2619"/>
      <c r="X196" s="2619"/>
      <c r="Y196" s="2619"/>
      <c r="Z196" s="2619"/>
      <c r="AA196" s="2619"/>
      <c r="AB196" s="2619"/>
      <c r="AC196" s="1288"/>
      <c r="AD196" s="2620"/>
      <c r="AE196" s="2620"/>
      <c r="AF196" s="2620"/>
      <c r="AG196" s="2620"/>
      <c r="AH196" s="2620"/>
      <c r="AI196" s="2620"/>
      <c r="AJ196" s="2620"/>
      <c r="AK196" s="1273"/>
    </row>
    <row r="197" spans="1:37">
      <c r="A197" s="1581"/>
      <c r="B197" s="2619"/>
      <c r="C197" s="2619"/>
      <c r="D197" s="2619"/>
      <c r="E197" s="2619"/>
      <c r="F197" s="2619"/>
      <c r="G197" s="2619"/>
      <c r="H197" s="2619"/>
      <c r="I197" s="2619"/>
      <c r="J197" s="2619"/>
      <c r="K197" s="2619"/>
      <c r="L197" s="2619"/>
      <c r="M197" s="2619"/>
      <c r="N197" s="2619"/>
      <c r="O197" s="2619"/>
      <c r="P197" s="2619"/>
      <c r="Q197" s="2619"/>
      <c r="R197" s="2619"/>
      <c r="S197" s="2619"/>
      <c r="T197" s="2619"/>
      <c r="U197" s="2619"/>
      <c r="V197" s="2619"/>
      <c r="W197" s="2619"/>
      <c r="X197" s="2619"/>
      <c r="Y197" s="2619"/>
      <c r="Z197" s="2619"/>
      <c r="AA197" s="2619"/>
      <c r="AB197" s="2619"/>
      <c r="AC197" s="1288"/>
      <c r="AD197" s="2620"/>
      <c r="AE197" s="2620"/>
      <c r="AF197" s="2620"/>
      <c r="AG197" s="2620"/>
      <c r="AH197" s="2620"/>
      <c r="AI197" s="2620"/>
      <c r="AJ197" s="2620"/>
      <c r="AK197" s="1273"/>
    </row>
    <row r="198" spans="1:37">
      <c r="A198" s="1581"/>
      <c r="B198" s="2621" t="s">
        <v>1826</v>
      </c>
      <c r="C198" s="2621"/>
      <c r="D198" s="2621"/>
      <c r="E198" s="2621"/>
      <c r="F198" s="2621"/>
      <c r="G198" s="2621"/>
      <c r="H198" s="2621"/>
      <c r="I198" s="2621"/>
      <c r="J198" s="2621"/>
      <c r="K198" s="2621"/>
      <c r="L198" s="2621"/>
      <c r="M198" s="2621"/>
      <c r="N198" s="2621"/>
      <c r="O198" s="2621"/>
      <c r="P198" s="2621"/>
      <c r="Q198" s="2621"/>
      <c r="R198" s="2621"/>
      <c r="S198" s="2621"/>
      <c r="T198" s="2621"/>
      <c r="U198" s="2621"/>
      <c r="V198" s="2621"/>
      <c r="W198" s="2621"/>
      <c r="X198" s="2621"/>
      <c r="Y198" s="2621"/>
      <c r="Z198" s="2621"/>
      <c r="AA198" s="2621"/>
      <c r="AB198" s="2621"/>
      <c r="AC198" s="1213"/>
      <c r="AD198" s="2622">
        <f>AB249</f>
        <v>0</v>
      </c>
      <c r="AE198" s="2622"/>
      <c r="AF198" s="2622"/>
      <c r="AG198" s="2622"/>
      <c r="AH198" s="2622"/>
      <c r="AI198" s="2622"/>
      <c r="AJ198" s="2622"/>
      <c r="AK198" s="1273"/>
    </row>
    <row r="199" spans="1:37">
      <c r="A199" s="1581"/>
      <c r="B199" s="2623" t="s">
        <v>1789</v>
      </c>
      <c r="C199" s="2623"/>
      <c r="D199" s="2623"/>
      <c r="E199" s="2623"/>
      <c r="F199" s="2623"/>
      <c r="G199" s="2623"/>
      <c r="H199" s="2623"/>
      <c r="I199" s="2623"/>
      <c r="J199" s="2623"/>
      <c r="K199" s="2623"/>
      <c r="L199" s="2623"/>
      <c r="M199" s="2623"/>
      <c r="N199" s="2623"/>
      <c r="O199" s="2623"/>
      <c r="P199" s="2623"/>
      <c r="Q199" s="2623"/>
      <c r="R199" s="2623"/>
      <c r="S199" s="2623"/>
      <c r="T199" s="2623"/>
      <c r="U199" s="2623"/>
      <c r="V199" s="2623"/>
      <c r="W199" s="2623"/>
      <c r="X199" s="2623"/>
      <c r="Y199" s="2623"/>
      <c r="Z199" s="2623"/>
      <c r="AA199" s="2623"/>
      <c r="AB199" s="2623"/>
      <c r="AC199" s="1288"/>
      <c r="AD199" s="2624">
        <f>'Sources and Uses Budget'!B15</f>
        <v>0</v>
      </c>
      <c r="AE199" s="2624"/>
      <c r="AF199" s="2624"/>
      <c r="AG199" s="2624"/>
      <c r="AH199" s="2624"/>
      <c r="AI199" s="2624"/>
      <c r="AJ199" s="2624"/>
      <c r="AK199" s="1273"/>
    </row>
    <row r="200" spans="1:37">
      <c r="A200" s="1581"/>
      <c r="B200" s="1220"/>
      <c r="C200" s="1220"/>
      <c r="D200" s="1220"/>
      <c r="E200" s="1220"/>
      <c r="F200" s="1220"/>
      <c r="G200" s="1220"/>
      <c r="H200" s="1220"/>
      <c r="I200" s="1220"/>
      <c r="J200" s="1220"/>
      <c r="K200" s="1220"/>
      <c r="L200" s="1220"/>
      <c r="M200" s="1220"/>
      <c r="N200" s="1220"/>
      <c r="O200" s="1220"/>
      <c r="P200" s="1220"/>
      <c r="Q200" s="1220"/>
      <c r="R200" s="1220"/>
      <c r="S200" s="1220"/>
      <c r="T200" s="1220"/>
      <c r="U200" s="1220"/>
      <c r="V200" s="1220"/>
      <c r="W200" s="1220"/>
      <c r="X200" s="1220"/>
      <c r="Y200" s="1220"/>
      <c r="Z200" s="1220"/>
      <c r="AA200" s="1220"/>
      <c r="AB200" s="1289" t="s">
        <v>948</v>
      </c>
      <c r="AC200" s="1213"/>
      <c r="AD200" s="2612">
        <f>SUM(AD188:AJ198)-AD199</f>
        <v>35253013</v>
      </c>
      <c r="AE200" s="2612"/>
      <c r="AF200" s="2612"/>
      <c r="AG200" s="2612"/>
      <c r="AH200" s="2612"/>
      <c r="AI200" s="2612"/>
      <c r="AJ200" s="2612"/>
      <c r="AK200" s="1273"/>
    </row>
    <row r="201" spans="1:37">
      <c r="A201" s="1581"/>
      <c r="B201" s="1581"/>
      <c r="C201" s="1285"/>
      <c r="D201" s="1286"/>
      <c r="E201" s="1286"/>
      <c r="F201" s="1286"/>
      <c r="G201" s="1286"/>
      <c r="H201" s="1286"/>
      <c r="I201" s="1286"/>
      <c r="J201" s="1286"/>
      <c r="K201" s="1213"/>
      <c r="L201" s="1213"/>
      <c r="M201" s="1213"/>
      <c r="N201" s="1213"/>
      <c r="O201" s="1213"/>
      <c r="P201" s="1213"/>
      <c r="Q201" s="1213"/>
      <c r="R201" s="1213"/>
      <c r="S201" s="1213"/>
      <c r="T201" s="1213"/>
      <c r="U201" s="1213"/>
      <c r="V201" s="1213"/>
      <c r="W201" s="1213"/>
      <c r="X201" s="1213"/>
      <c r="Y201" s="1556"/>
      <c r="Z201" s="1556"/>
      <c r="AA201" s="1556"/>
      <c r="AB201" s="1556"/>
      <c r="AC201" s="1213"/>
      <c r="AD201" s="1213"/>
      <c r="AE201" s="1273"/>
      <c r="AF201" s="1273"/>
      <c r="AG201" s="1273"/>
      <c r="AH201" s="1273"/>
      <c r="AI201" s="1273"/>
      <c r="AJ201" s="1273"/>
      <c r="AK201" s="1273"/>
    </row>
    <row r="202" spans="1:37">
      <c r="A202" s="1581"/>
      <c r="B202" s="1290" t="s">
        <v>1794</v>
      </c>
      <c r="C202" s="1285"/>
      <c r="D202" s="1286"/>
      <c r="E202" s="1286"/>
      <c r="F202" s="1286"/>
      <c r="G202" s="1286"/>
      <c r="H202" s="1286"/>
      <c r="I202" s="1286"/>
      <c r="J202" s="1286"/>
      <c r="K202" s="1213"/>
      <c r="L202" s="1213"/>
      <c r="M202" s="1213"/>
      <c r="N202" s="1213"/>
      <c r="O202" s="1213"/>
      <c r="P202" s="1213"/>
      <c r="Q202" s="1213"/>
      <c r="R202" s="1213"/>
      <c r="S202" s="1213"/>
      <c r="T202" s="1213"/>
      <c r="U202" s="1213"/>
      <c r="V202" s="1213"/>
      <c r="W202" s="1213"/>
      <c r="X202" s="1213"/>
      <c r="Y202" s="1556"/>
      <c r="Z202" s="1556"/>
      <c r="AA202" s="1556"/>
      <c r="AB202" s="1556"/>
      <c r="AC202" s="1213"/>
      <c r="AD202" s="1213"/>
      <c r="AE202" s="1273"/>
      <c r="AF202" s="1273"/>
      <c r="AG202" s="1273"/>
      <c r="AH202" s="1273"/>
      <c r="AI202" s="1273"/>
      <c r="AJ202" s="1273"/>
      <c r="AK202" s="1273"/>
    </row>
    <row r="203" spans="1:37">
      <c r="A203" s="1581"/>
      <c r="B203" s="1085" t="s">
        <v>1825</v>
      </c>
      <c r="C203" s="1285"/>
      <c r="D203" s="1286"/>
      <c r="E203" s="1286"/>
      <c r="F203" s="1286"/>
      <c r="G203" s="1286"/>
      <c r="H203" s="1286"/>
      <c r="I203" s="1286"/>
      <c r="J203" s="1286"/>
      <c r="K203" s="1213"/>
      <c r="L203" s="1213"/>
      <c r="M203" s="1213"/>
      <c r="N203" s="1213"/>
      <c r="O203" s="1213"/>
      <c r="P203" s="1213"/>
      <c r="Q203" s="1213"/>
      <c r="R203" s="1213"/>
      <c r="S203" s="1213"/>
      <c r="T203" s="1213"/>
      <c r="U203" s="1213"/>
      <c r="V203" s="1213"/>
      <c r="W203" s="1213"/>
      <c r="X203" s="1213"/>
      <c r="Y203" s="1556"/>
      <c r="Z203" s="1556"/>
      <c r="AA203" s="1556"/>
      <c r="AB203" s="1556"/>
      <c r="AC203" s="1213"/>
      <c r="AD203" s="1213"/>
      <c r="AE203" s="1273"/>
      <c r="AF203" s="1273"/>
      <c r="AG203" s="1273"/>
      <c r="AH203" s="1273"/>
      <c r="AI203" s="1273"/>
      <c r="AJ203" s="1273"/>
      <c r="AK203" s="1273"/>
    </row>
    <row r="204" spans="1:37">
      <c r="A204" s="1291"/>
      <c r="B204" s="1292" t="s">
        <v>1796</v>
      </c>
      <c r="C204" s="1293"/>
      <c r="D204" s="1294"/>
      <c r="E204" s="1294"/>
      <c r="F204" s="1294"/>
      <c r="G204" s="1294"/>
      <c r="H204" s="1294"/>
      <c r="I204" s="1294"/>
      <c r="J204" s="1294"/>
      <c r="K204" s="1295"/>
      <c r="L204" s="1295"/>
      <c r="M204" s="1295"/>
      <c r="N204" s="1295"/>
      <c r="O204" s="1295"/>
      <c r="P204" s="1295"/>
      <c r="Q204" s="1295"/>
      <c r="R204" s="1295"/>
      <c r="S204" s="1296"/>
      <c r="T204" s="1296"/>
      <c r="U204" s="1296"/>
      <c r="V204" s="1296"/>
      <c r="W204" s="1296"/>
      <c r="X204" s="1296"/>
      <c r="Y204" s="1574"/>
      <c r="Z204" s="1574"/>
      <c r="AA204" s="1574"/>
      <c r="AB204" s="1574"/>
      <c r="AC204" s="1296"/>
      <c r="AD204" s="1296"/>
      <c r="AE204" s="1297"/>
      <c r="AF204" s="1297"/>
      <c r="AG204" s="1297"/>
      <c r="AH204" s="1297"/>
      <c r="AI204" s="1297"/>
      <c r="AJ204" s="1298"/>
      <c r="AK204" s="1273"/>
    </row>
    <row r="205" spans="1:37">
      <c r="A205" s="1291"/>
      <c r="B205" s="1299" t="s">
        <v>1797</v>
      </c>
      <c r="C205" s="1300"/>
      <c r="D205" s="1301"/>
      <c r="E205" s="1301"/>
      <c r="F205" s="1301"/>
      <c r="G205" s="1301"/>
      <c r="H205" s="1301"/>
      <c r="I205" s="1301"/>
      <c r="J205" s="1301"/>
      <c r="K205" s="1302"/>
      <c r="L205" s="1302"/>
      <c r="M205" s="1302"/>
      <c r="N205" s="1302"/>
      <c r="O205" s="1302"/>
      <c r="P205" s="1302"/>
      <c r="Q205" s="1302"/>
      <c r="R205" s="1302"/>
      <c r="S205" s="1213"/>
      <c r="T205" s="1213"/>
      <c r="U205" s="1213"/>
      <c r="V205" s="1213"/>
      <c r="W205" s="1213"/>
      <c r="X205" s="1213"/>
      <c r="Y205" s="1556"/>
      <c r="Z205" s="1556"/>
      <c r="AA205" s="1556"/>
      <c r="AB205" s="1556"/>
      <c r="AC205" s="1213"/>
      <c r="AD205" s="1213"/>
      <c r="AE205" s="1273"/>
      <c r="AF205" s="1273"/>
      <c r="AG205" s="1273"/>
      <c r="AH205" s="1273"/>
      <c r="AI205" s="1273"/>
      <c r="AJ205" s="1303"/>
      <c r="AK205" s="1273"/>
    </row>
    <row r="206" spans="1:37">
      <c r="A206" s="1291"/>
      <c r="B206" s="1299" t="s">
        <v>2718</v>
      </c>
      <c r="C206" s="1300"/>
      <c r="D206" s="1301"/>
      <c r="E206" s="1301"/>
      <c r="F206" s="1301"/>
      <c r="G206" s="1301"/>
      <c r="H206" s="1301"/>
      <c r="I206" s="1301"/>
      <c r="J206" s="1301"/>
      <c r="K206" s="1302"/>
      <c r="L206" s="1302"/>
      <c r="M206" s="1302"/>
      <c r="N206" s="1302"/>
      <c r="O206" s="1302"/>
      <c r="P206" s="1302"/>
      <c r="Q206" s="1302"/>
      <c r="R206" s="1302"/>
      <c r="S206" s="1213"/>
      <c r="T206" s="1213"/>
      <c r="U206" s="1213"/>
      <c r="V206" s="1213"/>
      <c r="W206" s="1213"/>
      <c r="X206" s="1213"/>
      <c r="Y206" s="1556"/>
      <c r="Z206" s="1556"/>
      <c r="AA206" s="1556"/>
      <c r="AB206" s="1556"/>
      <c r="AC206" s="1213"/>
      <c r="AD206" s="1213"/>
      <c r="AE206" s="1273"/>
      <c r="AF206" s="1273"/>
      <c r="AG206" s="1273"/>
      <c r="AH206" s="1273"/>
      <c r="AI206" s="1273"/>
      <c r="AJ206" s="1303"/>
      <c r="AK206" s="1273"/>
    </row>
    <row r="207" spans="1:37">
      <c r="A207" s="1291"/>
      <c r="B207" s="1299" t="s">
        <v>1798</v>
      </c>
      <c r="C207" s="1300"/>
      <c r="D207" s="1301"/>
      <c r="E207" s="1301"/>
      <c r="F207" s="1301"/>
      <c r="G207" s="1301"/>
      <c r="H207" s="1301"/>
      <c r="I207" s="1301"/>
      <c r="J207" s="1301"/>
      <c r="K207" s="1302"/>
      <c r="L207" s="1302"/>
      <c r="M207" s="1302"/>
      <c r="N207" s="1302"/>
      <c r="O207" s="1302"/>
      <c r="P207" s="1302"/>
      <c r="Q207" s="1302"/>
      <c r="R207" s="1302"/>
      <c r="S207" s="1213"/>
      <c r="T207" s="1213"/>
      <c r="U207" s="1213"/>
      <c r="V207" s="1213"/>
      <c r="W207" s="1213"/>
      <c r="X207" s="1213"/>
      <c r="Y207" s="1556"/>
      <c r="Z207" s="1556"/>
      <c r="AA207" s="1556"/>
      <c r="AB207" s="1556"/>
      <c r="AC207" s="1213"/>
      <c r="AD207" s="1213"/>
      <c r="AE207" s="1273"/>
      <c r="AF207" s="1273"/>
      <c r="AG207" s="1273"/>
      <c r="AH207" s="1273"/>
      <c r="AI207" s="1273"/>
      <c r="AJ207" s="1303"/>
      <c r="AK207" s="1273"/>
    </row>
    <row r="208" spans="1:37">
      <c r="A208" s="1291"/>
      <c r="B208" s="1304" t="s">
        <v>1799</v>
      </c>
      <c r="C208" s="1300"/>
      <c r="D208" s="1301"/>
      <c r="E208" s="1301"/>
      <c r="F208" s="1301"/>
      <c r="G208" s="1301"/>
      <c r="H208" s="1301"/>
      <c r="I208" s="1301"/>
      <c r="J208" s="1301"/>
      <c r="K208" s="1302"/>
      <c r="L208" s="1302"/>
      <c r="M208" s="1302"/>
      <c r="N208" s="1302"/>
      <c r="O208" s="1302"/>
      <c r="P208" s="1302"/>
      <c r="Q208" s="1302"/>
      <c r="R208" s="1302"/>
      <c r="S208" s="1213"/>
      <c r="T208" s="1213"/>
      <c r="U208" s="1213"/>
      <c r="V208" s="1213"/>
      <c r="W208" s="1213"/>
      <c r="X208" s="1213"/>
      <c r="Y208" s="1556"/>
      <c r="Z208" s="1556"/>
      <c r="AA208" s="1556"/>
      <c r="AB208" s="1556"/>
      <c r="AC208" s="1213"/>
      <c r="AD208" s="1213"/>
      <c r="AE208" s="1273"/>
      <c r="AF208" s="1273"/>
      <c r="AG208" s="1273"/>
      <c r="AH208" s="1273"/>
      <c r="AI208" s="1273"/>
      <c r="AJ208" s="1303"/>
      <c r="AK208" s="1273"/>
    </row>
    <row r="209" spans="1:37">
      <c r="A209" s="1291"/>
      <c r="B209" s="1305" t="s">
        <v>1837</v>
      </c>
      <c r="C209" s="1306"/>
      <c r="D209" s="1307"/>
      <c r="E209" s="1307"/>
      <c r="F209" s="1307"/>
      <c r="G209" s="1307"/>
      <c r="H209" s="1307"/>
      <c r="I209" s="1307"/>
      <c r="J209" s="1307"/>
      <c r="K209" s="1308"/>
      <c r="L209" s="1308"/>
      <c r="M209" s="1308"/>
      <c r="N209" s="1308"/>
      <c r="O209" s="1308"/>
      <c r="P209" s="1308"/>
      <c r="Q209" s="1308"/>
      <c r="R209" s="1308"/>
      <c r="S209" s="1309"/>
      <c r="T209" s="1309"/>
      <c r="U209" s="1309"/>
      <c r="V209" s="1309"/>
      <c r="W209" s="1309"/>
      <c r="X209" s="1309"/>
      <c r="Y209" s="1564"/>
      <c r="Z209" s="1564"/>
      <c r="AA209" s="1564"/>
      <c r="AB209" s="1564"/>
      <c r="AC209" s="1309"/>
      <c r="AD209" s="1309"/>
      <c r="AE209" s="1310"/>
      <c r="AF209" s="1310"/>
      <c r="AG209" s="1310"/>
      <c r="AH209" s="1310"/>
      <c r="AI209" s="1310"/>
      <c r="AJ209" s="1311"/>
      <c r="AK209" s="1273"/>
    </row>
    <row r="210" spans="1:37">
      <c r="A210" s="1581"/>
      <c r="B210" s="1581"/>
      <c r="C210" s="1285"/>
      <c r="D210" s="1286"/>
      <c r="E210" s="1286"/>
      <c r="F210" s="1286"/>
      <c r="G210" s="1286"/>
      <c r="H210" s="1286"/>
      <c r="I210" s="1286"/>
      <c r="J210" s="1286"/>
      <c r="K210" s="1213"/>
      <c r="L210" s="1213"/>
      <c r="M210" s="1213"/>
      <c r="N210" s="1213"/>
      <c r="O210" s="1213"/>
      <c r="P210" s="1213"/>
      <c r="Q210" s="1213"/>
      <c r="R210" s="1213"/>
      <c r="S210" s="1213"/>
      <c r="T210" s="1213"/>
      <c r="U210" s="1213"/>
      <c r="V210" s="1213"/>
      <c r="W210" s="1213"/>
      <c r="X210" s="1213"/>
      <c r="Y210" s="1556"/>
      <c r="Z210" s="1556"/>
      <c r="AA210" s="1556"/>
      <c r="AB210" s="1556"/>
      <c r="AC210" s="1213"/>
      <c r="AD210" s="1213"/>
      <c r="AE210" s="1273"/>
      <c r="AF210" s="1273"/>
      <c r="AG210" s="1273"/>
      <c r="AH210" s="1273"/>
      <c r="AI210" s="1273"/>
      <c r="AJ210" s="1273"/>
      <c r="AK210" s="1273"/>
    </row>
    <row r="211" spans="1:37">
      <c r="A211" s="1581"/>
      <c r="B211" s="1312"/>
      <c r="C211" s="1085"/>
      <c r="D211" s="1085"/>
      <c r="I211" s="2613" t="s">
        <v>1806</v>
      </c>
      <c r="J211" s="2613"/>
      <c r="K211" s="2613"/>
      <c r="L211" s="1213"/>
      <c r="M211" s="1213"/>
      <c r="N211" s="1213"/>
      <c r="O211" s="1213"/>
      <c r="P211" s="1213"/>
      <c r="Q211" s="1213"/>
      <c r="R211" s="1213"/>
      <c r="S211" s="1213"/>
      <c r="T211" s="2614" t="s">
        <v>1800</v>
      </c>
      <c r="U211" s="2614"/>
      <c r="V211" s="2614"/>
      <c r="W211" s="2614"/>
      <c r="X211" s="2614"/>
      <c r="Y211" s="2614"/>
      <c r="Z211" s="1313"/>
      <c r="AA211" s="1259"/>
      <c r="AB211" s="2601" t="s">
        <v>1801</v>
      </c>
      <c r="AC211" s="2601"/>
      <c r="AD211" s="2601"/>
      <c r="AE211" s="2601"/>
      <c r="AF211" s="2601"/>
      <c r="AG211" s="2601"/>
      <c r="AH211" s="1286"/>
      <c r="AI211" s="1286"/>
      <c r="AJ211" s="1286"/>
      <c r="AK211" s="1273"/>
    </row>
    <row r="212" spans="1:37">
      <c r="A212" s="1581"/>
      <c r="B212" s="2615" t="s">
        <v>1786</v>
      </c>
      <c r="C212" s="2615"/>
      <c r="D212" s="2615"/>
      <c r="E212" s="2615"/>
      <c r="F212" s="2615"/>
      <c r="G212" s="2615"/>
      <c r="I212" s="2616" t="s">
        <v>1807</v>
      </c>
      <c r="J212" s="2616"/>
      <c r="K212" s="2616"/>
      <c r="L212" s="1580"/>
      <c r="N212" s="2617" t="s">
        <v>1802</v>
      </c>
      <c r="O212" s="2617"/>
      <c r="P212" s="2617"/>
      <c r="Q212" s="2617"/>
      <c r="R212" s="2617"/>
      <c r="T212" s="2617" t="s">
        <v>1803</v>
      </c>
      <c r="U212" s="2617"/>
      <c r="V212" s="2617"/>
      <c r="W212" s="2617"/>
      <c r="X212" s="2617"/>
      <c r="Y212" s="2617"/>
      <c r="Z212" s="1314"/>
      <c r="AA212" s="1259"/>
      <c r="AB212" s="2618" t="s">
        <v>1804</v>
      </c>
      <c r="AC212" s="2618"/>
      <c r="AD212" s="2618"/>
      <c r="AE212" s="2618"/>
      <c r="AF212" s="2618"/>
      <c r="AG212" s="2618"/>
      <c r="AH212" s="1286"/>
      <c r="AI212" s="1286"/>
      <c r="AJ212" s="1286"/>
      <c r="AK212" s="1273"/>
    </row>
    <row r="213" spans="1:37">
      <c r="A213" s="1581"/>
      <c r="B213" s="2607" t="s">
        <v>1344</v>
      </c>
      <c r="C213" s="2607"/>
      <c r="D213" s="2607"/>
      <c r="E213" s="2607"/>
      <c r="F213" s="2607"/>
      <c r="G213" s="2607"/>
      <c r="H213" s="1315"/>
      <c r="I213" s="2608"/>
      <c r="J213" s="2608"/>
      <c r="K213" s="2608"/>
      <c r="L213" s="1580"/>
      <c r="N213" s="2609"/>
      <c r="O213" s="2609"/>
      <c r="P213" s="2609"/>
      <c r="Q213" s="2609"/>
      <c r="R213" s="2609"/>
      <c r="T213" s="2610"/>
      <c r="U213" s="2610"/>
      <c r="V213" s="2610"/>
      <c r="W213" s="2610"/>
      <c r="X213" s="2610"/>
      <c r="Y213" s="2610"/>
      <c r="Z213" s="1316"/>
      <c r="AA213" s="1316"/>
      <c r="AB213" s="2598">
        <f t="shared" ref="AB213:AB222" si="0">MAX(($T213-$N213)*$I213*12,0)</f>
        <v>0</v>
      </c>
      <c r="AC213" s="2598"/>
      <c r="AD213" s="2598"/>
      <c r="AE213" s="2598"/>
      <c r="AF213" s="2598"/>
      <c r="AG213" s="2598"/>
      <c r="AH213" s="1286"/>
      <c r="AI213" s="1286"/>
      <c r="AJ213" s="1286"/>
      <c r="AK213" s="1273"/>
    </row>
    <row r="214" spans="1:37">
      <c r="A214" s="1581"/>
      <c r="B214" s="2607" t="s">
        <v>1344</v>
      </c>
      <c r="C214" s="2607"/>
      <c r="D214" s="2607"/>
      <c r="E214" s="2607"/>
      <c r="F214" s="2607"/>
      <c r="G214" s="2607"/>
      <c r="I214" s="2608"/>
      <c r="J214" s="2608"/>
      <c r="K214" s="2608"/>
      <c r="L214" s="1580"/>
      <c r="N214" s="2609"/>
      <c r="O214" s="2609"/>
      <c r="P214" s="2609"/>
      <c r="Q214" s="2609"/>
      <c r="R214" s="2609"/>
      <c r="T214" s="2610"/>
      <c r="U214" s="2610"/>
      <c r="V214" s="2610"/>
      <c r="W214" s="2610"/>
      <c r="X214" s="2610"/>
      <c r="Y214" s="2610"/>
      <c r="Z214" s="1316"/>
      <c r="AA214" s="1316"/>
      <c r="AB214" s="2598">
        <f t="shared" si="0"/>
        <v>0</v>
      </c>
      <c r="AC214" s="2598"/>
      <c r="AD214" s="2598"/>
      <c r="AE214" s="2598"/>
      <c r="AF214" s="2598"/>
      <c r="AG214" s="2598"/>
      <c r="AH214" s="1286"/>
      <c r="AI214" s="1286"/>
      <c r="AJ214" s="1286"/>
      <c r="AK214" s="1273"/>
    </row>
    <row r="215" spans="1:37">
      <c r="A215" s="1581"/>
      <c r="B215" s="2607" t="s">
        <v>1344</v>
      </c>
      <c r="C215" s="2607"/>
      <c r="D215" s="2607"/>
      <c r="E215" s="2607"/>
      <c r="F215" s="2607"/>
      <c r="G215" s="2607"/>
      <c r="I215" s="2608"/>
      <c r="J215" s="2608"/>
      <c r="K215" s="2608"/>
      <c r="L215" s="1580"/>
      <c r="N215" s="2609"/>
      <c r="O215" s="2609"/>
      <c r="P215" s="2609"/>
      <c r="Q215" s="2609"/>
      <c r="R215" s="2609"/>
      <c r="T215" s="2610"/>
      <c r="U215" s="2610"/>
      <c r="V215" s="2610"/>
      <c r="W215" s="2610"/>
      <c r="X215" s="2610"/>
      <c r="Y215" s="2610"/>
      <c r="Z215" s="1316"/>
      <c r="AA215" s="1316"/>
      <c r="AB215" s="2598">
        <f t="shared" si="0"/>
        <v>0</v>
      </c>
      <c r="AC215" s="2598"/>
      <c r="AD215" s="2598"/>
      <c r="AE215" s="2598"/>
      <c r="AF215" s="2598"/>
      <c r="AG215" s="2598"/>
      <c r="AH215" s="1286"/>
      <c r="AI215" s="1286"/>
      <c r="AJ215" s="1286"/>
      <c r="AK215" s="1273"/>
    </row>
    <row r="216" spans="1:37">
      <c r="A216" s="1581"/>
      <c r="B216" s="2607" t="s">
        <v>1344</v>
      </c>
      <c r="C216" s="2607"/>
      <c r="D216" s="2607"/>
      <c r="E216" s="2607"/>
      <c r="F216" s="2607"/>
      <c r="G216" s="2607"/>
      <c r="I216" s="2608"/>
      <c r="J216" s="2608"/>
      <c r="K216" s="2608"/>
      <c r="L216" s="1580"/>
      <c r="N216" s="2609"/>
      <c r="O216" s="2609"/>
      <c r="P216" s="2609"/>
      <c r="Q216" s="2609"/>
      <c r="R216" s="2609"/>
      <c r="T216" s="2610"/>
      <c r="U216" s="2610"/>
      <c r="V216" s="2610"/>
      <c r="W216" s="2610"/>
      <c r="X216" s="2610"/>
      <c r="Y216" s="2610"/>
      <c r="Z216" s="1316"/>
      <c r="AA216" s="1316"/>
      <c r="AB216" s="2598">
        <f t="shared" si="0"/>
        <v>0</v>
      </c>
      <c r="AC216" s="2598"/>
      <c r="AD216" s="2598"/>
      <c r="AE216" s="2598"/>
      <c r="AF216" s="2598"/>
      <c r="AG216" s="2598"/>
      <c r="AH216" s="1286"/>
      <c r="AI216" s="1286"/>
      <c r="AJ216" s="1286"/>
      <c r="AK216" s="1273"/>
    </row>
    <row r="217" spans="1:37">
      <c r="A217" s="1581"/>
      <c r="B217" s="2607" t="s">
        <v>1344</v>
      </c>
      <c r="C217" s="2607"/>
      <c r="D217" s="2607"/>
      <c r="E217" s="2607"/>
      <c r="F217" s="2607"/>
      <c r="G217" s="2607"/>
      <c r="I217" s="2608"/>
      <c r="J217" s="2608"/>
      <c r="K217" s="2608"/>
      <c r="L217" s="1317"/>
      <c r="N217" s="2609"/>
      <c r="O217" s="2609"/>
      <c r="P217" s="2609"/>
      <c r="Q217" s="2609"/>
      <c r="R217" s="2609"/>
      <c r="T217" s="2610"/>
      <c r="U217" s="2610"/>
      <c r="V217" s="2610"/>
      <c r="W217" s="2610"/>
      <c r="X217" s="2610"/>
      <c r="Y217" s="2610"/>
      <c r="Z217" s="1316"/>
      <c r="AA217" s="1316"/>
      <c r="AB217" s="2598">
        <f t="shared" si="0"/>
        <v>0</v>
      </c>
      <c r="AC217" s="2598"/>
      <c r="AD217" s="2598"/>
      <c r="AE217" s="2598"/>
      <c r="AF217" s="2598"/>
      <c r="AG217" s="2598"/>
      <c r="AH217" s="1286"/>
      <c r="AI217" s="1286"/>
      <c r="AJ217" s="1286"/>
      <c r="AK217" s="1273"/>
    </row>
    <row r="218" spans="1:37">
      <c r="A218" s="1581"/>
      <c r="B218" s="2607" t="s">
        <v>1344</v>
      </c>
      <c r="C218" s="2607"/>
      <c r="D218" s="2607"/>
      <c r="E218" s="2607"/>
      <c r="F218" s="2607"/>
      <c r="G218" s="2607"/>
      <c r="I218" s="2608"/>
      <c r="J218" s="2608"/>
      <c r="K218" s="2608"/>
      <c r="L218" s="1317"/>
      <c r="N218" s="2609"/>
      <c r="O218" s="2609"/>
      <c r="P218" s="2609"/>
      <c r="Q218" s="2609"/>
      <c r="R218" s="2609"/>
      <c r="T218" s="2610"/>
      <c r="U218" s="2610"/>
      <c r="V218" s="2610"/>
      <c r="W218" s="2610"/>
      <c r="X218" s="2610"/>
      <c r="Y218" s="2610"/>
      <c r="Z218" s="1316"/>
      <c r="AA218" s="1316"/>
      <c r="AB218" s="2598">
        <f t="shared" si="0"/>
        <v>0</v>
      </c>
      <c r="AC218" s="2598"/>
      <c r="AD218" s="2598"/>
      <c r="AE218" s="2598"/>
      <c r="AF218" s="2598"/>
      <c r="AG218" s="2598"/>
      <c r="AH218" s="1286"/>
      <c r="AI218" s="1286"/>
      <c r="AJ218" s="1286"/>
      <c r="AK218" s="1273"/>
    </row>
    <row r="219" spans="1:37">
      <c r="A219" s="1581"/>
      <c r="B219" s="2607" t="s">
        <v>1344</v>
      </c>
      <c r="C219" s="2607"/>
      <c r="D219" s="2607"/>
      <c r="E219" s="2607"/>
      <c r="F219" s="2607"/>
      <c r="G219" s="2607"/>
      <c r="I219" s="2608"/>
      <c r="J219" s="2608"/>
      <c r="K219" s="2608"/>
      <c r="L219" s="1317"/>
      <c r="N219" s="2609"/>
      <c r="O219" s="2609"/>
      <c r="P219" s="2609"/>
      <c r="Q219" s="2609"/>
      <c r="R219" s="2609"/>
      <c r="T219" s="2610"/>
      <c r="U219" s="2610"/>
      <c r="V219" s="2610"/>
      <c r="W219" s="2610"/>
      <c r="X219" s="2610"/>
      <c r="Y219" s="2610"/>
      <c r="Z219" s="1316"/>
      <c r="AA219" s="1316"/>
      <c r="AB219" s="2598">
        <f t="shared" si="0"/>
        <v>0</v>
      </c>
      <c r="AC219" s="2598"/>
      <c r="AD219" s="2598"/>
      <c r="AE219" s="2598"/>
      <c r="AF219" s="2598"/>
      <c r="AG219" s="2598"/>
      <c r="AH219" s="1286"/>
      <c r="AI219" s="1286"/>
      <c r="AJ219" s="1286"/>
      <c r="AK219" s="1273"/>
    </row>
    <row r="220" spans="1:37">
      <c r="A220" s="1581"/>
      <c r="B220" s="2607" t="s">
        <v>1344</v>
      </c>
      <c r="C220" s="2607"/>
      <c r="D220" s="2607"/>
      <c r="E220" s="2607"/>
      <c r="F220" s="2607"/>
      <c r="G220" s="2607"/>
      <c r="I220" s="2608"/>
      <c r="J220" s="2608"/>
      <c r="K220" s="2608"/>
      <c r="L220" s="1317"/>
      <c r="N220" s="2609"/>
      <c r="O220" s="2609"/>
      <c r="P220" s="2609"/>
      <c r="Q220" s="2609"/>
      <c r="R220" s="2609"/>
      <c r="T220" s="2610"/>
      <c r="U220" s="2610"/>
      <c r="V220" s="2610"/>
      <c r="W220" s="2610"/>
      <c r="X220" s="2610"/>
      <c r="Y220" s="2610"/>
      <c r="Z220" s="1316"/>
      <c r="AA220" s="1316"/>
      <c r="AB220" s="2598">
        <f t="shared" si="0"/>
        <v>0</v>
      </c>
      <c r="AC220" s="2598"/>
      <c r="AD220" s="2598"/>
      <c r="AE220" s="2598"/>
      <c r="AF220" s="2598"/>
      <c r="AG220" s="2598"/>
      <c r="AH220" s="1286"/>
      <c r="AI220" s="1286"/>
      <c r="AJ220" s="1286"/>
      <c r="AK220" s="1273"/>
    </row>
    <row r="221" spans="1:37">
      <c r="A221" s="1581"/>
      <c r="B221" s="2607" t="s">
        <v>1344</v>
      </c>
      <c r="C221" s="2607"/>
      <c r="D221" s="2607"/>
      <c r="E221" s="2607"/>
      <c r="F221" s="2607"/>
      <c r="G221" s="2607"/>
      <c r="I221" s="2608"/>
      <c r="J221" s="2608"/>
      <c r="K221" s="2608"/>
      <c r="L221" s="1317"/>
      <c r="N221" s="2609"/>
      <c r="O221" s="2609"/>
      <c r="P221" s="2609"/>
      <c r="Q221" s="2609"/>
      <c r="R221" s="2609"/>
      <c r="T221" s="2610"/>
      <c r="U221" s="2610"/>
      <c r="V221" s="2610"/>
      <c r="W221" s="2610"/>
      <c r="X221" s="2610"/>
      <c r="Y221" s="2610"/>
      <c r="Z221" s="1316"/>
      <c r="AA221" s="1316"/>
      <c r="AB221" s="2598">
        <f t="shared" si="0"/>
        <v>0</v>
      </c>
      <c r="AC221" s="2598"/>
      <c r="AD221" s="2598"/>
      <c r="AE221" s="2598"/>
      <c r="AF221" s="2598"/>
      <c r="AG221" s="2598"/>
      <c r="AH221" s="1286"/>
      <c r="AI221" s="1286"/>
      <c r="AJ221" s="1286"/>
      <c r="AK221" s="1273"/>
    </row>
    <row r="222" spans="1:37">
      <c r="A222" s="1581"/>
      <c r="B222" s="2607" t="s">
        <v>1344</v>
      </c>
      <c r="C222" s="2607"/>
      <c r="D222" s="2607"/>
      <c r="E222" s="2607"/>
      <c r="F222" s="2607"/>
      <c r="G222" s="2607"/>
      <c r="I222" s="2611"/>
      <c r="J222" s="2611"/>
      <c r="K222" s="2611"/>
      <c r="L222" s="1317"/>
      <c r="N222" s="2609"/>
      <c r="O222" s="2609"/>
      <c r="P222" s="2609"/>
      <c r="Q222" s="2609"/>
      <c r="R222" s="2609"/>
      <c r="T222" s="2610"/>
      <c r="U222" s="2610"/>
      <c r="V222" s="2610"/>
      <c r="W222" s="2610"/>
      <c r="X222" s="2610"/>
      <c r="Y222" s="2610"/>
      <c r="Z222" s="1316"/>
      <c r="AA222" s="1316"/>
      <c r="AB222" s="2606">
        <f t="shared" si="0"/>
        <v>0</v>
      </c>
      <c r="AC222" s="2606"/>
      <c r="AD222" s="2606"/>
      <c r="AE222" s="2606"/>
      <c r="AF222" s="2606"/>
      <c r="AG222" s="2606"/>
      <c r="AH222" s="1286"/>
      <c r="AI222" s="1286"/>
      <c r="AJ222" s="1286"/>
      <c r="AK222" s="1273"/>
    </row>
    <row r="223" spans="1:37">
      <c r="A223" s="1581"/>
      <c r="B223" s="1085"/>
      <c r="C223" s="1315"/>
      <c r="D223" s="1085"/>
      <c r="K223" s="1213"/>
      <c r="L223" s="1213"/>
      <c r="M223" s="1213"/>
      <c r="N223" s="1213"/>
      <c r="O223" s="1213"/>
      <c r="P223" s="1213"/>
      <c r="Q223" s="1213"/>
      <c r="R223" s="1213"/>
      <c r="S223" s="1213"/>
      <c r="T223" s="1213"/>
      <c r="U223" s="1213"/>
      <c r="V223" s="1213"/>
      <c r="W223" s="1213"/>
      <c r="X223" s="1213"/>
      <c r="Y223" s="1578" t="s">
        <v>1805</v>
      </c>
      <c r="AA223" s="1578"/>
      <c r="AB223" s="2598">
        <f>SUM(AB213:AB222)</f>
        <v>0</v>
      </c>
      <c r="AC223" s="2598"/>
      <c r="AD223" s="2598"/>
      <c r="AE223" s="2598"/>
      <c r="AF223" s="2598"/>
      <c r="AG223" s="2598"/>
      <c r="AH223" s="1286"/>
      <c r="AI223" s="1286"/>
      <c r="AJ223" s="1286"/>
      <c r="AK223" s="1273"/>
    </row>
    <row r="224" spans="1:37">
      <c r="A224" s="1581"/>
      <c r="B224" s="1581"/>
      <c r="C224" s="1285"/>
      <c r="D224" s="1286"/>
      <c r="E224" s="1286"/>
      <c r="F224" s="1286"/>
      <c r="G224" s="1286"/>
      <c r="H224" s="1286"/>
      <c r="I224" s="1286"/>
      <c r="J224" s="1286"/>
      <c r="K224" s="1226"/>
      <c r="L224" s="1226"/>
      <c r="M224" s="1226"/>
      <c r="N224" s="1226"/>
      <c r="O224" s="1226"/>
      <c r="P224" s="1226"/>
      <c r="Q224" s="1226"/>
      <c r="R224" s="1226"/>
      <c r="S224" s="1226"/>
      <c r="T224" s="1226"/>
      <c r="U224" s="1226"/>
      <c r="V224" s="1226"/>
      <c r="W224" s="1226"/>
      <c r="X224" s="1226"/>
      <c r="Y224" s="1556"/>
      <c r="Z224" s="1556"/>
      <c r="AA224" s="1556"/>
      <c r="AB224" s="1556"/>
      <c r="AC224" s="1226"/>
      <c r="AD224" s="1226"/>
      <c r="AE224" s="1273"/>
      <c r="AF224" s="1273"/>
      <c r="AG224" s="1273"/>
      <c r="AH224" s="1273"/>
      <c r="AI224" s="1273"/>
      <c r="AJ224" s="1273"/>
      <c r="AK224" s="1273"/>
    </row>
    <row r="225" spans="1:37">
      <c r="A225" s="1318" t="s">
        <v>1795</v>
      </c>
      <c r="C225" s="1285"/>
      <c r="D225" s="1286"/>
      <c r="E225" s="1286"/>
      <c r="F225" s="1286"/>
      <c r="G225" s="1286"/>
      <c r="H225" s="1286"/>
      <c r="I225" s="1286"/>
      <c r="J225" s="1286"/>
      <c r="K225" s="1213"/>
      <c r="L225" s="1213"/>
      <c r="M225" s="1213"/>
      <c r="N225" s="1213"/>
      <c r="O225" s="1213"/>
      <c r="P225" s="1213"/>
      <c r="Q225" s="1213"/>
      <c r="R225" s="1213"/>
      <c r="S225" s="1213"/>
      <c r="T225" s="1213"/>
      <c r="U225" s="1213"/>
      <c r="V225" s="1213"/>
      <c r="W225" s="1213"/>
      <c r="X225" s="1213"/>
      <c r="Y225" s="1556"/>
      <c r="Z225" s="1556"/>
      <c r="AA225" s="1556"/>
      <c r="AB225" s="1556"/>
      <c r="AC225" s="1213"/>
      <c r="AD225" s="1213"/>
      <c r="AE225" s="1273"/>
      <c r="AF225" s="1273"/>
      <c r="AG225" s="1273"/>
      <c r="AH225" s="1273"/>
      <c r="AI225" s="1273"/>
      <c r="AJ225" s="1273"/>
      <c r="AK225" s="1273"/>
    </row>
    <row r="226" spans="1:37">
      <c r="A226" s="1581"/>
      <c r="B226" s="1085" t="s">
        <v>1823</v>
      </c>
      <c r="C226" s="1285"/>
      <c r="D226" s="1286"/>
      <c r="E226" s="1286"/>
      <c r="F226" s="1286"/>
      <c r="G226" s="1286"/>
      <c r="H226" s="1286"/>
      <c r="I226" s="1286"/>
      <c r="J226" s="1286"/>
      <c r="K226" s="1213"/>
      <c r="L226" s="1213"/>
      <c r="M226" s="1213"/>
      <c r="N226" s="1213"/>
      <c r="O226" s="1213"/>
      <c r="P226" s="1213"/>
      <c r="Q226" s="1213"/>
      <c r="R226" s="1213"/>
      <c r="S226" s="1213"/>
      <c r="T226" s="1213"/>
      <c r="U226" s="1213"/>
      <c r="V226" s="1213"/>
      <c r="W226" s="1213"/>
      <c r="X226" s="1213"/>
      <c r="Y226" s="1556"/>
      <c r="Z226" s="1556"/>
      <c r="AA226" s="1556"/>
      <c r="AB226" s="1556"/>
      <c r="AC226" s="1213"/>
      <c r="AD226" s="1213"/>
      <c r="AE226" s="1273"/>
      <c r="AF226" s="1273"/>
      <c r="AG226" s="1273"/>
      <c r="AH226" s="1273"/>
      <c r="AI226" s="1273"/>
      <c r="AJ226" s="1273"/>
      <c r="AK226" s="1273"/>
    </row>
    <row r="227" spans="1:37">
      <c r="A227" s="1581"/>
      <c r="B227" s="1085"/>
      <c r="C227" s="1285"/>
      <c r="D227" s="1286"/>
      <c r="E227" s="1286"/>
      <c r="F227" s="1286"/>
      <c r="G227" s="1286"/>
      <c r="H227" s="1286"/>
      <c r="I227" s="1286"/>
      <c r="J227" s="1286"/>
      <c r="K227" s="1213"/>
      <c r="L227" s="1213"/>
      <c r="M227" s="1213"/>
      <c r="N227" s="1213"/>
      <c r="O227" s="1213"/>
      <c r="P227" s="1213"/>
      <c r="Q227" s="1213"/>
      <c r="R227" s="1213"/>
      <c r="S227" s="1213"/>
      <c r="T227" s="1213"/>
      <c r="U227" s="1213"/>
      <c r="V227" s="1213"/>
      <c r="W227" s="1213"/>
      <c r="X227" s="1213"/>
      <c r="Y227" s="1556"/>
      <c r="Z227" s="1556"/>
      <c r="AA227" s="1556"/>
      <c r="AB227" s="1556"/>
      <c r="AC227" s="1213"/>
      <c r="AD227" s="1213"/>
      <c r="AE227" s="1273"/>
      <c r="AF227" s="1273"/>
      <c r="AG227" s="1273"/>
      <c r="AH227" s="1273"/>
      <c r="AI227" s="1273"/>
      <c r="AJ227" s="1273"/>
      <c r="AK227" s="1273"/>
    </row>
    <row r="228" spans="1:37">
      <c r="A228" s="1581"/>
      <c r="B228" s="1319" t="s">
        <v>1821</v>
      </c>
      <c r="C228" s="1285"/>
      <c r="D228" s="1286"/>
      <c r="E228" s="1286"/>
      <c r="F228" s="1286"/>
      <c r="G228" s="1286"/>
      <c r="H228" s="1286"/>
      <c r="I228" s="1286"/>
      <c r="J228" s="1286"/>
      <c r="K228" s="1213"/>
      <c r="L228" s="1213"/>
      <c r="M228" s="1213"/>
      <c r="N228" s="1213"/>
      <c r="O228" s="1213"/>
      <c r="P228" s="1213"/>
      <c r="Q228" s="1213"/>
      <c r="R228" s="1213"/>
      <c r="S228" s="1213"/>
      <c r="T228" s="1213"/>
      <c r="U228" s="1213"/>
      <c r="V228" s="1213"/>
      <c r="W228" s="1213"/>
      <c r="X228" s="1213"/>
      <c r="Y228" s="1556"/>
      <c r="Z228" s="1556"/>
      <c r="AA228" s="1556"/>
      <c r="AB228" s="1556"/>
      <c r="AC228" s="1213"/>
      <c r="AD228" s="1213"/>
      <c r="AE228" s="1273"/>
      <c r="AF228" s="1273"/>
      <c r="AG228" s="1273"/>
      <c r="AH228" s="1273"/>
      <c r="AI228" s="1273"/>
      <c r="AJ228" s="1273"/>
      <c r="AK228" s="1273"/>
    </row>
    <row r="229" spans="1:37">
      <c r="A229" s="1581"/>
      <c r="B229" s="1319" t="s">
        <v>1815</v>
      </c>
      <c r="C229" s="1285"/>
      <c r="D229" s="1286"/>
      <c r="E229" s="1286"/>
      <c r="F229" s="1286"/>
      <c r="G229" s="1286"/>
      <c r="H229" s="1286"/>
      <c r="I229" s="1286"/>
      <c r="J229" s="1286"/>
      <c r="K229" s="1213"/>
      <c r="L229" s="1213"/>
      <c r="M229" s="1213"/>
      <c r="N229" s="1213"/>
      <c r="O229" s="1213"/>
      <c r="P229" s="1213"/>
      <c r="Q229" s="1213"/>
      <c r="R229" s="1213"/>
      <c r="S229" s="1213"/>
      <c r="T229" s="1213"/>
      <c r="U229" s="1213"/>
      <c r="V229" s="1213"/>
      <c r="W229" s="1213"/>
      <c r="X229" s="1213"/>
      <c r="Y229" s="1556"/>
      <c r="Z229" s="1556"/>
      <c r="AA229" s="1556"/>
      <c r="AB229" s="2603"/>
      <c r="AC229" s="2603"/>
      <c r="AD229" s="2603"/>
      <c r="AE229" s="2603"/>
      <c r="AF229" s="2603"/>
      <c r="AG229" s="2603"/>
      <c r="AH229" s="1273"/>
      <c r="AI229" s="1273"/>
      <c r="AJ229" s="1273"/>
      <c r="AK229" s="1273"/>
    </row>
    <row r="230" spans="1:37">
      <c r="A230" s="1581"/>
      <c r="B230" s="1320" t="s">
        <v>1820</v>
      </c>
      <c r="C230" s="1278"/>
      <c r="D230" s="1321"/>
      <c r="E230" s="1286"/>
      <c r="F230" s="1286"/>
      <c r="G230" s="1286"/>
      <c r="H230" s="1286"/>
      <c r="I230" s="1286"/>
      <c r="J230" s="1286"/>
      <c r="K230" s="1213"/>
      <c r="L230" s="1213"/>
      <c r="M230" s="1213"/>
      <c r="N230" s="1213"/>
      <c r="O230" s="1213"/>
      <c r="P230" s="1213"/>
      <c r="Q230" s="1213"/>
      <c r="R230" s="1213"/>
      <c r="S230" s="1213"/>
      <c r="T230" s="1213"/>
      <c r="U230" s="1213"/>
      <c r="V230" s="1213"/>
      <c r="W230" s="1213"/>
      <c r="X230" s="1213"/>
      <c r="Y230" s="1556"/>
      <c r="Z230" s="1556"/>
      <c r="AA230" s="1556"/>
      <c r="AB230" s="1556"/>
      <c r="AC230" s="1213"/>
      <c r="AD230" s="1213"/>
      <c r="AE230" s="1273"/>
      <c r="AF230" s="1273"/>
      <c r="AG230" s="1273"/>
      <c r="AH230" s="1273"/>
      <c r="AI230" s="1273"/>
      <c r="AJ230" s="1273"/>
      <c r="AK230" s="1273"/>
    </row>
    <row r="231" spans="1:37">
      <c r="A231" s="1581"/>
      <c r="B231" s="1322" t="s">
        <v>1822</v>
      </c>
      <c r="C231" s="1285"/>
      <c r="D231" s="1286"/>
      <c r="E231" s="1286"/>
      <c r="F231" s="1286"/>
      <c r="G231" s="1286"/>
      <c r="H231" s="1286"/>
      <c r="I231" s="1286"/>
      <c r="J231" s="1286"/>
      <c r="K231" s="1213"/>
      <c r="L231" s="1213"/>
      <c r="M231" s="1213"/>
      <c r="N231" s="1213"/>
      <c r="O231" s="1213"/>
      <c r="P231" s="1213"/>
      <c r="Q231" s="1213"/>
      <c r="R231" s="1213"/>
      <c r="S231" s="1213"/>
      <c r="T231" s="1213"/>
      <c r="U231" s="1213"/>
      <c r="V231" s="1213"/>
      <c r="W231" s="1213"/>
      <c r="X231" s="1213"/>
      <c r="Y231" s="1556"/>
      <c r="Z231" s="1556"/>
      <c r="AA231" s="1556"/>
      <c r="AB231" s="1556"/>
      <c r="AC231" s="1213"/>
      <c r="AD231" s="1213"/>
      <c r="AE231" s="1273"/>
      <c r="AF231" s="1273"/>
      <c r="AG231" s="1273"/>
      <c r="AH231" s="1273"/>
      <c r="AI231" s="1273"/>
      <c r="AJ231" s="1273"/>
      <c r="AK231" s="1273"/>
    </row>
    <row r="232" spans="1:37">
      <c r="A232" s="1581"/>
      <c r="B232" s="1322" t="s">
        <v>1816</v>
      </c>
      <c r="C232" s="1285"/>
      <c r="D232" s="1286"/>
      <c r="E232" s="1286"/>
      <c r="F232" s="1286"/>
      <c r="G232" s="1286"/>
      <c r="H232" s="1286"/>
      <c r="I232" s="1286"/>
      <c r="J232" s="1286"/>
      <c r="K232" s="1213"/>
      <c r="L232" s="1213"/>
      <c r="M232" s="1213"/>
      <c r="N232" s="1213"/>
      <c r="O232" s="1213"/>
      <c r="P232" s="1213"/>
      <c r="Q232" s="1213"/>
      <c r="R232" s="1213"/>
      <c r="S232" s="1213"/>
      <c r="T232" s="1213"/>
      <c r="U232" s="1213"/>
      <c r="V232" s="1213"/>
      <c r="W232" s="1213"/>
      <c r="X232" s="1213"/>
      <c r="Y232" s="1556"/>
      <c r="Z232" s="1556"/>
      <c r="AA232" s="1556"/>
      <c r="AB232" s="2603"/>
      <c r="AC232" s="2603"/>
      <c r="AD232" s="2603"/>
      <c r="AE232" s="2603"/>
      <c r="AF232" s="2603"/>
      <c r="AG232" s="2603"/>
      <c r="AH232" s="1273"/>
      <c r="AI232" s="1273"/>
      <c r="AJ232" s="1273"/>
      <c r="AK232" s="1273"/>
    </row>
    <row r="233" spans="1:37">
      <c r="A233" s="1581"/>
      <c r="B233" s="1322" t="s">
        <v>1817</v>
      </c>
      <c r="C233" s="1285"/>
      <c r="D233" s="1286"/>
      <c r="E233" s="1286"/>
      <c r="F233" s="1286"/>
      <c r="G233" s="1286"/>
      <c r="H233" s="1286"/>
      <c r="I233" s="1286"/>
      <c r="J233" s="1286"/>
      <c r="K233" s="1213"/>
      <c r="L233" s="1213"/>
      <c r="M233" s="1213"/>
      <c r="N233" s="1213"/>
      <c r="O233" s="1213"/>
      <c r="P233" s="1213"/>
      <c r="Q233" s="1213"/>
      <c r="R233" s="1213"/>
      <c r="S233" s="1213"/>
      <c r="T233" s="1213"/>
      <c r="U233" s="1213"/>
      <c r="V233" s="1213"/>
      <c r="W233" s="1213"/>
      <c r="X233" s="1213"/>
      <c r="Y233" s="1556"/>
      <c r="Z233" s="1556"/>
      <c r="AA233" s="1556"/>
      <c r="AB233" s="2604"/>
      <c r="AC233" s="2604"/>
      <c r="AD233" s="2604"/>
      <c r="AE233" s="2604"/>
      <c r="AF233" s="2604"/>
      <c r="AG233" s="2604"/>
      <c r="AH233" s="1273"/>
      <c r="AI233" s="1273"/>
      <c r="AJ233" s="1273"/>
      <c r="AK233" s="1273"/>
    </row>
    <row r="234" spans="1:37">
      <c r="A234" s="1581"/>
      <c r="B234" s="1322" t="s">
        <v>1818</v>
      </c>
      <c r="C234" s="1285"/>
      <c r="D234" s="1286"/>
      <c r="E234" s="1286"/>
      <c r="F234" s="1286"/>
      <c r="G234" s="1286"/>
      <c r="H234" s="1286"/>
      <c r="I234" s="1286"/>
      <c r="J234" s="1286"/>
      <c r="K234" s="1213"/>
      <c r="L234" s="1213"/>
      <c r="M234" s="1213"/>
      <c r="N234" s="1213"/>
      <c r="O234" s="1213"/>
      <c r="P234" s="1213"/>
      <c r="Q234" s="1213"/>
      <c r="R234" s="1213"/>
      <c r="S234" s="1213"/>
      <c r="T234" s="1213"/>
      <c r="U234" s="1213"/>
      <c r="V234" s="1213"/>
      <c r="W234" s="1213"/>
      <c r="X234" s="1213"/>
      <c r="Y234" s="1556"/>
      <c r="Z234" s="1556"/>
      <c r="AA234" s="1556"/>
      <c r="AB234" s="2605">
        <f>IFERROR(AB232/AB233,0)</f>
        <v>0</v>
      </c>
      <c r="AC234" s="2605"/>
      <c r="AD234" s="2605"/>
      <c r="AE234" s="2605"/>
      <c r="AF234" s="2605"/>
      <c r="AG234" s="2605"/>
      <c r="AH234" s="1273"/>
      <c r="AI234" s="1273"/>
      <c r="AJ234" s="1273"/>
      <c r="AK234" s="1273"/>
    </row>
    <row r="235" spans="1:37">
      <c r="A235" s="1581"/>
      <c r="B235" s="1085"/>
      <c r="C235" s="1285"/>
      <c r="D235" s="1286"/>
      <c r="E235" s="1286"/>
      <c r="F235" s="1286"/>
      <c r="G235" s="1286"/>
      <c r="H235" s="1286"/>
      <c r="I235" s="1286"/>
      <c r="J235" s="1286"/>
      <c r="K235" s="1213"/>
      <c r="L235" s="1213"/>
      <c r="M235" s="1213"/>
      <c r="N235" s="1213"/>
      <c r="O235" s="1213"/>
      <c r="P235" s="1213"/>
      <c r="Q235" s="1213"/>
      <c r="R235" s="1213"/>
      <c r="S235" s="1213"/>
      <c r="T235" s="1213"/>
      <c r="U235" s="1213"/>
      <c r="V235" s="1213"/>
      <c r="W235" s="1213"/>
      <c r="X235" s="1213"/>
      <c r="Y235" s="1556"/>
      <c r="Z235" s="1556"/>
      <c r="AA235" s="1556"/>
      <c r="AB235" s="1556"/>
      <c r="AC235" s="1213"/>
      <c r="AD235" s="1213"/>
      <c r="AE235" s="1273"/>
      <c r="AF235" s="1273"/>
      <c r="AG235" s="1273"/>
      <c r="AH235" s="1273"/>
      <c r="AI235" s="1273"/>
      <c r="AJ235" s="1273"/>
      <c r="AK235" s="1273"/>
    </row>
    <row r="236" spans="1:37">
      <c r="A236" s="1581"/>
      <c r="B236" s="1085" t="s">
        <v>1819</v>
      </c>
      <c r="C236" s="1285"/>
      <c r="D236" s="1286"/>
      <c r="E236" s="1286"/>
      <c r="F236" s="1286"/>
      <c r="G236" s="1286"/>
      <c r="H236" s="1286"/>
      <c r="I236" s="1286"/>
      <c r="J236" s="1286"/>
      <c r="K236" s="1213"/>
      <c r="L236" s="1213"/>
      <c r="M236" s="1213"/>
      <c r="N236" s="1213"/>
      <c r="O236" s="1213"/>
      <c r="P236" s="1213"/>
      <c r="Q236" s="1213"/>
      <c r="R236" s="1213"/>
      <c r="S236" s="1213"/>
      <c r="T236" s="1213"/>
      <c r="U236" s="1213"/>
      <c r="V236" s="1213"/>
      <c r="W236" s="1213"/>
      <c r="X236" s="1213"/>
      <c r="Y236" s="1556"/>
      <c r="Z236" s="1556"/>
      <c r="AA236" s="1556"/>
      <c r="AB236" s="2606">
        <f>MAX(AB229,AB234)</f>
        <v>0</v>
      </c>
      <c r="AC236" s="2606"/>
      <c r="AD236" s="2606"/>
      <c r="AE236" s="2606"/>
      <c r="AF236" s="2606"/>
      <c r="AG236" s="2606"/>
      <c r="AH236" s="1273"/>
      <c r="AI236" s="1273"/>
      <c r="AJ236" s="1273"/>
      <c r="AK236" s="1273"/>
    </row>
    <row r="237" spans="1:37">
      <c r="A237" s="1581"/>
      <c r="B237" s="1085"/>
      <c r="C237" s="1285"/>
      <c r="D237" s="1286"/>
      <c r="E237" s="1286"/>
      <c r="F237" s="1286"/>
      <c r="G237" s="1286"/>
      <c r="H237" s="1286"/>
      <c r="I237" s="1286"/>
      <c r="J237" s="1286"/>
      <c r="K237" s="1213"/>
      <c r="L237" s="1213"/>
      <c r="M237" s="1213"/>
      <c r="N237" s="1213"/>
      <c r="O237" s="1213"/>
      <c r="P237" s="1213"/>
      <c r="Q237" s="1213"/>
      <c r="R237" s="1213"/>
      <c r="S237" s="1213"/>
      <c r="T237" s="1213"/>
      <c r="U237" s="1213"/>
      <c r="V237" s="1213"/>
      <c r="W237" s="1213"/>
      <c r="X237" s="1213"/>
      <c r="Y237" s="1556"/>
      <c r="Z237" s="1556"/>
      <c r="AA237" s="1556"/>
      <c r="AB237" s="1556"/>
      <c r="AC237" s="1213"/>
      <c r="AD237" s="1213"/>
      <c r="AE237" s="1273"/>
      <c r="AF237" s="1273"/>
      <c r="AG237" s="1273"/>
      <c r="AH237" s="1273"/>
      <c r="AI237" s="1273"/>
      <c r="AJ237" s="1273"/>
      <c r="AK237" s="1273"/>
    </row>
    <row r="238" spans="1:37">
      <c r="A238" s="1581"/>
      <c r="B238" s="1085"/>
      <c r="C238" s="1285"/>
      <c r="D238" s="1286"/>
      <c r="E238" s="1286"/>
      <c r="F238" s="1286"/>
      <c r="G238" s="1286"/>
      <c r="H238" s="1286"/>
      <c r="I238" s="1286"/>
      <c r="J238" s="1286"/>
      <c r="K238" s="1213"/>
      <c r="L238" s="1213"/>
      <c r="M238" s="1213"/>
      <c r="N238" s="1213"/>
      <c r="O238" s="1213"/>
      <c r="P238" s="1213"/>
      <c r="Q238" s="1213"/>
      <c r="R238" s="1213"/>
      <c r="S238" s="1213"/>
      <c r="T238" s="1213"/>
      <c r="U238" s="1213"/>
      <c r="V238" s="1213"/>
      <c r="W238" s="1213"/>
      <c r="X238" s="1213"/>
      <c r="Y238" s="1556"/>
      <c r="Z238" s="1556"/>
      <c r="AA238" s="1556"/>
      <c r="AB238" s="1556"/>
      <c r="AC238" s="1213"/>
      <c r="AD238" s="1213"/>
      <c r="AE238" s="1273"/>
      <c r="AF238" s="1273"/>
      <c r="AG238" s="1273"/>
      <c r="AH238" s="1273"/>
      <c r="AI238" s="1273"/>
      <c r="AJ238" s="1273"/>
      <c r="AK238" s="1273"/>
    </row>
    <row r="239" spans="1:37">
      <c r="A239" s="1581"/>
      <c r="B239" s="1085" t="s">
        <v>1808</v>
      </c>
      <c r="C239" s="1285"/>
      <c r="D239" s="1286"/>
      <c r="E239" s="1286"/>
      <c r="F239" s="1286"/>
      <c r="G239" s="1286"/>
      <c r="H239" s="1286"/>
      <c r="I239" s="1286"/>
      <c r="J239" s="1286"/>
      <c r="K239" s="1213"/>
      <c r="L239" s="1213"/>
      <c r="M239" s="1213"/>
      <c r="N239" s="1213"/>
      <c r="O239" s="1213"/>
      <c r="P239" s="1213"/>
      <c r="Q239" s="1213"/>
      <c r="R239" s="1213"/>
      <c r="S239" s="1213"/>
      <c r="U239" s="1323"/>
      <c r="V239" s="1323"/>
      <c r="W239" s="1323"/>
      <c r="X239" s="1323"/>
      <c r="Y239" s="1323"/>
      <c r="Z239" s="1556"/>
      <c r="AA239" s="1556"/>
      <c r="AB239" s="2598">
        <f>AB223+AB236</f>
        <v>0</v>
      </c>
      <c r="AC239" s="2598"/>
      <c r="AD239" s="2598"/>
      <c r="AE239" s="2598"/>
      <c r="AF239" s="2598"/>
      <c r="AG239" s="2598"/>
      <c r="AH239" s="1273"/>
      <c r="AI239" s="1273"/>
      <c r="AJ239" s="1273"/>
      <c r="AK239" s="1273"/>
    </row>
    <row r="240" spans="1:37">
      <c r="A240" s="1581"/>
      <c r="B240" s="1085" t="s">
        <v>882</v>
      </c>
      <c r="C240" s="1285"/>
      <c r="D240" s="1286"/>
      <c r="E240" s="1286"/>
      <c r="F240" s="1286"/>
      <c r="G240" s="1286"/>
      <c r="H240" s="1286"/>
      <c r="I240" s="1286"/>
      <c r="J240" s="1286"/>
      <c r="K240" s="1213"/>
      <c r="L240" s="1213"/>
      <c r="M240" s="1213"/>
      <c r="N240" s="1213"/>
      <c r="O240" s="1213"/>
      <c r="P240" s="1213"/>
      <c r="Q240" s="1213"/>
      <c r="R240" s="1213"/>
      <c r="S240" s="1213"/>
      <c r="U240" s="1324"/>
      <c r="V240" s="1324"/>
      <c r="W240" s="1324"/>
      <c r="X240" s="1324"/>
      <c r="Y240" s="1324"/>
      <c r="Z240" s="1556"/>
      <c r="AA240" s="1556"/>
      <c r="AB240" s="2599">
        <v>0.05</v>
      </c>
      <c r="AC240" s="2599"/>
      <c r="AD240" s="2599"/>
      <c r="AE240" s="2599"/>
      <c r="AF240" s="2599"/>
      <c r="AG240" s="2599"/>
      <c r="AH240" s="1273"/>
      <c r="AI240" s="1273"/>
      <c r="AJ240" s="1273"/>
      <c r="AK240" s="1273"/>
    </row>
    <row r="241" spans="1:37">
      <c r="A241" s="1581"/>
      <c r="B241" s="1085" t="s">
        <v>1809</v>
      </c>
      <c r="C241" s="1285"/>
      <c r="D241" s="1286"/>
      <c r="E241" s="1286"/>
      <c r="F241" s="1286"/>
      <c r="G241" s="1286"/>
      <c r="H241" s="1286"/>
      <c r="I241" s="1286"/>
      <c r="J241" s="1286"/>
      <c r="K241" s="1213"/>
      <c r="L241" s="1213"/>
      <c r="M241" s="1213"/>
      <c r="N241" s="1213"/>
      <c r="O241" s="1213"/>
      <c r="P241" s="1213"/>
      <c r="Q241" s="1213"/>
      <c r="R241" s="1213"/>
      <c r="S241" s="1213"/>
      <c r="U241" s="1323"/>
      <c r="V241" s="1323"/>
      <c r="W241" s="1323"/>
      <c r="X241" s="1323"/>
      <c r="Y241" s="1323"/>
      <c r="Z241" s="1556"/>
      <c r="AA241" s="1556"/>
      <c r="AB241" s="2600">
        <f>AB239-(AB239*AB240)</f>
        <v>0</v>
      </c>
      <c r="AC241" s="2600"/>
      <c r="AD241" s="2600"/>
      <c r="AE241" s="2600"/>
      <c r="AF241" s="2600"/>
      <c r="AG241" s="2600"/>
      <c r="AH241" s="1273"/>
      <c r="AI241" s="1273"/>
      <c r="AJ241" s="1273"/>
      <c r="AK241" s="1273"/>
    </row>
    <row r="242" spans="1:37">
      <c r="A242" s="1581"/>
      <c r="B242" s="1085" t="s">
        <v>1810</v>
      </c>
      <c r="C242" s="1285"/>
      <c r="D242" s="1286"/>
      <c r="E242" s="1286"/>
      <c r="F242" s="1286"/>
      <c r="G242" s="1286"/>
      <c r="H242" s="1286"/>
      <c r="I242" s="1286"/>
      <c r="J242" s="1286"/>
      <c r="K242" s="1213"/>
      <c r="L242" s="1213"/>
      <c r="M242" s="1213"/>
      <c r="N242" s="1213"/>
      <c r="O242" s="1213"/>
      <c r="P242" s="1213"/>
      <c r="Q242" s="1213"/>
      <c r="R242" s="1213"/>
      <c r="S242" s="1213"/>
      <c r="U242" s="1213"/>
      <c r="V242" s="1213"/>
      <c r="W242" s="1213"/>
      <c r="X242" s="1213"/>
      <c r="Y242" s="1579"/>
      <c r="Z242" s="1556"/>
      <c r="AA242" s="1556"/>
      <c r="AB242" s="1213"/>
      <c r="AC242" s="1213"/>
      <c r="AD242" s="1213"/>
      <c r="AE242" s="1273"/>
      <c r="AF242" s="1273"/>
      <c r="AG242" s="1273"/>
      <c r="AH242" s="1273"/>
      <c r="AI242" s="1273"/>
      <c r="AJ242" s="1273"/>
      <c r="AK242" s="1273"/>
    </row>
    <row r="243" spans="1:37">
      <c r="A243" s="1581"/>
      <c r="B243" s="1085" t="s">
        <v>1811</v>
      </c>
      <c r="C243" s="1285"/>
      <c r="D243" s="1286"/>
      <c r="E243" s="1286"/>
      <c r="F243" s="1286"/>
      <c r="G243" s="1286"/>
      <c r="H243" s="1286"/>
      <c r="I243" s="1286"/>
      <c r="J243" s="1286"/>
      <c r="K243" s="1213"/>
      <c r="L243" s="1213"/>
      <c r="M243" s="1213"/>
      <c r="N243" s="1213"/>
      <c r="O243" s="1213"/>
      <c r="P243" s="1213"/>
      <c r="Q243" s="1213"/>
      <c r="R243" s="1213"/>
      <c r="S243" s="1213"/>
      <c r="U243" s="1323"/>
      <c r="V243" s="1323"/>
      <c r="W243" s="1323"/>
      <c r="X243" s="1323"/>
      <c r="Y243" s="1323"/>
      <c r="Z243" s="1556"/>
      <c r="AA243" s="1556"/>
      <c r="AB243" s="2598">
        <f>AB241/AB247</f>
        <v>0</v>
      </c>
      <c r="AC243" s="2598"/>
      <c r="AD243" s="2598"/>
      <c r="AE243" s="2598"/>
      <c r="AF243" s="2598"/>
      <c r="AG243" s="2598"/>
      <c r="AH243" s="1273"/>
      <c r="AI243" s="1273"/>
      <c r="AJ243" s="1273"/>
      <c r="AK243" s="1273"/>
    </row>
    <row r="244" spans="1:37">
      <c r="A244" s="1581"/>
      <c r="B244" s="1085"/>
      <c r="C244" s="1285"/>
      <c r="D244" s="1286"/>
      <c r="E244" s="1286"/>
      <c r="F244" s="1286"/>
      <c r="G244" s="1286"/>
      <c r="H244" s="1286"/>
      <c r="I244" s="1286"/>
      <c r="J244" s="1286"/>
      <c r="K244" s="1213"/>
      <c r="L244" s="1213"/>
      <c r="M244" s="1213"/>
      <c r="N244" s="1213"/>
      <c r="O244" s="1213"/>
      <c r="P244" s="1213"/>
      <c r="Q244" s="1213"/>
      <c r="R244" s="1213"/>
      <c r="S244" s="1213"/>
      <c r="U244" s="1213"/>
      <c r="V244" s="1213"/>
      <c r="W244" s="1213"/>
      <c r="X244" s="1213"/>
      <c r="Y244" s="1085"/>
      <c r="Z244" s="1556"/>
      <c r="AA244" s="1556"/>
      <c r="AB244" s="1213"/>
      <c r="AC244" s="1213"/>
      <c r="AD244" s="1213"/>
      <c r="AE244" s="1273"/>
      <c r="AF244" s="1273"/>
      <c r="AG244" s="1273"/>
      <c r="AH244" s="1273"/>
      <c r="AI244" s="1273"/>
      <c r="AJ244" s="1273"/>
      <c r="AK244" s="1273"/>
    </row>
    <row r="245" spans="1:37">
      <c r="A245" s="1581"/>
      <c r="B245" s="1085" t="s">
        <v>1812</v>
      </c>
      <c r="C245" s="1285"/>
      <c r="D245" s="1286"/>
      <c r="E245" s="1286"/>
      <c r="F245" s="1286"/>
      <c r="G245" s="1286"/>
      <c r="H245" s="1286"/>
      <c r="I245" s="1286"/>
      <c r="J245" s="1286"/>
      <c r="K245" s="1213"/>
      <c r="L245" s="1213"/>
      <c r="M245" s="1213"/>
      <c r="N245" s="1213"/>
      <c r="O245" s="1213"/>
      <c r="P245" s="1213"/>
      <c r="Q245" s="1213"/>
      <c r="R245" s="1213"/>
      <c r="S245" s="1213"/>
      <c r="U245" s="1085"/>
      <c r="V245" s="1085"/>
      <c r="W245" s="1085"/>
      <c r="X245" s="1085"/>
      <c r="Y245" s="1085"/>
      <c r="Z245" s="1556"/>
      <c r="AA245" s="1556"/>
      <c r="AB245" s="2601">
        <v>15</v>
      </c>
      <c r="AC245" s="2601"/>
      <c r="AD245" s="2601"/>
      <c r="AE245" s="2601"/>
      <c r="AF245" s="2601"/>
      <c r="AG245" s="2601"/>
      <c r="AH245" s="1273"/>
      <c r="AI245" s="1273"/>
      <c r="AJ245" s="1273"/>
      <c r="AK245" s="1273"/>
    </row>
    <row r="246" spans="1:37">
      <c r="A246" s="1581"/>
      <c r="B246" s="1085" t="s">
        <v>1813</v>
      </c>
      <c r="C246" s="1285"/>
      <c r="D246" s="1286"/>
      <c r="E246" s="1286"/>
      <c r="F246" s="1286"/>
      <c r="G246" s="1286"/>
      <c r="H246" s="1286"/>
      <c r="I246" s="1286"/>
      <c r="J246" s="1286"/>
      <c r="K246" s="1213"/>
      <c r="L246" s="1213"/>
      <c r="M246" s="1213"/>
      <c r="N246" s="1213"/>
      <c r="O246" s="1213"/>
      <c r="P246" s="1213"/>
      <c r="Q246" s="1213"/>
      <c r="R246" s="1213"/>
      <c r="S246" s="1213"/>
      <c r="U246" s="1324"/>
      <c r="V246" s="1324"/>
      <c r="W246" s="1324"/>
      <c r="X246" s="1324"/>
      <c r="Y246" s="1324"/>
      <c r="Z246" s="1556"/>
      <c r="AA246" s="1556"/>
      <c r="AB246" s="2602">
        <v>0.04</v>
      </c>
      <c r="AC246" s="2602"/>
      <c r="AD246" s="2602"/>
      <c r="AE246" s="2602"/>
      <c r="AF246" s="2602"/>
      <c r="AG246" s="2602"/>
      <c r="AH246" s="1273"/>
      <c r="AI246" s="1273"/>
      <c r="AJ246" s="1273"/>
      <c r="AK246" s="1273"/>
    </row>
    <row r="247" spans="1:37">
      <c r="A247" s="1581"/>
      <c r="B247" s="1085" t="s">
        <v>894</v>
      </c>
      <c r="C247" s="1285"/>
      <c r="D247" s="1286"/>
      <c r="E247" s="1286"/>
      <c r="F247" s="1286"/>
      <c r="G247" s="1286"/>
      <c r="H247" s="1286"/>
      <c r="I247" s="1286"/>
      <c r="J247" s="1286"/>
      <c r="K247" s="1213"/>
      <c r="L247" s="1213"/>
      <c r="M247" s="1213"/>
      <c r="N247" s="1213"/>
      <c r="O247" s="1213"/>
      <c r="P247" s="1213"/>
      <c r="Q247" s="1213"/>
      <c r="R247" s="1213"/>
      <c r="S247" s="1213"/>
      <c r="U247" s="1325"/>
      <c r="V247" s="1325"/>
      <c r="W247" s="1325"/>
      <c r="X247" s="1325"/>
      <c r="Y247" s="1325"/>
      <c r="Z247" s="1556"/>
      <c r="AA247" s="1556"/>
      <c r="AB247" s="2590">
        <v>1.1499999999999999</v>
      </c>
      <c r="AC247" s="2590"/>
      <c r="AD247" s="2590"/>
      <c r="AE247" s="2590"/>
      <c r="AF247" s="2590"/>
      <c r="AG247" s="2590"/>
      <c r="AH247" s="1273"/>
      <c r="AI247" s="1273"/>
      <c r="AJ247" s="1273"/>
      <c r="AK247" s="1273"/>
    </row>
    <row r="248" spans="1:37">
      <c r="A248" s="1581"/>
      <c r="B248" s="1085"/>
      <c r="C248" s="1285"/>
      <c r="D248" s="1286"/>
      <c r="E248" s="1286"/>
      <c r="F248" s="1286"/>
      <c r="G248" s="1286"/>
      <c r="H248" s="1286"/>
      <c r="I248" s="1286"/>
      <c r="J248" s="1286"/>
      <c r="K248" s="1213"/>
      <c r="L248" s="1213"/>
      <c r="M248" s="1213"/>
      <c r="N248" s="1213"/>
      <c r="O248" s="1213"/>
      <c r="P248" s="1213"/>
      <c r="Q248" s="1213"/>
      <c r="R248" s="1213"/>
      <c r="S248" s="1213"/>
      <c r="U248" s="1213"/>
      <c r="V248" s="1213"/>
      <c r="W248" s="1213"/>
      <c r="X248" s="1213"/>
      <c r="Y248" s="1259"/>
      <c r="Z248" s="1556"/>
      <c r="AA248" s="1556"/>
      <c r="AB248" s="1213"/>
      <c r="AC248" s="1213"/>
      <c r="AD248" s="1213"/>
      <c r="AE248" s="1273"/>
      <c r="AF248" s="1273"/>
      <c r="AG248" s="1273"/>
      <c r="AH248" s="1273"/>
      <c r="AI248" s="1273"/>
      <c r="AJ248" s="1273"/>
      <c r="AK248" s="1273"/>
    </row>
    <row r="249" spans="1:37">
      <c r="A249" s="1581"/>
      <c r="B249" s="1284" t="s">
        <v>1814</v>
      </c>
      <c r="C249" s="1285"/>
      <c r="D249" s="1286"/>
      <c r="E249" s="1286"/>
      <c r="F249" s="1286"/>
      <c r="G249" s="1286"/>
      <c r="H249" s="1286"/>
      <c r="I249" s="1286"/>
      <c r="J249" s="1286"/>
      <c r="K249" s="1213"/>
      <c r="L249" s="1213"/>
      <c r="M249" s="1213"/>
      <c r="N249" s="1213"/>
      <c r="O249" s="1213"/>
      <c r="P249" s="1213"/>
      <c r="Q249" s="1213"/>
      <c r="R249" s="1213"/>
      <c r="S249" s="1213"/>
      <c r="U249" s="1326"/>
      <c r="V249" s="1326"/>
      <c r="W249" s="1326"/>
      <c r="X249" s="1326"/>
      <c r="Y249" s="1326"/>
      <c r="Z249" s="1556"/>
      <c r="AA249" s="1556"/>
      <c r="AB249" s="2591">
        <f>PV(AB246/12,AB245*12,-AB243/12, ,0)</f>
        <v>0</v>
      </c>
      <c r="AC249" s="2592"/>
      <c r="AD249" s="2592"/>
      <c r="AE249" s="2592"/>
      <c r="AF249" s="2592"/>
      <c r="AG249" s="2593"/>
      <c r="AH249" s="1273"/>
      <c r="AI249" s="1273"/>
      <c r="AJ249" s="1273"/>
      <c r="AK249" s="1273"/>
    </row>
    <row r="250" spans="1:37">
      <c r="A250" s="1581"/>
      <c r="B250" s="1284"/>
      <c r="C250" s="1285"/>
      <c r="D250" s="1286"/>
      <c r="E250" s="1286"/>
      <c r="F250" s="1286"/>
      <c r="G250" s="1286"/>
      <c r="H250" s="1286"/>
      <c r="I250" s="1286"/>
      <c r="J250" s="1286"/>
      <c r="K250" s="1213"/>
      <c r="L250" s="1213"/>
      <c r="M250" s="1213"/>
      <c r="N250" s="1213"/>
      <c r="O250" s="1213"/>
      <c r="P250" s="1213"/>
      <c r="Q250" s="1213"/>
      <c r="R250" s="1213"/>
      <c r="S250" s="1213"/>
      <c r="U250" s="1326"/>
      <c r="V250" s="1326"/>
      <c r="W250" s="1326"/>
      <c r="X250" s="1326"/>
      <c r="Y250" s="1326"/>
      <c r="Z250" s="1556"/>
      <c r="AA250" s="1556"/>
      <c r="AB250" s="1327"/>
      <c r="AC250" s="1327"/>
      <c r="AD250" s="1327"/>
      <c r="AE250" s="1327"/>
      <c r="AF250" s="1327"/>
      <c r="AG250" s="1327"/>
      <c r="AH250" s="1273"/>
      <c r="AI250" s="1273"/>
      <c r="AJ250" s="1273"/>
      <c r="AK250" s="1273"/>
    </row>
    <row r="251" spans="1:37">
      <c r="A251" s="1581"/>
      <c r="B251" s="1284"/>
      <c r="C251" s="1285"/>
      <c r="D251" s="1286"/>
      <c r="E251" s="1286"/>
      <c r="F251" s="1286"/>
      <c r="G251" s="1286"/>
      <c r="H251" s="1286"/>
      <c r="I251" s="1286"/>
      <c r="J251" s="1286"/>
      <c r="K251" s="1213"/>
      <c r="L251" s="1213"/>
      <c r="M251" s="1213"/>
      <c r="N251" s="1213"/>
      <c r="O251" s="1213"/>
      <c r="P251" s="1213"/>
      <c r="Q251" s="1213"/>
      <c r="R251" s="1213"/>
      <c r="S251" s="1213"/>
      <c r="U251" s="1326"/>
      <c r="V251" s="1326"/>
      <c r="W251" s="1326"/>
      <c r="X251" s="1326"/>
      <c r="Y251" s="1326"/>
      <c r="Z251" s="1556"/>
      <c r="AA251" s="1556"/>
      <c r="AB251" s="1327"/>
      <c r="AC251" s="1327"/>
      <c r="AD251" s="1327"/>
      <c r="AE251" s="1327"/>
      <c r="AF251" s="1327"/>
      <c r="AG251" s="1327"/>
      <c r="AH251" s="1273"/>
      <c r="AI251" s="1273"/>
      <c r="AJ251" s="1273"/>
      <c r="AK251" s="1273"/>
    </row>
    <row r="252" spans="1:37">
      <c r="A252" s="1581"/>
      <c r="B252" s="1328" t="s">
        <v>1790</v>
      </c>
      <c r="C252" s="1328"/>
      <c r="D252" s="1286"/>
      <c r="E252" s="1286"/>
      <c r="F252" s="1286"/>
      <c r="G252" s="1286"/>
      <c r="H252" s="1286"/>
      <c r="I252" s="1286"/>
      <c r="J252" s="1286"/>
      <c r="K252" s="1213"/>
      <c r="L252" s="1213"/>
      <c r="M252" s="1213"/>
      <c r="N252" s="1213"/>
      <c r="O252" s="1213"/>
      <c r="P252" s="1213"/>
      <c r="Q252" s="1213"/>
      <c r="R252" s="1213"/>
      <c r="S252" s="1213"/>
      <c r="T252" s="1213"/>
      <c r="U252" s="1213"/>
      <c r="V252" s="1213"/>
      <c r="W252" s="1213"/>
      <c r="X252" s="1213"/>
      <c r="Y252" s="1556"/>
      <c r="Z252" s="1556"/>
      <c r="AA252" s="1556"/>
      <c r="AB252" s="1556"/>
      <c r="AC252" s="1213"/>
      <c r="AD252" s="1213"/>
      <c r="AE252" s="1273"/>
      <c r="AF252" s="1273"/>
      <c r="AG252" s="1273"/>
      <c r="AH252" s="1273"/>
      <c r="AI252" s="1273"/>
      <c r="AJ252" s="1273"/>
      <c r="AK252" s="1273"/>
    </row>
    <row r="253" spans="1:37">
      <c r="A253" s="1581"/>
      <c r="B253" s="1581" t="s">
        <v>1793</v>
      </c>
      <c r="C253" s="1285"/>
      <c r="D253" s="1286"/>
      <c r="E253" s="1286"/>
      <c r="F253" s="1286"/>
      <c r="G253" s="1286"/>
      <c r="H253" s="1286"/>
      <c r="I253" s="1286"/>
      <c r="J253" s="1286"/>
      <c r="K253" s="1213"/>
      <c r="L253" s="1213"/>
      <c r="M253" s="1213"/>
      <c r="N253" s="1213"/>
      <c r="O253" s="1213"/>
      <c r="P253" s="1213"/>
      <c r="Q253" s="1213"/>
      <c r="R253" s="1213"/>
      <c r="S253" s="1213"/>
      <c r="T253" s="1213"/>
      <c r="U253" s="1213"/>
      <c r="V253" s="1213"/>
      <c r="W253" s="1213"/>
      <c r="X253" s="1213"/>
      <c r="Y253" s="1556"/>
      <c r="Z253" s="1556"/>
      <c r="AA253" s="1556"/>
      <c r="AB253" s="1556"/>
      <c r="AC253" s="1213"/>
      <c r="AD253" s="1213"/>
      <c r="AE253" s="1273"/>
      <c r="AF253" s="1273"/>
      <c r="AG253" s="1273"/>
      <c r="AH253" s="1273"/>
      <c r="AI253" s="1273"/>
      <c r="AJ253" s="1273"/>
      <c r="AK253" s="1273"/>
    </row>
    <row r="254" spans="1:37">
      <c r="A254" s="1581"/>
      <c r="B254" s="1581" t="s">
        <v>1792</v>
      </c>
      <c r="C254" s="1285"/>
      <c r="D254" s="1286"/>
      <c r="E254" s="1286"/>
      <c r="F254" s="1286"/>
      <c r="G254" s="1286"/>
      <c r="H254" s="1286"/>
      <c r="I254" s="1286"/>
      <c r="J254" s="1286"/>
      <c r="K254" s="1213"/>
      <c r="L254" s="1213"/>
      <c r="M254" s="1213"/>
      <c r="N254" s="1213"/>
      <c r="O254" s="1213"/>
      <c r="P254" s="1213"/>
      <c r="Q254" s="1213"/>
      <c r="R254" s="1213"/>
      <c r="S254" s="1213"/>
      <c r="T254" s="1213"/>
      <c r="U254" s="1213"/>
      <c r="V254" s="1213"/>
      <c r="W254" s="1213"/>
      <c r="X254" s="1213"/>
      <c r="Y254" s="1556"/>
      <c r="Z254" s="1556"/>
      <c r="AA254" s="1556"/>
      <c r="AB254" s="1556"/>
      <c r="AC254" s="1213"/>
      <c r="AD254" s="1213"/>
      <c r="AE254" s="1273"/>
      <c r="AF254" s="1273"/>
      <c r="AG254" s="1273"/>
      <c r="AH254" s="1273"/>
      <c r="AI254" s="1273"/>
      <c r="AJ254" s="1273"/>
      <c r="AK254" s="1273"/>
    </row>
    <row r="255" spans="1:37">
      <c r="A255" s="1581"/>
      <c r="B255" s="1581" t="s">
        <v>1791</v>
      </c>
      <c r="C255" s="1285"/>
      <c r="D255" s="1286"/>
      <c r="E255" s="1286"/>
      <c r="F255" s="1286"/>
      <c r="G255" s="1286"/>
      <c r="H255" s="1286"/>
      <c r="I255" s="1286"/>
      <c r="J255" s="1286"/>
      <c r="K255" s="1213"/>
      <c r="L255" s="1213"/>
      <c r="M255" s="1213"/>
      <c r="N255" s="1213"/>
      <c r="O255" s="1213"/>
      <c r="P255" s="1213"/>
      <c r="Q255" s="1213"/>
      <c r="R255" s="1213"/>
      <c r="S255" s="1213"/>
      <c r="T255" s="1213"/>
      <c r="U255" s="1213"/>
      <c r="V255" s="1213"/>
      <c r="W255" s="1213"/>
      <c r="X255" s="1213"/>
      <c r="Y255" s="1556"/>
      <c r="Z255" s="1556"/>
      <c r="AA255" s="1556"/>
      <c r="AB255" s="2594">
        <f>IFERROR(('Sources and Uses Budget'!D105/'Sources and Uses Budget'!B105),0)</f>
        <v>0</v>
      </c>
      <c r="AC255" s="2595"/>
      <c r="AD255" s="2595"/>
      <c r="AE255" s="2595"/>
      <c r="AF255" s="2595"/>
      <c r="AG255" s="2596"/>
      <c r="AH255" s="1250"/>
      <c r="AI255" s="1250"/>
      <c r="AJ255" s="1250"/>
      <c r="AK255" s="1273"/>
    </row>
    <row r="256" spans="1:37">
      <c r="A256" s="1581"/>
      <c r="B256" s="1085"/>
      <c r="C256" s="1285"/>
      <c r="D256" s="1286"/>
      <c r="E256" s="1286"/>
      <c r="F256" s="1286"/>
      <c r="G256" s="1286"/>
      <c r="H256" s="1286"/>
      <c r="I256" s="1286"/>
      <c r="J256" s="1286"/>
      <c r="K256" s="1213"/>
      <c r="L256" s="1213"/>
      <c r="M256" s="1213"/>
      <c r="N256" s="1213"/>
      <c r="O256" s="1213"/>
      <c r="P256" s="1213"/>
      <c r="Q256" s="1213"/>
      <c r="R256" s="1213"/>
      <c r="S256" s="1213"/>
      <c r="T256" s="1213"/>
      <c r="U256" s="1213"/>
      <c r="V256" s="1213"/>
      <c r="W256" s="1213"/>
      <c r="X256" s="1213"/>
      <c r="Y256" s="1556"/>
      <c r="Z256" s="1556"/>
      <c r="AA256" s="1556"/>
      <c r="AB256" s="1556"/>
      <c r="AC256" s="1213"/>
      <c r="AD256" s="1213"/>
      <c r="AE256" s="1273"/>
      <c r="AF256" s="1273"/>
      <c r="AG256" s="1273"/>
      <c r="AH256" s="1273"/>
      <c r="AI256" s="1273"/>
      <c r="AJ256" s="1273"/>
      <c r="AK256" s="1273"/>
    </row>
    <row r="257" spans="1:52">
      <c r="A257" s="1611"/>
      <c r="B257" s="1220" t="s">
        <v>1563</v>
      </c>
      <c r="C257" s="1289"/>
      <c r="D257" s="1289"/>
      <c r="E257" s="1289"/>
      <c r="F257" s="1289"/>
      <c r="H257" s="1612"/>
      <c r="I257" s="1612"/>
      <c r="J257" s="1612"/>
      <c r="K257" s="1612"/>
      <c r="L257" s="1612"/>
      <c r="M257" s="1612"/>
      <c r="N257" s="1612"/>
      <c r="O257" s="1612"/>
      <c r="P257" s="1612"/>
      <c r="Q257" s="1612"/>
      <c r="R257" s="1612"/>
      <c r="Y257" s="1612"/>
      <c r="Z257" s="1612"/>
      <c r="AA257" s="1612"/>
      <c r="AB257" s="1611"/>
      <c r="AC257" s="1611"/>
      <c r="AD257" s="1611"/>
      <c r="AE257" s="1611"/>
      <c r="AG257" s="2508">
        <f>AD200*(1-AB255)</f>
        <v>35253013</v>
      </c>
      <c r="AH257" s="2508"/>
      <c r="AI257" s="2508"/>
      <c r="AJ257" s="2508"/>
      <c r="AK257" s="2508"/>
    </row>
    <row r="258" spans="1:52">
      <c r="A258" s="1611"/>
      <c r="B258" s="1613" t="s">
        <v>1564</v>
      </c>
      <c r="C258" s="1614"/>
      <c r="D258" s="1612"/>
      <c r="E258" s="1612"/>
      <c r="F258" s="1614"/>
      <c r="G258" s="1614"/>
      <c r="H258" s="1614"/>
      <c r="I258" s="1614"/>
      <c r="J258" s="1614"/>
      <c r="K258" s="1614"/>
      <c r="L258" s="1614"/>
      <c r="M258" s="1612"/>
      <c r="N258" s="1614"/>
      <c r="O258" s="1614"/>
      <c r="P258" s="1614"/>
      <c r="Q258" s="1614"/>
      <c r="R258" s="1614"/>
      <c r="Y258" s="1612"/>
      <c r="Z258" s="1612"/>
      <c r="AA258" s="1612"/>
      <c r="AB258" s="1611"/>
      <c r="AC258" s="1611"/>
      <c r="AD258" s="1611"/>
      <c r="AE258" s="1611"/>
      <c r="AG258" s="2508">
        <f>'Sources and Uses Budget'!C105</f>
        <v>68883892.600918442</v>
      </c>
      <c r="AH258" s="2508"/>
      <c r="AI258" s="2508"/>
      <c r="AJ258" s="2508"/>
      <c r="AK258" s="2508"/>
    </row>
    <row r="259" spans="1:52">
      <c r="A259" s="1611"/>
      <c r="B259" s="1612" t="s">
        <v>13</v>
      </c>
      <c r="C259" s="1612"/>
      <c r="D259" s="1612"/>
      <c r="E259" s="1612"/>
      <c r="F259" s="1612"/>
      <c r="G259" s="1612"/>
      <c r="H259" s="1612"/>
      <c r="I259" s="1612"/>
      <c r="J259" s="1612"/>
      <c r="K259" s="1612"/>
      <c r="L259" s="1612"/>
      <c r="M259" s="1612"/>
      <c r="N259" s="1612"/>
      <c r="O259" s="1612"/>
      <c r="P259" s="1612"/>
      <c r="Q259" s="1612"/>
      <c r="R259" s="1612"/>
      <c r="Y259" s="1612"/>
      <c r="Z259" s="1612"/>
      <c r="AA259" s="1612"/>
      <c r="AB259" s="1611"/>
      <c r="AC259" s="1611"/>
      <c r="AD259" s="1611"/>
      <c r="AE259" s="1611"/>
      <c r="AG259" s="2597">
        <f>ROUNDDOWN(IF(AND(C281="Yes",AK78=10),((AG257*2)/AG258),AG257/AG258),2)</f>
        <v>0.51</v>
      </c>
      <c r="AH259" s="2597"/>
      <c r="AI259" s="2597"/>
      <c r="AJ259" s="2597"/>
      <c r="AK259" s="2597"/>
    </row>
    <row r="260" spans="1:52">
      <c r="A260" s="1611"/>
      <c r="B260" s="1615" t="s">
        <v>2050</v>
      </c>
      <c r="C260" s="1612"/>
      <c r="D260" s="1612"/>
      <c r="E260" s="1612"/>
      <c r="F260" s="1612"/>
      <c r="G260" s="1612"/>
      <c r="H260" s="1612"/>
      <c r="I260" s="1612"/>
      <c r="J260" s="1612"/>
      <c r="K260" s="1612"/>
      <c r="L260" s="1612"/>
      <c r="M260" s="1612"/>
      <c r="N260" s="1612"/>
      <c r="O260" s="1612"/>
      <c r="P260" s="1612"/>
      <c r="Q260" s="1612"/>
      <c r="R260" s="1612"/>
      <c r="Y260" s="1612"/>
      <c r="Z260" s="1612"/>
      <c r="AA260" s="1612"/>
      <c r="AB260" s="1611"/>
      <c r="AC260" s="1611"/>
      <c r="AD260" s="1611"/>
      <c r="AE260" s="1611"/>
      <c r="AG260" s="1330"/>
      <c r="AH260" s="1330"/>
      <c r="AI260" s="1330"/>
      <c r="AJ260" s="1330"/>
      <c r="AK260" s="1330"/>
    </row>
    <row r="261" spans="1:52">
      <c r="A261" s="1616"/>
      <c r="B261" s="1616"/>
      <c r="C261" s="1616"/>
      <c r="D261" s="1616"/>
      <c r="E261" s="1616"/>
      <c r="F261" s="1616"/>
      <c r="G261" s="1616"/>
      <c r="H261" s="1616"/>
      <c r="I261" s="1616"/>
      <c r="J261" s="1616"/>
      <c r="K261" s="1616"/>
      <c r="L261" s="1616"/>
      <c r="M261" s="1616"/>
      <c r="N261" s="1616"/>
      <c r="O261" s="1616"/>
      <c r="P261" s="1616"/>
      <c r="Q261" s="1616"/>
      <c r="R261" s="1616"/>
      <c r="S261" s="1616"/>
      <c r="T261" s="1616"/>
      <c r="U261" s="1616"/>
      <c r="V261" s="1616"/>
      <c r="W261" s="1616"/>
      <c r="X261" s="1616"/>
      <c r="Y261" s="1616"/>
      <c r="Z261" s="1616"/>
      <c r="AA261" s="1616"/>
      <c r="AB261" s="1616"/>
      <c r="AC261" s="1616"/>
      <c r="AD261" s="1616"/>
      <c r="AE261" s="1616"/>
      <c r="AF261" s="1616"/>
      <c r="AG261" s="1616"/>
      <c r="AH261" s="1616"/>
      <c r="AI261" s="1616"/>
      <c r="AJ261" s="1616"/>
    </row>
    <row r="262" spans="1:52">
      <c r="A262" s="1617"/>
      <c r="B262" s="1617"/>
      <c r="C262" s="1617"/>
      <c r="D262" s="1617"/>
      <c r="E262" s="1617"/>
      <c r="F262" s="1617"/>
      <c r="G262" s="1617"/>
      <c r="H262" s="1617"/>
      <c r="I262" s="1617"/>
      <c r="J262" s="1617"/>
      <c r="K262" s="1617"/>
      <c r="L262" s="1617"/>
      <c r="M262" s="1617"/>
      <c r="N262" s="1617"/>
      <c r="O262" s="1617"/>
      <c r="P262" s="1617"/>
      <c r="Q262" s="1617"/>
      <c r="R262" s="1617"/>
      <c r="S262" s="1617"/>
      <c r="T262" s="1617"/>
      <c r="U262" s="1617"/>
      <c r="V262" s="1617"/>
      <c r="W262" s="1617"/>
      <c r="X262" s="1617"/>
      <c r="Y262" s="1617"/>
      <c r="Z262" s="1617"/>
      <c r="AA262" s="1617"/>
      <c r="AB262" s="1617"/>
      <c r="AC262" s="1617"/>
      <c r="AD262" s="1617"/>
      <c r="AE262" s="1617"/>
      <c r="AF262" s="1617"/>
      <c r="AG262" s="1617"/>
      <c r="AH262" s="1618"/>
      <c r="AI262" s="1233"/>
      <c r="AJ262" s="1233" t="s">
        <v>1565</v>
      </c>
      <c r="AK262" s="2573">
        <f>IFERROR(IF(AG259=0,0,IF((AG259*100)&gt;8,8,(AG259*100))),0)</f>
        <v>8</v>
      </c>
      <c r="AL262" s="2573"/>
      <c r="AM262" s="2574"/>
    </row>
    <row r="263" spans="1:52" ht="13.8" thickBot="1"/>
    <row r="264" spans="1:52" s="1226" customFormat="1" ht="12.75" customHeight="1" thickTop="1">
      <c r="A264" s="1275"/>
      <c r="B264" s="1331"/>
      <c r="C264" s="1331"/>
      <c r="D264" s="1331"/>
      <c r="E264" s="1331"/>
      <c r="F264" s="1331"/>
      <c r="G264" s="1331"/>
      <c r="H264" s="1331"/>
      <c r="I264" s="1331"/>
      <c r="J264" s="1331"/>
      <c r="K264" s="1331"/>
      <c r="L264" s="1331"/>
      <c r="M264" s="1331"/>
      <c r="N264" s="1331"/>
      <c r="O264" s="1331"/>
      <c r="P264" s="1331"/>
      <c r="Q264" s="1331"/>
      <c r="R264" s="1331"/>
      <c r="S264" s="1331"/>
      <c r="T264" s="1331"/>
      <c r="U264" s="1331"/>
      <c r="V264" s="1331"/>
      <c r="W264" s="1331"/>
      <c r="X264" s="1331"/>
      <c r="Y264" s="1331"/>
      <c r="Z264" s="1331"/>
      <c r="AA264" s="1331"/>
      <c r="AB264" s="1331"/>
      <c r="AC264" s="1332"/>
      <c r="AD264" s="1331"/>
      <c r="AE264" s="1331"/>
      <c r="AF264" s="1331"/>
      <c r="AG264" s="1331"/>
      <c r="AH264" s="1275"/>
      <c r="AI264" s="1333"/>
      <c r="AJ264" s="1333"/>
      <c r="AK264" s="1334"/>
      <c r="AL264" s="1334"/>
      <c r="AM264" s="1335"/>
      <c r="AN264" s="1265"/>
      <c r="AP264" s="1213"/>
      <c r="AQ264" s="1213"/>
      <c r="AR264" s="1213"/>
      <c r="AS264" s="1213"/>
      <c r="AT264" s="1213"/>
      <c r="AU264" s="1213"/>
      <c r="AV264" s="1213"/>
      <c r="AW264" s="1213"/>
      <c r="AX264" s="1213"/>
      <c r="AY264" s="1213"/>
      <c r="AZ264" s="1213"/>
    </row>
    <row r="265" spans="1:52">
      <c r="A265" s="1215" t="s">
        <v>1566</v>
      </c>
      <c r="B265" s="1215" t="s">
        <v>1567</v>
      </c>
      <c r="C265" s="1575"/>
      <c r="D265" s="1226"/>
      <c r="E265" s="1226"/>
      <c r="F265" s="1226"/>
      <c r="G265" s="1226"/>
      <c r="H265" s="1226"/>
      <c r="I265" s="1226"/>
      <c r="J265" s="1226"/>
      <c r="K265" s="1226"/>
      <c r="L265" s="1226"/>
      <c r="M265" s="1226"/>
      <c r="N265" s="1226"/>
      <c r="O265" s="1226"/>
      <c r="P265" s="1226"/>
      <c r="Q265" s="1226"/>
      <c r="R265" s="1226"/>
      <c r="S265" s="1226"/>
      <c r="T265" s="1226"/>
      <c r="U265" s="1226"/>
      <c r="V265" s="1226"/>
      <c r="W265" s="1226"/>
      <c r="X265" s="1226"/>
      <c r="Y265" s="1226"/>
      <c r="Z265" s="1226"/>
      <c r="AA265" s="1226"/>
      <c r="AB265" s="1226"/>
      <c r="AC265" s="1226"/>
      <c r="AD265" s="1226"/>
      <c r="AE265" s="1226"/>
      <c r="AF265" s="1226"/>
      <c r="AG265" s="1226"/>
      <c r="AH265" s="1555" t="s">
        <v>1504</v>
      </c>
      <c r="AI265" s="1226"/>
      <c r="AJ265" s="1226"/>
      <c r="AK265" s="1226"/>
      <c r="AL265" s="1226"/>
      <c r="AM265" s="1226"/>
      <c r="AO265" s="1226"/>
    </row>
    <row r="266" spans="1:52" ht="14.25" customHeight="1">
      <c r="A266" s="1555"/>
      <c r="AI266" s="1227"/>
      <c r="AJ266" s="1226"/>
      <c r="AK266" s="1226"/>
      <c r="AL266" s="1226"/>
      <c r="AM266" s="1226"/>
      <c r="AO266" s="1226"/>
    </row>
    <row r="267" spans="1:52" ht="13.65" customHeight="1">
      <c r="A267" s="1226"/>
      <c r="B267" s="1336"/>
      <c r="C267" s="2481" t="s">
        <v>568</v>
      </c>
      <c r="D267" s="2481"/>
      <c r="E267" s="1223"/>
      <c r="F267" s="2579" t="s">
        <v>2719</v>
      </c>
      <c r="G267" s="2580"/>
      <c r="H267" s="2580"/>
      <c r="I267" s="2580"/>
      <c r="J267" s="2580"/>
      <c r="K267" s="2580"/>
      <c r="L267" s="2580"/>
      <c r="M267" s="2580"/>
      <c r="N267" s="2580"/>
      <c r="O267" s="2580"/>
      <c r="P267" s="2580"/>
      <c r="Q267" s="2580"/>
      <c r="R267" s="2580"/>
      <c r="S267" s="2580"/>
      <c r="T267" s="2580"/>
      <c r="U267" s="2580"/>
      <c r="V267" s="2580"/>
      <c r="W267" s="2580"/>
      <c r="X267" s="2580"/>
      <c r="Y267" s="2580"/>
      <c r="Z267" s="2580"/>
      <c r="AA267" s="2580"/>
      <c r="AB267" s="2580"/>
      <c r="AC267" s="2580"/>
      <c r="AD267" s="2581"/>
      <c r="AE267" s="1226"/>
      <c r="AF267" s="1337"/>
      <c r="AG267" s="2588" t="s">
        <v>1553</v>
      </c>
      <c r="AH267" s="2588"/>
      <c r="AI267" s="2588"/>
      <c r="AJ267" s="2588"/>
      <c r="AK267" s="1226"/>
      <c r="AL267" s="1226"/>
      <c r="AM267" s="1226"/>
      <c r="AO267" s="1226"/>
    </row>
    <row r="268" spans="1:52" ht="13.65" customHeight="1">
      <c r="A268" s="1226"/>
      <c r="B268" s="1336"/>
      <c r="C268" s="1338"/>
      <c r="D268" s="1226"/>
      <c r="E268" s="1223"/>
      <c r="F268" s="2582"/>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4"/>
      <c r="AE268" s="1226"/>
      <c r="AF268" s="1337"/>
      <c r="AG268" s="1337"/>
      <c r="AH268" s="1337"/>
      <c r="AI268" s="1337"/>
      <c r="AJ268" s="1226"/>
      <c r="AK268" s="1226"/>
      <c r="AL268" s="1226"/>
      <c r="AM268" s="1226"/>
      <c r="AO268" s="1226"/>
    </row>
    <row r="269" spans="1:52">
      <c r="A269" s="1226"/>
      <c r="B269" s="1336"/>
      <c r="C269" s="1338"/>
      <c r="D269" s="1226"/>
      <c r="E269" s="1223"/>
      <c r="F269" s="2582"/>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4"/>
      <c r="AE269" s="1226"/>
      <c r="AF269" s="1337"/>
      <c r="AG269" s="1337"/>
      <c r="AH269" s="1337"/>
      <c r="AI269" s="1337"/>
      <c r="AJ269" s="1226"/>
      <c r="AK269" s="1226"/>
      <c r="AL269" s="1226"/>
      <c r="AM269" s="1226"/>
      <c r="AO269" s="1226"/>
      <c r="AP269" s="1339"/>
    </row>
    <row r="270" spans="1:52">
      <c r="A270" s="1226"/>
      <c r="B270" s="1336"/>
      <c r="C270" s="1338"/>
      <c r="D270" s="1226"/>
      <c r="E270" s="1223"/>
      <c r="F270" s="2582"/>
      <c r="G270" s="2583"/>
      <c r="H270" s="2583"/>
      <c r="I270" s="2583"/>
      <c r="J270" s="2583"/>
      <c r="K270" s="2583"/>
      <c r="L270" s="2583"/>
      <c r="M270" s="2583"/>
      <c r="N270" s="2583"/>
      <c r="O270" s="2583"/>
      <c r="P270" s="2583"/>
      <c r="Q270" s="2583"/>
      <c r="R270" s="2583"/>
      <c r="S270" s="2583"/>
      <c r="T270" s="2583"/>
      <c r="U270" s="2583"/>
      <c r="V270" s="2583"/>
      <c r="W270" s="2583"/>
      <c r="X270" s="2583"/>
      <c r="Y270" s="2583"/>
      <c r="Z270" s="2583"/>
      <c r="AA270" s="2583"/>
      <c r="AB270" s="2583"/>
      <c r="AC270" s="2583"/>
      <c r="AD270" s="2584"/>
      <c r="AE270" s="1226"/>
      <c r="AF270" s="1337"/>
      <c r="AG270" s="1337"/>
      <c r="AH270" s="1337"/>
      <c r="AI270" s="1337"/>
      <c r="AJ270" s="1226"/>
      <c r="AK270" s="1226"/>
      <c r="AL270" s="1226"/>
      <c r="AM270" s="1226"/>
      <c r="AO270" s="1226"/>
      <c r="AP270" s="1339"/>
    </row>
    <row r="271" spans="1:52" ht="13.65" customHeight="1">
      <c r="A271" s="1226"/>
      <c r="B271" s="1336"/>
      <c r="C271" s="2589"/>
      <c r="D271" s="2589"/>
      <c r="E271" s="1223"/>
      <c r="F271" s="2585"/>
      <c r="G271" s="2586"/>
      <c r="H271" s="2586"/>
      <c r="I271" s="2586"/>
      <c r="J271" s="2586"/>
      <c r="K271" s="2586"/>
      <c r="L271" s="2586"/>
      <c r="M271" s="2586"/>
      <c r="N271" s="2586"/>
      <c r="O271" s="2586"/>
      <c r="P271" s="2586"/>
      <c r="Q271" s="2586"/>
      <c r="R271" s="2586"/>
      <c r="S271" s="2586"/>
      <c r="T271" s="2586"/>
      <c r="U271" s="2586"/>
      <c r="V271" s="2586"/>
      <c r="W271" s="2586"/>
      <c r="X271" s="2586"/>
      <c r="Y271" s="2586"/>
      <c r="Z271" s="2586"/>
      <c r="AA271" s="2586"/>
      <c r="AB271" s="2586"/>
      <c r="AC271" s="2586"/>
      <c r="AD271" s="2587"/>
      <c r="AE271" s="1226"/>
      <c r="AF271" s="1337"/>
      <c r="AG271" s="2588"/>
      <c r="AH271" s="2588"/>
      <c r="AI271" s="2588"/>
      <c r="AJ271" s="2588"/>
      <c r="AK271" s="1226"/>
      <c r="AL271" s="1226"/>
      <c r="AM271" s="1226"/>
    </row>
    <row r="272" spans="1:52" ht="13.65" hidden="1" customHeight="1">
      <c r="A272" s="1226"/>
      <c r="C272" s="1264"/>
      <c r="D272" s="1264"/>
      <c r="E272" s="1264"/>
      <c r="F272" s="1340"/>
      <c r="G272" s="1341"/>
      <c r="H272" s="1341"/>
      <c r="I272" s="1341"/>
      <c r="J272" s="1341"/>
      <c r="K272" s="1341"/>
      <c r="L272" s="1341"/>
      <c r="M272" s="1341"/>
      <c r="N272" s="1341"/>
      <c r="O272" s="1341"/>
      <c r="P272" s="1341"/>
      <c r="Q272" s="1341"/>
      <c r="R272" s="1341"/>
      <c r="S272" s="1341"/>
      <c r="T272" s="1341"/>
      <c r="U272" s="1341"/>
      <c r="V272" s="1341"/>
      <c r="W272" s="1341"/>
      <c r="X272" s="1341"/>
      <c r="Y272" s="1341"/>
      <c r="Z272" s="1341"/>
      <c r="AA272" s="1341"/>
      <c r="AB272" s="1341"/>
      <c r="AC272" s="1341"/>
      <c r="AD272" s="1342"/>
      <c r="AE272" s="1264"/>
      <c r="AF272" s="1264"/>
      <c r="AG272" s="1264"/>
      <c r="AH272" s="1264"/>
      <c r="AI272" s="1337"/>
      <c r="AJ272" s="1226"/>
      <c r="AK272" s="1226"/>
      <c r="AL272" s="1226"/>
      <c r="AM272" s="1226"/>
    </row>
    <row r="273" spans="1:49">
      <c r="A273" s="1226"/>
      <c r="B273" s="1264"/>
      <c r="C273" s="1264"/>
      <c r="D273" s="1264"/>
      <c r="E273" s="1264"/>
      <c r="F273" s="1264"/>
      <c r="G273" s="1264"/>
      <c r="H273" s="1264"/>
      <c r="I273" s="1264"/>
      <c r="J273" s="1264"/>
      <c r="K273" s="1264"/>
      <c r="L273" s="1264"/>
      <c r="M273" s="1264"/>
      <c r="N273" s="1264"/>
      <c r="O273" s="1264"/>
      <c r="P273" s="1264"/>
      <c r="Q273" s="1264"/>
      <c r="R273" s="1264"/>
      <c r="S273" s="1264"/>
      <c r="T273" s="1264"/>
      <c r="U273" s="1264"/>
      <c r="V273" s="1264"/>
      <c r="W273" s="1264"/>
      <c r="X273" s="1264"/>
      <c r="Y273" s="1264"/>
      <c r="Z273" s="1264"/>
      <c r="AA273" s="1264"/>
      <c r="AB273" s="1264"/>
      <c r="AC273" s="1264"/>
      <c r="AD273" s="1264"/>
      <c r="AE273" s="1264"/>
      <c r="AF273" s="1264"/>
      <c r="AG273" s="1264"/>
      <c r="AH273" s="1264"/>
      <c r="AI273" s="1264"/>
      <c r="AJ273" s="1264"/>
      <c r="AK273" s="1264"/>
      <c r="AL273" s="1226"/>
      <c r="AM273" s="1226"/>
      <c r="AN273" s="1343"/>
    </row>
    <row r="274" spans="1:49">
      <c r="A274" s="1269"/>
      <c r="B274" s="1232"/>
      <c r="C274" s="1232"/>
      <c r="D274" s="1232"/>
      <c r="E274" s="1232"/>
      <c r="F274" s="1232"/>
      <c r="G274" s="1232"/>
      <c r="H274" s="1232"/>
      <c r="I274" s="1232"/>
      <c r="J274" s="1232"/>
      <c r="K274" s="1232"/>
      <c r="L274" s="1232"/>
      <c r="M274" s="1232"/>
      <c r="N274" s="1232"/>
      <c r="O274" s="1232"/>
      <c r="P274" s="1232"/>
      <c r="Q274" s="1232"/>
      <c r="R274" s="1232"/>
      <c r="S274" s="1232"/>
      <c r="T274" s="1232"/>
      <c r="U274" s="1232"/>
      <c r="V274" s="1232"/>
      <c r="W274" s="1232"/>
      <c r="X274" s="1232"/>
      <c r="Y274" s="1232"/>
      <c r="Z274" s="1232"/>
      <c r="AA274" s="1232"/>
      <c r="AB274" s="1232"/>
      <c r="AC274" s="1232"/>
      <c r="AD274" s="1232"/>
      <c r="AE274" s="1232"/>
      <c r="AF274" s="1232"/>
      <c r="AG274" s="1232"/>
      <c r="AH274" s="1232"/>
      <c r="AI274" s="1233"/>
      <c r="AJ274" s="1233" t="s">
        <v>1569</v>
      </c>
      <c r="AK274" s="2573">
        <f>IF($C$267="yes",10,0)</f>
        <v>10</v>
      </c>
      <c r="AL274" s="2573"/>
      <c r="AM274" s="2574"/>
      <c r="AN274" s="1343"/>
    </row>
    <row r="275" spans="1:49" ht="13.8" thickBot="1"/>
    <row r="276" spans="1:49" ht="13.8" thickTop="1">
      <c r="A276" s="1344"/>
      <c r="B276" s="1344"/>
      <c r="C276" s="1344"/>
      <c r="D276" s="1344"/>
      <c r="E276" s="1344"/>
      <c r="F276" s="1344"/>
      <c r="G276" s="1344"/>
      <c r="H276" s="1344"/>
      <c r="I276" s="1344"/>
      <c r="J276" s="1344"/>
      <c r="K276" s="1344"/>
      <c r="L276" s="1344"/>
      <c r="M276" s="1344"/>
      <c r="N276" s="1344"/>
      <c r="O276" s="1344"/>
      <c r="P276" s="1344"/>
      <c r="Q276" s="1344"/>
      <c r="R276" s="1344"/>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5"/>
    </row>
    <row r="277" spans="1:49">
      <c r="A277" s="1215" t="s">
        <v>1570</v>
      </c>
      <c r="B277" s="1215" t="s">
        <v>2165</v>
      </c>
      <c r="AH277" s="1555" t="s">
        <v>1504</v>
      </c>
    </row>
    <row r="278" spans="1:49" ht="15" customHeight="1">
      <c r="B278" s="1575"/>
    </row>
    <row r="279" spans="1:49" ht="15" customHeight="1">
      <c r="B279" s="1575"/>
    </row>
    <row r="280" spans="1:49">
      <c r="B280" s="1226"/>
      <c r="C280" s="1576"/>
      <c r="D280" s="1226"/>
      <c r="E280" s="1226"/>
      <c r="F280" s="1226"/>
      <c r="G280" s="1226"/>
      <c r="H280" s="1226"/>
      <c r="I280" s="1226"/>
      <c r="J280" s="1226"/>
      <c r="K280" s="1226"/>
      <c r="L280" s="1226"/>
      <c r="M280" s="1226"/>
      <c r="N280" s="1226"/>
      <c r="O280" s="1226"/>
      <c r="P280" s="1226"/>
      <c r="Q280" s="1226"/>
      <c r="R280" s="1226"/>
      <c r="S280" s="1226"/>
      <c r="T280" s="1226"/>
      <c r="U280" s="1226"/>
      <c r="V280" s="1226"/>
      <c r="W280" s="1226"/>
      <c r="X280" s="1226"/>
      <c r="Y280" s="1226"/>
      <c r="Z280" s="1226"/>
      <c r="AA280" s="1226"/>
      <c r="AB280" s="1226"/>
      <c r="AC280" s="1226"/>
      <c r="AD280" s="1226"/>
      <c r="AG280" s="1226"/>
      <c r="AI280" s="1226"/>
      <c r="AJ280" s="1226"/>
      <c r="AK280" s="1226"/>
      <c r="AL280" s="1226"/>
      <c r="AM280" s="1226"/>
      <c r="AN280" s="1343"/>
      <c r="AO280" s="1211"/>
      <c r="AP280" s="1213"/>
      <c r="AQ280" s="1346"/>
      <c r="AR280" s="1213"/>
      <c r="AS280" s="1213"/>
      <c r="AT280" s="1213"/>
      <c r="AU280" s="1213"/>
      <c r="AV280" s="1329"/>
      <c r="AW280" s="1329"/>
    </row>
    <row r="281" spans="1:49" ht="12.75" customHeight="1">
      <c r="A281" s="2562" t="s">
        <v>1572</v>
      </c>
      <c r="B281" s="2562"/>
      <c r="C281" s="2481" t="s">
        <v>615</v>
      </c>
      <c r="D281" s="2481"/>
      <c r="E281" s="1223"/>
      <c r="F281" s="2575" t="s">
        <v>1573</v>
      </c>
      <c r="G281" s="2576"/>
      <c r="H281" s="2576"/>
      <c r="I281" s="2576"/>
      <c r="J281" s="2576"/>
      <c r="K281" s="2576"/>
      <c r="L281" s="2576"/>
      <c r="M281" s="2576"/>
      <c r="N281" s="2576"/>
      <c r="O281" s="2576"/>
      <c r="P281" s="2576"/>
      <c r="Q281" s="2576"/>
      <c r="R281" s="2576"/>
      <c r="S281" s="2576"/>
      <c r="T281" s="2576"/>
      <c r="U281" s="2576"/>
      <c r="V281" s="2576"/>
      <c r="W281" s="2576"/>
      <c r="X281" s="2576"/>
      <c r="Y281" s="2576"/>
      <c r="Z281" s="2576"/>
      <c r="AA281" s="2576"/>
      <c r="AB281" s="2576"/>
      <c r="AC281" s="2576"/>
      <c r="AD281" s="2577"/>
      <c r="AE281" s="1263"/>
      <c r="AF281" s="1226"/>
      <c r="AG281" s="2578" t="s">
        <v>2720</v>
      </c>
      <c r="AH281" s="2578"/>
      <c r="AI281" s="2578"/>
      <c r="AJ281" s="2578"/>
      <c r="AK281" s="2578"/>
      <c r="AL281" s="1226"/>
      <c r="AM281" s="1226"/>
      <c r="AN281" s="1343"/>
      <c r="AO281" s="1211"/>
      <c r="AP281" s="1210"/>
      <c r="AS281" s="1213"/>
      <c r="AT281" s="1213"/>
      <c r="AU281" s="1213"/>
      <c r="AV281" s="1329"/>
      <c r="AW281" s="1329"/>
    </row>
    <row r="282" spans="1:49">
      <c r="A282" s="1576"/>
      <c r="B282" s="1336"/>
      <c r="F282" s="2504"/>
      <c r="G282" s="2474"/>
      <c r="H282" s="2474"/>
      <c r="I282" s="2474"/>
      <c r="J282" s="2474"/>
      <c r="K282" s="2474"/>
      <c r="L282" s="2474"/>
      <c r="M282" s="2474"/>
      <c r="N282" s="2474"/>
      <c r="O282" s="2474"/>
      <c r="P282" s="2474"/>
      <c r="Q282" s="2474"/>
      <c r="R282" s="2474"/>
      <c r="S282" s="2474"/>
      <c r="T282" s="2474"/>
      <c r="U282" s="2474"/>
      <c r="V282" s="2474"/>
      <c r="W282" s="2474"/>
      <c r="X282" s="2474"/>
      <c r="Y282" s="2474"/>
      <c r="Z282" s="2474"/>
      <c r="AA282" s="2474"/>
      <c r="AB282" s="2474"/>
      <c r="AC282" s="2474"/>
      <c r="AD282" s="2505"/>
      <c r="AE282" s="1263"/>
      <c r="AF282" s="1227"/>
      <c r="AH282" s="1227"/>
      <c r="AI282" s="1227"/>
      <c r="AJ282" s="1226"/>
      <c r="AK282" s="1226"/>
      <c r="AL282" s="1226"/>
      <c r="AM282" s="1226"/>
      <c r="AN282" s="1343"/>
      <c r="AO282" s="1211"/>
      <c r="AP282" s="1226">
        <f>IF($C$281="yes",10,IF(C281="50% Met",9,0))</f>
        <v>0</v>
      </c>
      <c r="AS282" s="1213"/>
      <c r="AT282" s="1213"/>
      <c r="AU282" s="1213"/>
      <c r="AV282" s="1329"/>
      <c r="AW282" s="1329"/>
    </row>
    <row r="283" spans="1:49" ht="15" customHeight="1">
      <c r="A283" s="1576"/>
      <c r="B283" s="1336"/>
      <c r="F283" s="2504"/>
      <c r="G283" s="2474"/>
      <c r="H283" s="2474"/>
      <c r="I283" s="2474"/>
      <c r="J283" s="2474"/>
      <c r="K283" s="2474"/>
      <c r="L283" s="2474"/>
      <c r="M283" s="2474"/>
      <c r="N283" s="2474"/>
      <c r="O283" s="2474"/>
      <c r="P283" s="2474"/>
      <c r="Q283" s="2474"/>
      <c r="R283" s="2474"/>
      <c r="S283" s="2474"/>
      <c r="T283" s="2474"/>
      <c r="U283" s="2474"/>
      <c r="V283" s="2474"/>
      <c r="W283" s="2474"/>
      <c r="X283" s="2474"/>
      <c r="Y283" s="2474"/>
      <c r="Z283" s="2474"/>
      <c r="AA283" s="2474"/>
      <c r="AB283" s="2474"/>
      <c r="AC283" s="2474"/>
      <c r="AD283" s="2505"/>
      <c r="AE283" s="1263"/>
      <c r="AF283" s="1227"/>
      <c r="AH283" s="1227"/>
      <c r="AI283" s="1227"/>
      <c r="AJ283" s="1226"/>
      <c r="AK283" s="1226"/>
      <c r="AL283" s="1226"/>
      <c r="AM283" s="1226"/>
      <c r="AN283" s="1343"/>
      <c r="AO283" s="1211"/>
      <c r="AP283" s="1226">
        <f>IF($C$291="yes",9,0)</f>
        <v>9</v>
      </c>
      <c r="AS283" s="1213"/>
      <c r="AT283" s="1213"/>
      <c r="AU283" s="1213"/>
      <c r="AV283" s="1329"/>
      <c r="AW283" s="1329"/>
    </row>
    <row r="284" spans="1:49" ht="12.75" customHeight="1">
      <c r="A284" s="1576"/>
      <c r="B284" s="1336"/>
      <c r="F284" s="2504" t="s">
        <v>2721</v>
      </c>
      <c r="G284" s="2474"/>
      <c r="H284" s="2474"/>
      <c r="I284" s="2474"/>
      <c r="J284" s="2474"/>
      <c r="K284" s="2474"/>
      <c r="L284" s="2474"/>
      <c r="M284" s="2474"/>
      <c r="N284" s="2474"/>
      <c r="O284" s="2474"/>
      <c r="P284" s="2474"/>
      <c r="Q284" s="2474"/>
      <c r="R284" s="2474"/>
      <c r="S284" s="2474"/>
      <c r="T284" s="2474"/>
      <c r="U284" s="2474"/>
      <c r="V284" s="2474"/>
      <c r="W284" s="2474"/>
      <c r="X284" s="2474"/>
      <c r="Y284" s="2474"/>
      <c r="Z284" s="2474"/>
      <c r="AA284" s="2474"/>
      <c r="AB284" s="2474"/>
      <c r="AC284" s="2474"/>
      <c r="AD284" s="2505"/>
      <c r="AE284" s="1263"/>
      <c r="AF284" s="1227"/>
      <c r="AH284" s="1227"/>
      <c r="AI284" s="1227"/>
      <c r="AJ284" s="1226"/>
      <c r="AK284" s="1226"/>
      <c r="AL284" s="1226"/>
      <c r="AM284" s="1226"/>
      <c r="AN284" s="1343"/>
      <c r="AO284" s="1211"/>
      <c r="AP284" s="1274">
        <f>MAX(AP282,AP283)</f>
        <v>9</v>
      </c>
      <c r="AQ284" s="1238" t="s">
        <v>1506</v>
      </c>
      <c r="AS284" s="1213"/>
      <c r="AT284" s="1213"/>
      <c r="AU284" s="1213"/>
      <c r="AV284" s="1329"/>
      <c r="AW284" s="1329"/>
    </row>
    <row r="285" spans="1:49">
      <c r="A285" s="1576"/>
      <c r="B285" s="1336"/>
      <c r="F285" s="2504"/>
      <c r="G285" s="2474"/>
      <c r="H285" s="2474"/>
      <c r="I285" s="2474"/>
      <c r="J285" s="2474"/>
      <c r="K285" s="2474"/>
      <c r="L285" s="2474"/>
      <c r="M285" s="2474"/>
      <c r="N285" s="2474"/>
      <c r="O285" s="2474"/>
      <c r="P285" s="2474"/>
      <c r="Q285" s="2474"/>
      <c r="R285" s="2474"/>
      <c r="S285" s="2474"/>
      <c r="T285" s="2474"/>
      <c r="U285" s="2474"/>
      <c r="V285" s="2474"/>
      <c r="W285" s="2474"/>
      <c r="X285" s="2474"/>
      <c r="Y285" s="2474"/>
      <c r="Z285" s="2474"/>
      <c r="AA285" s="2474"/>
      <c r="AB285" s="2474"/>
      <c r="AC285" s="2474"/>
      <c r="AD285" s="2505"/>
      <c r="AE285" s="1263"/>
      <c r="AF285" s="1227"/>
      <c r="AH285" s="1227"/>
      <c r="AI285" s="1227"/>
      <c r="AJ285" s="1226"/>
      <c r="AK285" s="1226"/>
      <c r="AL285" s="1226"/>
      <c r="AM285" s="1226"/>
      <c r="AN285" s="1343"/>
      <c r="AO285" s="1211"/>
      <c r="AP285" s="1226"/>
      <c r="AS285" s="1213"/>
      <c r="AT285" s="1213"/>
      <c r="AU285" s="1213"/>
      <c r="AV285" s="1329"/>
      <c r="AW285" s="1329"/>
    </row>
    <row r="286" spans="1:49" ht="12.75" customHeight="1">
      <c r="A286" s="1226"/>
      <c r="B286" s="1227"/>
      <c r="C286" s="1226"/>
      <c r="D286" s="1227"/>
      <c r="E286" s="1226"/>
      <c r="F286" s="2504" t="s">
        <v>1574</v>
      </c>
      <c r="G286" s="2474"/>
      <c r="H286" s="2474"/>
      <c r="I286" s="2474"/>
      <c r="J286" s="2474"/>
      <c r="K286" s="2474"/>
      <c r="L286" s="2474"/>
      <c r="M286" s="2474"/>
      <c r="N286" s="2474"/>
      <c r="O286" s="2474"/>
      <c r="P286" s="2474"/>
      <c r="Q286" s="2474"/>
      <c r="R286" s="2474"/>
      <c r="S286" s="2474"/>
      <c r="T286" s="2474"/>
      <c r="U286" s="2474"/>
      <c r="V286" s="2474"/>
      <c r="W286" s="2474"/>
      <c r="X286" s="2474"/>
      <c r="Y286" s="2474"/>
      <c r="Z286" s="2474"/>
      <c r="AA286" s="2474"/>
      <c r="AB286" s="2474"/>
      <c r="AC286" s="2474"/>
      <c r="AD286" s="2505"/>
      <c r="AE286" s="1263"/>
      <c r="AF286" s="1227"/>
      <c r="AG286" s="1227"/>
      <c r="AH286" s="1227"/>
      <c r="AI286" s="1227"/>
      <c r="AJ286" s="1226"/>
      <c r="AK286" s="1226"/>
      <c r="AL286" s="1226"/>
      <c r="AM286" s="1226"/>
      <c r="AN286" s="1343"/>
      <c r="AO286" s="1211"/>
      <c r="AS286" s="1213"/>
      <c r="AT286" s="1213"/>
      <c r="AU286" s="1213"/>
      <c r="AV286" s="1329"/>
      <c r="AW286" s="1329"/>
    </row>
    <row r="287" spans="1:49" ht="15" customHeight="1">
      <c r="A287" s="1226"/>
      <c r="B287" s="1227"/>
      <c r="C287" s="1227"/>
      <c r="D287" s="1227"/>
      <c r="E287" s="1227"/>
      <c r="F287" s="2504"/>
      <c r="G287" s="2474"/>
      <c r="H287" s="2474"/>
      <c r="I287" s="2474"/>
      <c r="J287" s="2474"/>
      <c r="K287" s="2474"/>
      <c r="L287" s="2474"/>
      <c r="M287" s="2474"/>
      <c r="N287" s="2474"/>
      <c r="O287" s="2474"/>
      <c r="P287" s="2474"/>
      <c r="Q287" s="2474"/>
      <c r="R287" s="2474"/>
      <c r="S287" s="2474"/>
      <c r="T287" s="2474"/>
      <c r="U287" s="2474"/>
      <c r="V287" s="2474"/>
      <c r="W287" s="2474"/>
      <c r="X287" s="2474"/>
      <c r="Y287" s="2474"/>
      <c r="Z287" s="2474"/>
      <c r="AA287" s="2474"/>
      <c r="AB287" s="2474"/>
      <c r="AC287" s="2474"/>
      <c r="AD287" s="2505"/>
      <c r="AE287" s="1263"/>
      <c r="AF287" s="1227"/>
      <c r="AG287" s="1227"/>
      <c r="AH287" s="1227"/>
      <c r="AI287" s="1227"/>
      <c r="AJ287" s="1226"/>
      <c r="AK287" s="1226"/>
      <c r="AL287" s="1226"/>
      <c r="AM287" s="1226"/>
      <c r="AN287" s="1343"/>
      <c r="AO287" s="1211"/>
      <c r="AS287" s="1213"/>
      <c r="AT287" s="1213"/>
      <c r="AU287" s="1213"/>
      <c r="AV287" s="1329"/>
      <c r="AW287" s="1329"/>
    </row>
    <row r="288" spans="1:49" ht="12.75" customHeight="1">
      <c r="A288" s="1226"/>
      <c r="B288" s="1227"/>
      <c r="C288" s="1227"/>
      <c r="D288" s="1227"/>
      <c r="E288" s="1227"/>
      <c r="F288" s="2504" t="s">
        <v>1575</v>
      </c>
      <c r="G288" s="2474"/>
      <c r="H288" s="2474"/>
      <c r="I288" s="2474"/>
      <c r="J288" s="2474"/>
      <c r="K288" s="2474"/>
      <c r="L288" s="2474"/>
      <c r="M288" s="2474"/>
      <c r="N288" s="2474"/>
      <c r="O288" s="2474"/>
      <c r="P288" s="2474"/>
      <c r="Q288" s="2474"/>
      <c r="R288" s="2474"/>
      <c r="S288" s="2474"/>
      <c r="T288" s="2474"/>
      <c r="U288" s="2474"/>
      <c r="V288" s="2474"/>
      <c r="W288" s="2474"/>
      <c r="X288" s="2474"/>
      <c r="Y288" s="2474"/>
      <c r="Z288" s="2474"/>
      <c r="AA288" s="2474"/>
      <c r="AB288" s="2474"/>
      <c r="AC288" s="2474"/>
      <c r="AD288" s="2505"/>
      <c r="AE288" s="1556"/>
      <c r="AF288" s="1227"/>
      <c r="AG288" s="1227"/>
      <c r="AH288" s="1227"/>
      <c r="AI288" s="1227"/>
      <c r="AJ288" s="1226"/>
      <c r="AK288" s="1226"/>
      <c r="AL288" s="1226"/>
      <c r="AM288" s="1226"/>
      <c r="AN288" s="1343"/>
      <c r="AO288" s="1211"/>
      <c r="AP288" s="1226"/>
      <c r="AS288" s="1213"/>
      <c r="AT288" s="1213"/>
      <c r="AU288" s="1213"/>
      <c r="AV288" s="1329"/>
      <c r="AW288" s="1329"/>
    </row>
    <row r="289" spans="1:49">
      <c r="A289" s="1226"/>
      <c r="B289" s="1227"/>
      <c r="C289" s="1227"/>
      <c r="D289" s="1227"/>
      <c r="E289" s="1227"/>
      <c r="F289" s="2506"/>
      <c r="G289" s="2507"/>
      <c r="H289" s="2507"/>
      <c r="I289" s="2507"/>
      <c r="J289" s="2507"/>
      <c r="K289" s="2507"/>
      <c r="L289" s="2507"/>
      <c r="M289" s="2507"/>
      <c r="N289" s="2507"/>
      <c r="O289" s="2507"/>
      <c r="P289" s="2507"/>
      <c r="Q289" s="2507"/>
      <c r="R289" s="2507"/>
      <c r="S289" s="2507"/>
      <c r="T289" s="2507"/>
      <c r="U289" s="2507"/>
      <c r="V289" s="2507"/>
      <c r="W289" s="2507"/>
      <c r="X289" s="2507"/>
      <c r="Y289" s="2507"/>
      <c r="Z289" s="2507"/>
      <c r="AA289" s="2507"/>
      <c r="AB289" s="2507"/>
      <c r="AC289" s="2507"/>
      <c r="AD289" s="2569"/>
      <c r="AE289" s="1556"/>
      <c r="AF289" s="1227"/>
      <c r="AG289" s="1227"/>
      <c r="AH289" s="1227"/>
      <c r="AI289" s="1227"/>
      <c r="AJ289" s="1226"/>
      <c r="AK289" s="1226"/>
      <c r="AL289" s="1226"/>
      <c r="AM289" s="1226"/>
      <c r="AN289" s="1343"/>
      <c r="AO289" s="1211"/>
      <c r="AP289" s="1226"/>
      <c r="AS289" s="1213"/>
      <c r="AT289" s="1213"/>
      <c r="AU289" s="1213"/>
      <c r="AV289" s="1329"/>
      <c r="AW289" s="1329"/>
    </row>
    <row r="290" spans="1:49">
      <c r="A290" s="1226"/>
      <c r="B290" s="1227"/>
      <c r="C290" s="1227"/>
      <c r="D290" s="1227"/>
      <c r="E290" s="1227"/>
      <c r="F290" s="1556"/>
      <c r="G290" s="1556"/>
      <c r="H290" s="1556"/>
      <c r="I290" s="1556"/>
      <c r="J290" s="1556"/>
      <c r="K290" s="1556"/>
      <c r="L290" s="1556"/>
      <c r="M290" s="1556"/>
      <c r="N290" s="1556"/>
      <c r="O290" s="1556"/>
      <c r="P290" s="1556"/>
      <c r="Q290" s="1556"/>
      <c r="R290" s="1556"/>
      <c r="S290" s="1556"/>
      <c r="T290" s="1556"/>
      <c r="U290" s="1556"/>
      <c r="V290" s="1556"/>
      <c r="W290" s="1556"/>
      <c r="X290" s="1556"/>
      <c r="Y290" s="1556"/>
      <c r="Z290" s="1556"/>
      <c r="AA290" s="1556"/>
      <c r="AB290" s="1556"/>
      <c r="AC290" s="1556"/>
      <c r="AD290" s="1556"/>
      <c r="AE290" s="1227"/>
      <c r="AF290" s="1227"/>
      <c r="AG290" s="1227"/>
      <c r="AH290" s="1227"/>
      <c r="AI290" s="1227"/>
      <c r="AJ290" s="1226"/>
      <c r="AK290" s="1226"/>
      <c r="AL290" s="1226"/>
      <c r="AM290" s="1226"/>
      <c r="AN290" s="1343"/>
      <c r="AO290" s="1211"/>
      <c r="AS290" s="1213"/>
      <c r="AT290" s="1213"/>
      <c r="AU290" s="1213"/>
      <c r="AV290" s="1329"/>
      <c r="AW290" s="1329"/>
    </row>
    <row r="291" spans="1:49" ht="15" customHeight="1">
      <c r="A291" s="2562" t="s">
        <v>1576</v>
      </c>
      <c r="B291" s="2562"/>
      <c r="C291" s="2481" t="s">
        <v>568</v>
      </c>
      <c r="D291" s="2481"/>
      <c r="E291" s="1223"/>
      <c r="F291" s="1347" t="s">
        <v>2722</v>
      </c>
      <c r="G291" s="1348"/>
      <c r="H291" s="1348"/>
      <c r="I291" s="1348"/>
      <c r="J291" s="1348"/>
      <c r="K291" s="1348"/>
      <c r="L291" s="1348"/>
      <c r="M291" s="1348"/>
      <c r="N291" s="1348"/>
      <c r="O291" s="1348"/>
      <c r="P291" s="1348"/>
      <c r="Q291" s="1348"/>
      <c r="R291" s="1348"/>
      <c r="S291" s="1348"/>
      <c r="T291" s="1348"/>
      <c r="U291" s="1348"/>
      <c r="V291" s="1348"/>
      <c r="W291" s="1348"/>
      <c r="X291" s="1348"/>
      <c r="Y291" s="1348"/>
      <c r="Z291" s="1348"/>
      <c r="AA291" s="1348"/>
      <c r="AB291" s="1348"/>
      <c r="AC291" s="1348"/>
      <c r="AD291" s="1349"/>
      <c r="AE291" s="1227"/>
      <c r="AF291" s="1227"/>
      <c r="AG291" s="1575" t="s">
        <v>1578</v>
      </c>
      <c r="AH291" s="1227"/>
      <c r="AI291" s="1227"/>
      <c r="AJ291" s="1226"/>
      <c r="AK291" s="1226"/>
      <c r="AL291" s="1226"/>
      <c r="AM291" s="1226"/>
      <c r="AN291" s="1350"/>
      <c r="AO291" s="1211"/>
    </row>
    <row r="292" spans="1:49">
      <c r="A292" s="1226"/>
      <c r="B292" s="1227"/>
      <c r="C292" s="1226"/>
      <c r="D292" s="1227"/>
      <c r="E292" s="1226"/>
      <c r="F292" s="2566" t="s">
        <v>2723</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1227"/>
      <c r="AF292" s="1227"/>
      <c r="AG292" s="1227"/>
      <c r="AH292" s="1227"/>
      <c r="AI292" s="1227"/>
      <c r="AJ292" s="1226"/>
      <c r="AK292" s="1226"/>
      <c r="AL292" s="1226"/>
      <c r="AM292" s="1226"/>
      <c r="AR292" s="1351"/>
    </row>
    <row r="293" spans="1:49" ht="15" customHeight="1">
      <c r="A293" s="1226"/>
      <c r="B293" s="1227"/>
      <c r="C293" s="1226"/>
      <c r="D293" s="1227"/>
      <c r="E293" s="1226"/>
      <c r="F293" s="2566"/>
      <c r="G293" s="2567"/>
      <c r="H293" s="2567"/>
      <c r="I293" s="2567"/>
      <c r="J293" s="2567"/>
      <c r="K293" s="2567"/>
      <c r="L293" s="2567"/>
      <c r="M293" s="2567"/>
      <c r="N293" s="2567"/>
      <c r="O293" s="2567"/>
      <c r="P293" s="2567"/>
      <c r="Q293" s="2567"/>
      <c r="R293" s="2567"/>
      <c r="S293" s="2567"/>
      <c r="T293" s="2567"/>
      <c r="U293" s="2567"/>
      <c r="V293" s="2567"/>
      <c r="W293" s="2567"/>
      <c r="X293" s="2567"/>
      <c r="Y293" s="2567"/>
      <c r="Z293" s="2567"/>
      <c r="AA293" s="2567"/>
      <c r="AB293" s="2567"/>
      <c r="AC293" s="2567"/>
      <c r="AD293" s="2568"/>
      <c r="AE293" s="1227"/>
      <c r="AF293" s="1227"/>
      <c r="AG293" s="1227"/>
      <c r="AH293" s="1227"/>
      <c r="AI293" s="1227"/>
      <c r="AJ293" s="1226"/>
      <c r="AK293" s="1226"/>
      <c r="AL293" s="1226"/>
      <c r="AM293" s="1226"/>
      <c r="AR293" s="1351"/>
    </row>
    <row r="294" spans="1:49">
      <c r="A294" s="1226"/>
      <c r="B294" s="1227"/>
      <c r="C294" s="1226"/>
      <c r="D294" s="1227"/>
      <c r="E294" s="1226"/>
      <c r="F294" s="2566"/>
      <c r="G294" s="2567"/>
      <c r="H294" s="2567"/>
      <c r="I294" s="2567"/>
      <c r="J294" s="2567"/>
      <c r="K294" s="2567"/>
      <c r="L294" s="2567"/>
      <c r="M294" s="2567"/>
      <c r="N294" s="2567"/>
      <c r="O294" s="2567"/>
      <c r="P294" s="2567"/>
      <c r="Q294" s="2567"/>
      <c r="R294" s="2567"/>
      <c r="S294" s="2567"/>
      <c r="T294" s="2567"/>
      <c r="U294" s="2567"/>
      <c r="V294" s="2567"/>
      <c r="W294" s="2567"/>
      <c r="X294" s="2567"/>
      <c r="Y294" s="2567"/>
      <c r="Z294" s="2567"/>
      <c r="AA294" s="2567"/>
      <c r="AB294" s="2567"/>
      <c r="AC294" s="2567"/>
      <c r="AD294" s="2568"/>
      <c r="AE294" s="1227"/>
      <c r="AF294" s="1227"/>
      <c r="AG294" s="1227"/>
      <c r="AH294" s="1227"/>
      <c r="AI294" s="1227"/>
      <c r="AJ294" s="1226"/>
      <c r="AK294" s="1226"/>
      <c r="AL294" s="1226"/>
      <c r="AM294" s="1226"/>
      <c r="AP294" s="1274"/>
      <c r="AQ294" s="1238"/>
      <c r="AR294" s="1351"/>
    </row>
    <row r="295" spans="1:49" ht="15" customHeight="1">
      <c r="A295" s="1226"/>
      <c r="B295" s="1227"/>
      <c r="C295" s="1226"/>
      <c r="D295" s="1227"/>
      <c r="E295" s="1226"/>
      <c r="F295" s="2570"/>
      <c r="G295" s="2571"/>
      <c r="H295" s="2571"/>
      <c r="I295" s="2571"/>
      <c r="J295" s="2571"/>
      <c r="K295" s="2571"/>
      <c r="L295" s="2571"/>
      <c r="M295" s="2571"/>
      <c r="N295" s="2571"/>
      <c r="O295" s="2571"/>
      <c r="P295" s="2571"/>
      <c r="Q295" s="2571"/>
      <c r="R295" s="2571"/>
      <c r="S295" s="2571"/>
      <c r="T295" s="2571"/>
      <c r="U295" s="2571"/>
      <c r="V295" s="2571"/>
      <c r="W295" s="2571"/>
      <c r="X295" s="2571"/>
      <c r="Y295" s="2571"/>
      <c r="Z295" s="2571"/>
      <c r="AA295" s="2571"/>
      <c r="AB295" s="2571"/>
      <c r="AC295" s="2571"/>
      <c r="AD295" s="2572"/>
      <c r="AE295" s="1227"/>
      <c r="AF295" s="1227"/>
      <c r="AG295" s="1227"/>
      <c r="AH295" s="1227"/>
      <c r="AI295" s="1227"/>
      <c r="AJ295" s="1226"/>
      <c r="AK295" s="1226"/>
      <c r="AL295" s="1226"/>
      <c r="AM295" s="1226"/>
      <c r="AP295" s="1274"/>
      <c r="AQ295" s="1238"/>
      <c r="AR295" s="1351"/>
    </row>
    <row r="296" spans="1:49">
      <c r="A296" s="1226"/>
      <c r="B296" s="1227"/>
      <c r="C296" s="1227"/>
      <c r="D296" s="1227"/>
      <c r="E296" s="1227"/>
      <c r="F296" s="1227"/>
      <c r="G296" s="1227"/>
      <c r="H296" s="1227"/>
      <c r="I296" s="1227"/>
      <c r="J296" s="1227"/>
      <c r="K296" s="1227"/>
      <c r="L296" s="1227"/>
      <c r="M296" s="1227"/>
      <c r="N296" s="1227"/>
      <c r="O296" s="1227"/>
      <c r="P296" s="1227"/>
      <c r="Q296" s="1227"/>
      <c r="R296" s="1227"/>
      <c r="S296" s="1227"/>
      <c r="T296" s="1227"/>
      <c r="U296" s="1227"/>
      <c r="V296" s="1227"/>
      <c r="W296" s="1227"/>
      <c r="X296" s="1227"/>
      <c r="Y296" s="1227"/>
      <c r="Z296" s="1227"/>
      <c r="AA296" s="1227"/>
      <c r="AB296" s="1227"/>
      <c r="AC296" s="1227"/>
      <c r="AD296" s="1227"/>
      <c r="AE296" s="1227"/>
      <c r="AF296" s="1227"/>
      <c r="AG296" s="1227"/>
      <c r="AH296" s="1227"/>
      <c r="AI296" s="1227"/>
      <c r="AJ296" s="1226"/>
      <c r="AK296" s="1226"/>
      <c r="AL296" s="1226"/>
      <c r="AM296" s="1226"/>
      <c r="AP296" s="1274"/>
      <c r="AQ296" s="1238"/>
      <c r="AR296" s="1351"/>
    </row>
    <row r="297" spans="1:49" hidden="1">
      <c r="A297" s="1226"/>
      <c r="B297" s="1227"/>
      <c r="C297" s="1227"/>
      <c r="D297" s="1227"/>
      <c r="E297" s="1227"/>
      <c r="F297" s="1227"/>
      <c r="G297" s="1227"/>
      <c r="H297" s="1227"/>
      <c r="I297" s="1227"/>
      <c r="J297" s="1227"/>
      <c r="K297" s="1227"/>
      <c r="L297" s="1227"/>
      <c r="M297" s="1227"/>
      <c r="N297" s="1227"/>
      <c r="O297" s="1227"/>
      <c r="P297" s="1227"/>
      <c r="Q297" s="1227"/>
      <c r="R297" s="1227"/>
      <c r="S297" s="1227"/>
      <c r="T297" s="1227"/>
      <c r="U297" s="1227"/>
      <c r="V297" s="1227"/>
      <c r="W297" s="1227"/>
      <c r="X297" s="1227"/>
      <c r="Y297" s="1227"/>
      <c r="Z297" s="1227"/>
      <c r="AA297" s="1227"/>
      <c r="AB297" s="1227"/>
      <c r="AC297" s="1227"/>
      <c r="AD297" s="1227"/>
      <c r="AE297" s="1227"/>
      <c r="AF297" s="1227"/>
      <c r="AG297" s="1227"/>
      <c r="AH297" s="1227"/>
      <c r="AI297" s="1227"/>
      <c r="AJ297" s="1226"/>
      <c r="AK297" s="1226"/>
      <c r="AL297" s="1226"/>
      <c r="AM297" s="1226"/>
      <c r="AP297" s="1274"/>
      <c r="AQ297" s="1238"/>
      <c r="AR297" s="1351"/>
    </row>
    <row r="298" spans="1:49" hidden="1">
      <c r="A298" s="1226"/>
      <c r="B298" s="1227"/>
      <c r="C298" s="1227"/>
      <c r="D298" s="1227"/>
      <c r="E298" s="1227"/>
      <c r="F298" s="1227"/>
      <c r="G298" s="1227"/>
      <c r="H298" s="1227"/>
      <c r="I298" s="1227"/>
      <c r="J298" s="1227"/>
      <c r="K298" s="1227"/>
      <c r="L298" s="1227"/>
      <c r="M298" s="1227"/>
      <c r="N298" s="1227"/>
      <c r="O298" s="1227"/>
      <c r="P298" s="1227"/>
      <c r="Q298" s="1227"/>
      <c r="R298" s="1227"/>
      <c r="S298" s="1227"/>
      <c r="T298" s="1227"/>
      <c r="U298" s="1227"/>
      <c r="V298" s="1227"/>
      <c r="W298" s="1227"/>
      <c r="X298" s="1227"/>
      <c r="Y298" s="1227"/>
      <c r="Z298" s="1227"/>
      <c r="AA298" s="1227"/>
      <c r="AB298" s="1227"/>
      <c r="AC298" s="1227"/>
      <c r="AD298" s="1227"/>
      <c r="AE298" s="1227"/>
      <c r="AF298" s="1227"/>
      <c r="AG298" s="1227"/>
      <c r="AH298" s="1227"/>
      <c r="AI298" s="1227"/>
      <c r="AJ298" s="1226"/>
      <c r="AK298" s="1226"/>
      <c r="AL298" s="1226"/>
      <c r="AM298" s="1226"/>
      <c r="AN298" s="1343"/>
      <c r="AO298" s="1211"/>
    </row>
    <row r="299" spans="1:49" hidden="1">
      <c r="A299" s="2562" t="s">
        <v>1579</v>
      </c>
      <c r="B299" s="2562"/>
      <c r="C299" s="2481" t="s">
        <v>615</v>
      </c>
      <c r="D299" s="2481"/>
      <c r="E299" s="1223"/>
      <c r="F299" s="1347" t="s">
        <v>1577</v>
      </c>
      <c r="G299" s="1352"/>
      <c r="H299" s="1352"/>
      <c r="I299" s="1352"/>
      <c r="J299" s="1352"/>
      <c r="K299" s="1352"/>
      <c r="L299" s="1352"/>
      <c r="M299" s="1352"/>
      <c r="N299" s="1352"/>
      <c r="O299" s="1352"/>
      <c r="P299" s="1352"/>
      <c r="Q299" s="1352"/>
      <c r="R299" s="1352"/>
      <c r="S299" s="1352"/>
      <c r="T299" s="1352"/>
      <c r="U299" s="1352"/>
      <c r="V299" s="1352"/>
      <c r="W299" s="1352"/>
      <c r="X299" s="1352"/>
      <c r="Y299" s="1352"/>
      <c r="Z299" s="1352"/>
      <c r="AA299" s="1352"/>
      <c r="AB299" s="1352"/>
      <c r="AC299" s="1352"/>
      <c r="AD299" s="1353"/>
      <c r="AE299" s="1227"/>
      <c r="AF299" s="1227"/>
      <c r="AG299" s="1575" t="s">
        <v>1578</v>
      </c>
      <c r="AH299" s="1227"/>
      <c r="AI299" s="1227"/>
      <c r="AJ299" s="1226"/>
      <c r="AK299" s="1226"/>
      <c r="AL299" s="1226"/>
      <c r="AM299" s="1226"/>
      <c r="AN299" s="1343"/>
      <c r="AO299" s="1211"/>
    </row>
    <row r="300" spans="1:49" hidden="1">
      <c r="A300" s="1572"/>
      <c r="B300" s="1572"/>
      <c r="C300" s="1566"/>
      <c r="D300" s="1566"/>
      <c r="E300" s="1223"/>
      <c r="F300" s="2504" t="s">
        <v>2724</v>
      </c>
      <c r="G300" s="2474"/>
      <c r="H300" s="2474"/>
      <c r="I300" s="2474"/>
      <c r="J300" s="2474"/>
      <c r="K300" s="2474"/>
      <c r="L300" s="2474"/>
      <c r="M300" s="2474"/>
      <c r="N300" s="2474"/>
      <c r="O300" s="2474"/>
      <c r="P300" s="2474"/>
      <c r="Q300" s="2474"/>
      <c r="R300" s="2474"/>
      <c r="S300" s="2474"/>
      <c r="T300" s="2474"/>
      <c r="U300" s="2474"/>
      <c r="V300" s="2474"/>
      <c r="W300" s="2474"/>
      <c r="X300" s="2474"/>
      <c r="Y300" s="2474"/>
      <c r="Z300" s="2474"/>
      <c r="AA300" s="2474"/>
      <c r="AB300" s="2474"/>
      <c r="AC300" s="2474"/>
      <c r="AD300" s="2505"/>
      <c r="AE300" s="1227"/>
      <c r="AF300" s="1227"/>
      <c r="AG300" s="1575"/>
      <c r="AH300" s="1227"/>
      <c r="AI300" s="1227"/>
      <c r="AJ300" s="1226"/>
      <c r="AK300" s="1226"/>
      <c r="AL300" s="1226"/>
      <c r="AM300" s="1226"/>
      <c r="AN300" s="1343"/>
      <c r="AO300" s="1211"/>
      <c r="AP300" s="1589" t="s">
        <v>1344</v>
      </c>
    </row>
    <row r="301" spans="1:49" hidden="1">
      <c r="F301" s="2504"/>
      <c r="G301" s="2474"/>
      <c r="H301" s="2474"/>
      <c r="I301" s="2474"/>
      <c r="J301" s="2474"/>
      <c r="K301" s="2474"/>
      <c r="L301" s="2474"/>
      <c r="M301" s="2474"/>
      <c r="N301" s="2474"/>
      <c r="O301" s="2474"/>
      <c r="P301" s="2474"/>
      <c r="Q301" s="2474"/>
      <c r="R301" s="2474"/>
      <c r="S301" s="2474"/>
      <c r="T301" s="2474"/>
      <c r="U301" s="2474"/>
      <c r="V301" s="2474"/>
      <c r="W301" s="2474"/>
      <c r="X301" s="2474"/>
      <c r="Y301" s="2474"/>
      <c r="Z301" s="2474"/>
      <c r="AA301" s="2474"/>
      <c r="AB301" s="2474"/>
      <c r="AC301" s="2474"/>
      <c r="AD301" s="2505"/>
      <c r="AE301" s="1227"/>
      <c r="AF301" s="1227"/>
      <c r="AH301" s="1227"/>
      <c r="AI301" s="1227"/>
      <c r="AJ301" s="1226"/>
      <c r="AK301" s="1226"/>
      <c r="AL301" s="1226"/>
      <c r="AM301" s="1226"/>
      <c r="AN301" s="1343"/>
      <c r="AO301" s="1211"/>
      <c r="AP301" s="1589" t="s">
        <v>2039</v>
      </c>
    </row>
    <row r="302" spans="1:49" hidden="1">
      <c r="A302" s="1226"/>
      <c r="B302" s="1227"/>
      <c r="C302" s="1566"/>
      <c r="D302" s="1566"/>
      <c r="E302" s="1223"/>
      <c r="F302" s="1354" t="s">
        <v>1580</v>
      </c>
      <c r="G302" s="1285"/>
      <c r="H302" s="1285"/>
      <c r="I302" s="1285"/>
      <c r="J302" s="1285"/>
      <c r="K302" s="1285"/>
      <c r="L302" s="1285"/>
      <c r="M302" s="1285"/>
      <c r="N302" s="1285"/>
      <c r="O302" s="1285"/>
      <c r="P302" s="1285"/>
      <c r="Q302" s="1285"/>
      <c r="R302" s="1285"/>
      <c r="S302" s="1285"/>
      <c r="T302" s="1285"/>
      <c r="U302" s="1285"/>
      <c r="V302" s="1285"/>
      <c r="W302" s="1285"/>
      <c r="X302" s="1285"/>
      <c r="Y302" s="1285"/>
      <c r="Z302" s="1285"/>
      <c r="AA302" s="1285"/>
      <c r="AB302" s="1285"/>
      <c r="AC302" s="1285"/>
      <c r="AD302" s="1355"/>
      <c r="AE302" s="1227"/>
      <c r="AF302" s="1227"/>
      <c r="AG302" s="1575"/>
      <c r="AH302" s="1227"/>
      <c r="AI302" s="1227"/>
      <c r="AJ302" s="1226"/>
      <c r="AK302" s="1226"/>
      <c r="AL302" s="1226"/>
      <c r="AM302" s="1226"/>
      <c r="AN302" s="1343"/>
      <c r="AO302" s="1211"/>
      <c r="AP302" s="1589" t="s">
        <v>2041</v>
      </c>
    </row>
    <row r="303" spans="1:49" hidden="1">
      <c r="A303" s="1226"/>
      <c r="B303" s="1227"/>
      <c r="C303" s="1566"/>
      <c r="D303" s="1566"/>
      <c r="E303" s="1223"/>
      <c r="F303" s="1354"/>
      <c r="G303" s="1285"/>
      <c r="H303" s="1285"/>
      <c r="I303" s="1285"/>
      <c r="J303" s="1285"/>
      <c r="K303" s="1285"/>
      <c r="L303" s="1285"/>
      <c r="M303" s="1285"/>
      <c r="N303" s="1285"/>
      <c r="O303" s="1285"/>
      <c r="P303" s="1285"/>
      <c r="Q303" s="1285"/>
      <c r="R303" s="1285"/>
      <c r="S303" s="1285"/>
      <c r="T303" s="1285"/>
      <c r="U303" s="1285"/>
      <c r="V303" s="1285"/>
      <c r="W303" s="1285"/>
      <c r="X303" s="1285"/>
      <c r="Y303" s="1285"/>
      <c r="Z303" s="1285"/>
      <c r="AA303" s="1285"/>
      <c r="AB303" s="1285"/>
      <c r="AC303" s="1285"/>
      <c r="AD303" s="1355"/>
      <c r="AE303" s="1227"/>
      <c r="AF303" s="1227"/>
      <c r="AG303" s="1575"/>
      <c r="AH303" s="1227"/>
      <c r="AI303" s="1227"/>
      <c r="AJ303" s="1226"/>
      <c r="AK303" s="1226"/>
      <c r="AL303" s="1226"/>
      <c r="AM303" s="1226"/>
      <c r="AN303" s="1343"/>
      <c r="AO303" s="1211"/>
      <c r="AP303" s="1589" t="s">
        <v>2167</v>
      </c>
    </row>
    <row r="304" spans="1:49" ht="12.75" hidden="1" customHeight="1">
      <c r="A304" s="1226"/>
      <c r="B304" s="1227"/>
      <c r="C304" s="1566"/>
      <c r="D304" s="1566"/>
      <c r="E304" s="1223"/>
      <c r="F304" s="1354"/>
      <c r="G304" s="1263"/>
      <c r="H304" s="1263"/>
      <c r="I304" s="1263"/>
      <c r="J304" s="1263"/>
      <c r="K304" s="1263"/>
      <c r="L304" s="1263"/>
      <c r="M304" s="1263"/>
      <c r="N304" s="1263"/>
      <c r="O304" s="1263"/>
      <c r="P304" s="1263"/>
      <c r="Q304" s="1263"/>
      <c r="R304" s="1263"/>
      <c r="S304" s="1263"/>
      <c r="T304" s="1263"/>
      <c r="U304" s="1263"/>
      <c r="V304" s="1263"/>
      <c r="W304" s="1263"/>
      <c r="X304" s="1263"/>
      <c r="Y304" s="1263"/>
      <c r="Z304" s="1263"/>
      <c r="AA304" s="1263"/>
      <c r="AB304" s="1263"/>
      <c r="AC304" s="1263"/>
      <c r="AD304" s="1356"/>
      <c r="AE304" s="1227"/>
      <c r="AF304" s="1227"/>
      <c r="AG304" s="1575"/>
      <c r="AH304" s="1227"/>
      <c r="AI304" s="1227"/>
      <c r="AJ304" s="1226"/>
      <c r="AK304" s="1226"/>
      <c r="AL304" s="1226"/>
      <c r="AM304" s="1226"/>
      <c r="AN304" s="1343"/>
      <c r="AO304" s="1211"/>
      <c r="AP304" s="1210"/>
    </row>
    <row r="305" spans="1:42" ht="12.75" hidden="1" customHeight="1">
      <c r="A305" s="1226"/>
      <c r="B305" s="1227"/>
      <c r="C305" s="1566"/>
      <c r="D305" s="1566"/>
      <c r="E305" s="1223"/>
      <c r="F305" s="2552" t="s">
        <v>1344</v>
      </c>
      <c r="G305" s="2553"/>
      <c r="H305" s="2553"/>
      <c r="I305" s="2553"/>
      <c r="J305" s="2553"/>
      <c r="K305" s="2553"/>
      <c r="L305" s="2553"/>
      <c r="M305" s="2553"/>
      <c r="N305" s="2553"/>
      <c r="O305" s="2553"/>
      <c r="P305" s="2553"/>
      <c r="Q305" s="2553"/>
      <c r="R305" s="2553"/>
      <c r="S305" s="2553"/>
      <c r="T305" s="2553"/>
      <c r="U305" s="2553"/>
      <c r="V305" s="2553"/>
      <c r="W305" s="2553"/>
      <c r="X305" s="2553"/>
      <c r="Y305" s="2553"/>
      <c r="Z305" s="2553"/>
      <c r="AA305" s="2553"/>
      <c r="AB305" s="2553"/>
      <c r="AC305" s="2553"/>
      <c r="AD305" s="2554"/>
      <c r="AE305" s="1263"/>
      <c r="AF305" s="1263"/>
      <c r="AG305" s="1263"/>
      <c r="AH305" s="1263"/>
      <c r="AI305" s="1263"/>
      <c r="AJ305" s="1263"/>
      <c r="AK305" s="1263"/>
      <c r="AL305" s="1226"/>
      <c r="AM305" s="1226"/>
      <c r="AN305" s="1343"/>
      <c r="AO305" s="1211"/>
      <c r="AP305" s="1210"/>
    </row>
    <row r="306" spans="1:42" hidden="1">
      <c r="A306" s="1226"/>
      <c r="B306" s="1227"/>
      <c r="C306" s="1566"/>
      <c r="D306" s="1566"/>
      <c r="E306" s="1223"/>
      <c r="F306" s="2552"/>
      <c r="G306" s="2553"/>
      <c r="H306" s="2553"/>
      <c r="I306" s="2553"/>
      <c r="J306" s="2553"/>
      <c r="K306" s="2553"/>
      <c r="L306" s="2553"/>
      <c r="M306" s="2553"/>
      <c r="N306" s="2553"/>
      <c r="O306" s="2553"/>
      <c r="P306" s="2553"/>
      <c r="Q306" s="2553"/>
      <c r="R306" s="2553"/>
      <c r="S306" s="2553"/>
      <c r="T306" s="2553"/>
      <c r="U306" s="2553"/>
      <c r="V306" s="2553"/>
      <c r="W306" s="2553"/>
      <c r="X306" s="2553"/>
      <c r="Y306" s="2553"/>
      <c r="Z306" s="2553"/>
      <c r="AA306" s="2553"/>
      <c r="AB306" s="2553"/>
      <c r="AC306" s="2553"/>
      <c r="AD306" s="2554"/>
      <c r="AE306" s="1227"/>
      <c r="AF306" s="1227"/>
      <c r="AG306" s="1575"/>
      <c r="AH306" s="1227"/>
      <c r="AI306" s="1227"/>
      <c r="AJ306" s="1226"/>
      <c r="AK306" s="1226"/>
      <c r="AL306" s="1226"/>
      <c r="AM306" s="1226"/>
      <c r="AN306" s="1343"/>
      <c r="AO306" s="1211"/>
      <c r="AP306" s="1210"/>
    </row>
    <row r="307" spans="1:42" hidden="1">
      <c r="A307" s="1226"/>
      <c r="B307" s="1227"/>
      <c r="C307" s="1566"/>
      <c r="D307" s="1566"/>
      <c r="E307" s="1223"/>
      <c r="F307" s="2552"/>
      <c r="G307" s="2553"/>
      <c r="H307" s="2553"/>
      <c r="I307" s="2553"/>
      <c r="J307" s="2553"/>
      <c r="K307" s="2553"/>
      <c r="L307" s="2553"/>
      <c r="M307" s="2553"/>
      <c r="N307" s="2553"/>
      <c r="O307" s="2553"/>
      <c r="P307" s="2553"/>
      <c r="Q307" s="2553"/>
      <c r="R307" s="2553"/>
      <c r="S307" s="2553"/>
      <c r="T307" s="2553"/>
      <c r="U307" s="2553"/>
      <c r="V307" s="2553"/>
      <c r="W307" s="2553"/>
      <c r="X307" s="2553"/>
      <c r="Y307" s="2553"/>
      <c r="Z307" s="2553"/>
      <c r="AA307" s="2553"/>
      <c r="AB307" s="2553"/>
      <c r="AC307" s="2553"/>
      <c r="AD307" s="2554"/>
      <c r="AE307" s="1227"/>
      <c r="AF307" s="1227"/>
      <c r="AG307" s="1575"/>
      <c r="AH307" s="1227"/>
      <c r="AI307" s="1227"/>
      <c r="AJ307" s="1226"/>
      <c r="AK307" s="1226"/>
      <c r="AL307" s="1226"/>
      <c r="AM307" s="1226"/>
      <c r="AN307" s="1343"/>
      <c r="AO307" s="1211"/>
      <c r="AP307" s="1210"/>
    </row>
    <row r="308" spans="1:42" hidden="1">
      <c r="A308" s="1226"/>
      <c r="B308" s="1227"/>
      <c r="C308" s="1566"/>
      <c r="D308" s="1566"/>
      <c r="E308" s="1223"/>
      <c r="F308" s="2552"/>
      <c r="G308" s="2553"/>
      <c r="H308" s="2553"/>
      <c r="I308" s="2553"/>
      <c r="J308" s="2553"/>
      <c r="K308" s="2553"/>
      <c r="L308" s="2553"/>
      <c r="M308" s="2553"/>
      <c r="N308" s="2553"/>
      <c r="O308" s="2553"/>
      <c r="P308" s="2553"/>
      <c r="Q308" s="2553"/>
      <c r="R308" s="2553"/>
      <c r="S308" s="2553"/>
      <c r="T308" s="2553"/>
      <c r="U308" s="2553"/>
      <c r="V308" s="2553"/>
      <c r="W308" s="2553"/>
      <c r="X308" s="2553"/>
      <c r="Y308" s="2553"/>
      <c r="Z308" s="2553"/>
      <c r="AA308" s="2553"/>
      <c r="AB308" s="2553"/>
      <c r="AC308" s="2553"/>
      <c r="AD308" s="2554"/>
      <c r="AE308" s="1227"/>
      <c r="AF308" s="1227"/>
      <c r="AG308" s="1575"/>
      <c r="AH308" s="1227"/>
      <c r="AI308" s="1227"/>
      <c r="AJ308" s="1226"/>
      <c r="AK308" s="1226"/>
      <c r="AL308" s="1226"/>
      <c r="AM308" s="1226"/>
      <c r="AN308" s="1343"/>
      <c r="AO308" s="1211"/>
      <c r="AP308" s="1210"/>
    </row>
    <row r="309" spans="1:42" hidden="1">
      <c r="A309" s="1226"/>
      <c r="B309" s="1227"/>
      <c r="C309" s="1566"/>
      <c r="D309" s="1566"/>
      <c r="E309" s="1223"/>
      <c r="F309" s="2555"/>
      <c r="G309" s="2556"/>
      <c r="H309" s="2556"/>
      <c r="I309" s="2556"/>
      <c r="J309" s="2556"/>
      <c r="K309" s="2556"/>
      <c r="L309" s="2556"/>
      <c r="M309" s="2556"/>
      <c r="N309" s="2556"/>
      <c r="O309" s="2556"/>
      <c r="P309" s="2556"/>
      <c r="Q309" s="2556"/>
      <c r="R309" s="2556"/>
      <c r="S309" s="2556"/>
      <c r="T309" s="2556"/>
      <c r="U309" s="2556"/>
      <c r="V309" s="2556"/>
      <c r="W309" s="2556"/>
      <c r="X309" s="2556"/>
      <c r="Y309" s="2556"/>
      <c r="Z309" s="2556"/>
      <c r="AA309" s="2556"/>
      <c r="AB309" s="2556"/>
      <c r="AC309" s="2556"/>
      <c r="AD309" s="2557"/>
      <c r="AE309" s="1227"/>
      <c r="AF309" s="1227"/>
      <c r="AG309" s="1575"/>
      <c r="AH309" s="1227"/>
      <c r="AI309" s="1227"/>
      <c r="AJ309" s="1226"/>
      <c r="AK309" s="1226"/>
      <c r="AL309" s="1226"/>
      <c r="AM309" s="1226"/>
      <c r="AN309" s="1343"/>
      <c r="AO309" s="1211"/>
      <c r="AP309" s="1210"/>
    </row>
    <row r="310" spans="1:42" hidden="1">
      <c r="A310" s="1226"/>
      <c r="B310" s="1227"/>
      <c r="C310" s="1566"/>
      <c r="D310" s="1566"/>
      <c r="E310" s="1223"/>
      <c r="F310" s="1357"/>
      <c r="G310" s="1263"/>
      <c r="H310" s="1263"/>
      <c r="I310" s="1263"/>
      <c r="J310" s="1263"/>
      <c r="K310" s="1263"/>
      <c r="L310" s="1263"/>
      <c r="M310" s="1263"/>
      <c r="N310" s="1263"/>
      <c r="O310" s="1263"/>
      <c r="P310" s="1263"/>
      <c r="Q310" s="1263"/>
      <c r="R310" s="1263"/>
      <c r="S310" s="1263"/>
      <c r="T310" s="1263"/>
      <c r="U310" s="1263"/>
      <c r="V310" s="1263"/>
      <c r="W310" s="1263"/>
      <c r="X310" s="1263"/>
      <c r="Y310" s="1263"/>
      <c r="Z310" s="1263"/>
      <c r="AA310" s="1263"/>
      <c r="AB310" s="1263"/>
      <c r="AC310" s="1263"/>
      <c r="AD310" s="1356"/>
      <c r="AE310" s="1227"/>
      <c r="AF310" s="1227"/>
      <c r="AG310" s="1575"/>
      <c r="AH310" s="1227"/>
      <c r="AI310" s="1227"/>
      <c r="AJ310" s="1226"/>
      <c r="AK310" s="1226"/>
      <c r="AL310" s="1226"/>
      <c r="AM310" s="1226"/>
      <c r="AN310" s="1343"/>
      <c r="AO310" s="1211"/>
      <c r="AP310" s="1210"/>
    </row>
    <row r="311" spans="1:42" hidden="1">
      <c r="A311" s="1226"/>
      <c r="B311" s="1227"/>
      <c r="C311" s="1566"/>
      <c r="D311" s="1566"/>
      <c r="E311" s="1223"/>
      <c r="F311" s="1358" t="s">
        <v>2040</v>
      </c>
      <c r="G311" s="1227"/>
      <c r="H311" s="1227"/>
      <c r="I311" s="1227"/>
      <c r="J311" s="1227"/>
      <c r="K311" s="1227"/>
      <c r="L311" s="1227"/>
      <c r="M311" s="1227"/>
      <c r="N311" s="1227"/>
      <c r="O311" s="1227"/>
      <c r="P311" s="1227"/>
      <c r="Q311" s="1227"/>
      <c r="R311" s="1227"/>
      <c r="S311" s="1227"/>
      <c r="T311" s="1227"/>
      <c r="U311" s="1227"/>
      <c r="V311" s="1227"/>
      <c r="W311" s="1227"/>
      <c r="X311" s="1227"/>
      <c r="Y311" s="1227"/>
      <c r="Z311" s="1227"/>
      <c r="AA311" s="1227"/>
      <c r="AB311" s="1227"/>
      <c r="AC311" s="1227"/>
      <c r="AD311" s="1359"/>
      <c r="AE311" s="1227"/>
      <c r="AF311" s="1227"/>
      <c r="AG311" s="1575"/>
      <c r="AH311" s="1227"/>
      <c r="AI311" s="1227"/>
      <c r="AJ311" s="1226"/>
      <c r="AK311" s="1226"/>
      <c r="AL311" s="1226"/>
      <c r="AM311" s="1226"/>
      <c r="AN311" s="1343"/>
      <c r="AO311" s="1211"/>
      <c r="AP311" s="1210"/>
    </row>
    <row r="312" spans="1:42" hidden="1">
      <c r="A312" s="1226"/>
      <c r="B312" s="1227"/>
      <c r="C312" s="1566"/>
      <c r="D312" s="1566"/>
      <c r="E312" s="1223"/>
      <c r="F312" s="1358"/>
      <c r="G312" s="1227"/>
      <c r="H312" s="1227"/>
      <c r="I312" s="1227"/>
      <c r="J312" s="1227"/>
      <c r="K312" s="1227"/>
      <c r="L312" s="1227"/>
      <c r="M312" s="1227"/>
      <c r="N312" s="1227"/>
      <c r="O312" s="1227"/>
      <c r="P312" s="1227"/>
      <c r="Q312" s="1227"/>
      <c r="R312" s="1227"/>
      <c r="S312" s="1227"/>
      <c r="T312" s="1227"/>
      <c r="U312" s="1227"/>
      <c r="V312" s="1227"/>
      <c r="W312" s="1227"/>
      <c r="X312" s="1227"/>
      <c r="Y312" s="1227"/>
      <c r="Z312" s="1227"/>
      <c r="AA312" s="1227"/>
      <c r="AB312" s="1227"/>
      <c r="AC312" s="1227"/>
      <c r="AD312" s="1359"/>
      <c r="AE312" s="1227"/>
      <c r="AF312" s="1227"/>
      <c r="AG312" s="1575"/>
      <c r="AH312" s="1227"/>
      <c r="AI312" s="1227"/>
      <c r="AJ312" s="1226"/>
      <c r="AK312" s="1226"/>
      <c r="AL312" s="1226"/>
      <c r="AM312" s="1226"/>
      <c r="AN312" s="1343"/>
      <c r="AO312" s="1211"/>
      <c r="AP312" s="1589" t="s">
        <v>1344</v>
      </c>
    </row>
    <row r="313" spans="1:42" ht="12.75" hidden="1" customHeight="1">
      <c r="A313" s="1226"/>
      <c r="B313" s="1227"/>
      <c r="C313" s="1566"/>
      <c r="D313" s="1566"/>
      <c r="E313" s="1223"/>
      <c r="F313" s="1244"/>
      <c r="G313" s="1242" t="s">
        <v>712</v>
      </c>
      <c r="H313" s="1242"/>
      <c r="I313" s="2558" t="s">
        <v>1344</v>
      </c>
      <c r="J313" s="2558"/>
      <c r="K313" s="2558"/>
      <c r="L313" s="2558"/>
      <c r="M313" s="2558"/>
      <c r="N313" s="2558"/>
      <c r="O313" s="2558"/>
      <c r="P313" s="2558"/>
      <c r="Q313" s="2558"/>
      <c r="R313" s="2558"/>
      <c r="S313" s="2558"/>
      <c r="T313" s="2558"/>
      <c r="U313" s="2558"/>
      <c r="V313" s="2558"/>
      <c r="W313" s="2558"/>
      <c r="X313" s="2558"/>
      <c r="Y313" s="2558"/>
      <c r="Z313" s="2558"/>
      <c r="AA313" s="2558"/>
      <c r="AB313" s="2558"/>
      <c r="AC313" s="2558"/>
      <c r="AD313" s="2559"/>
      <c r="AE313" s="1227"/>
      <c r="AF313" s="1227"/>
      <c r="AG313" s="1575"/>
      <c r="AH313" s="1227"/>
      <c r="AI313" s="1227"/>
      <c r="AJ313" s="1226"/>
      <c r="AK313" s="1226"/>
      <c r="AL313" s="1226"/>
      <c r="AM313" s="1226"/>
      <c r="AN313" s="1343"/>
      <c r="AO313" s="1211"/>
      <c r="AP313" s="1589" t="s">
        <v>1839</v>
      </c>
    </row>
    <row r="314" spans="1:42" hidden="1">
      <c r="A314" s="1226"/>
      <c r="B314" s="1227"/>
      <c r="C314" s="1566"/>
      <c r="D314" s="1566"/>
      <c r="E314" s="1223"/>
      <c r="F314" s="1244"/>
      <c r="G314" s="1242"/>
      <c r="H314" s="1242"/>
      <c r="I314" s="2558"/>
      <c r="J314" s="2558"/>
      <c r="K314" s="2558"/>
      <c r="L314" s="2558"/>
      <c r="M314" s="2558"/>
      <c r="N314" s="2558"/>
      <c r="O314" s="2558"/>
      <c r="P314" s="2558"/>
      <c r="Q314" s="2558"/>
      <c r="R314" s="2558"/>
      <c r="S314" s="2558"/>
      <c r="T314" s="2558"/>
      <c r="U314" s="2558"/>
      <c r="V314" s="2558"/>
      <c r="W314" s="2558"/>
      <c r="X314" s="2558"/>
      <c r="Y314" s="2558"/>
      <c r="Z314" s="2558"/>
      <c r="AA314" s="2558"/>
      <c r="AB314" s="2558"/>
      <c r="AC314" s="2558"/>
      <c r="AD314" s="2559"/>
      <c r="AE314" s="1227"/>
      <c r="AF314" s="1227"/>
      <c r="AG314" s="1575"/>
      <c r="AH314" s="1227"/>
      <c r="AI314" s="1227"/>
      <c r="AJ314" s="1226"/>
      <c r="AK314" s="1226"/>
      <c r="AL314" s="1226"/>
      <c r="AM314" s="1226"/>
      <c r="AN314" s="1343"/>
      <c r="AO314" s="1211"/>
      <c r="AP314" s="1589" t="s">
        <v>2042</v>
      </c>
    </row>
    <row r="315" spans="1:42" hidden="1">
      <c r="A315" s="1226"/>
      <c r="B315" s="1227"/>
      <c r="C315" s="1577"/>
      <c r="D315" s="1577"/>
      <c r="E315" s="1223"/>
      <c r="F315" s="1244"/>
      <c r="G315" s="1242"/>
      <c r="H315" s="1242"/>
      <c r="I315" s="2558"/>
      <c r="J315" s="2558"/>
      <c r="K315" s="2558"/>
      <c r="L315" s="2558"/>
      <c r="M315" s="2558"/>
      <c r="N315" s="2558"/>
      <c r="O315" s="2558"/>
      <c r="P315" s="2558"/>
      <c r="Q315" s="2558"/>
      <c r="R315" s="2558"/>
      <c r="S315" s="2558"/>
      <c r="T315" s="2558"/>
      <c r="U315" s="2558"/>
      <c r="V315" s="2558"/>
      <c r="W315" s="2558"/>
      <c r="X315" s="2558"/>
      <c r="Y315" s="2558"/>
      <c r="Z315" s="2558"/>
      <c r="AA315" s="2558"/>
      <c r="AB315" s="2558"/>
      <c r="AC315" s="2558"/>
      <c r="AD315" s="2559"/>
      <c r="AE315" s="1227"/>
      <c r="AF315" s="1227"/>
      <c r="AG315" s="1575"/>
      <c r="AH315" s="1227"/>
      <c r="AI315" s="1227"/>
      <c r="AJ315" s="1226"/>
      <c r="AK315" s="1226"/>
      <c r="AL315" s="1226"/>
      <c r="AM315" s="1226"/>
      <c r="AN315" s="1343"/>
      <c r="AO315" s="1211"/>
      <c r="AP315" s="1589" t="s">
        <v>2044</v>
      </c>
    </row>
    <row r="316" spans="1:42" hidden="1">
      <c r="A316" s="1226"/>
      <c r="B316" s="1227"/>
      <c r="C316" s="1577"/>
      <c r="D316" s="1577"/>
      <c r="E316" s="1223"/>
      <c r="F316" s="1358"/>
      <c r="G316" s="1227"/>
      <c r="H316" s="1227"/>
      <c r="I316" s="2560"/>
      <c r="J316" s="2560"/>
      <c r="K316" s="2560"/>
      <c r="L316" s="2560"/>
      <c r="M316" s="2560"/>
      <c r="N316" s="2560"/>
      <c r="O316" s="2560"/>
      <c r="P316" s="2560"/>
      <c r="Q316" s="2560"/>
      <c r="R316" s="2560"/>
      <c r="S316" s="2560"/>
      <c r="T316" s="2560"/>
      <c r="U316" s="2560"/>
      <c r="V316" s="2560"/>
      <c r="W316" s="2560"/>
      <c r="X316" s="2560"/>
      <c r="Y316" s="2560"/>
      <c r="Z316" s="2560"/>
      <c r="AA316" s="2560"/>
      <c r="AB316" s="2560"/>
      <c r="AC316" s="2560"/>
      <c r="AD316" s="2561"/>
      <c r="AE316" s="1227"/>
      <c r="AF316" s="1227"/>
      <c r="AG316" s="1575"/>
      <c r="AH316" s="1227"/>
      <c r="AI316" s="1227"/>
      <c r="AJ316" s="1226"/>
      <c r="AK316" s="1226"/>
      <c r="AL316" s="1226"/>
      <c r="AM316" s="1226"/>
      <c r="AN316" s="1343"/>
      <c r="AO316" s="1211"/>
      <c r="AP316" s="1589" t="s">
        <v>2043</v>
      </c>
    </row>
    <row r="317" spans="1:42" hidden="1">
      <c r="A317" s="1226"/>
      <c r="B317" s="1227"/>
      <c r="C317" s="1577"/>
      <c r="D317" s="1577"/>
      <c r="E317" s="1223"/>
      <c r="F317" s="1358"/>
      <c r="G317" s="1227"/>
      <c r="H317" s="1227"/>
      <c r="I317" s="1227"/>
      <c r="J317" s="1227"/>
      <c r="K317" s="1227"/>
      <c r="L317" s="1227"/>
      <c r="M317" s="1227"/>
      <c r="N317" s="1227"/>
      <c r="O317" s="1227"/>
      <c r="P317" s="1227"/>
      <c r="Q317" s="1227"/>
      <c r="R317" s="1227"/>
      <c r="S317" s="1227"/>
      <c r="T317" s="1227"/>
      <c r="U317" s="1227"/>
      <c r="V317" s="1227"/>
      <c r="W317" s="1227"/>
      <c r="X317" s="1227"/>
      <c r="Y317" s="1227"/>
      <c r="Z317" s="1227"/>
      <c r="AA317" s="1227"/>
      <c r="AB317" s="1227"/>
      <c r="AC317" s="1227"/>
      <c r="AD317" s="1359"/>
      <c r="AE317" s="1227"/>
      <c r="AF317" s="1227"/>
      <c r="AG317" s="1575"/>
      <c r="AH317" s="1227"/>
      <c r="AI317" s="1227"/>
      <c r="AJ317" s="1226"/>
      <c r="AK317" s="1226"/>
      <c r="AL317" s="1226"/>
      <c r="AM317" s="1226"/>
      <c r="AN317" s="1343"/>
      <c r="AO317" s="1211"/>
      <c r="AP317" s="1210"/>
    </row>
    <row r="318" spans="1:42" hidden="1">
      <c r="A318" s="1226"/>
      <c r="B318" s="1227"/>
      <c r="C318" s="1577"/>
      <c r="D318" s="1577"/>
      <c r="E318" s="1223"/>
      <c r="F318" s="1358"/>
      <c r="G318" s="1227" t="s">
        <v>532</v>
      </c>
      <c r="H318" s="1227"/>
      <c r="I318" s="2558" t="s">
        <v>1344</v>
      </c>
      <c r="J318" s="2558"/>
      <c r="K318" s="2558"/>
      <c r="L318" s="2558"/>
      <c r="M318" s="2558"/>
      <c r="N318" s="2558"/>
      <c r="O318" s="2558"/>
      <c r="P318" s="2558"/>
      <c r="Q318" s="2558"/>
      <c r="R318" s="2558"/>
      <c r="S318" s="2558"/>
      <c r="T318" s="2558"/>
      <c r="U318" s="2558"/>
      <c r="V318" s="2558"/>
      <c r="W318" s="2558"/>
      <c r="X318" s="2558"/>
      <c r="Y318" s="2558"/>
      <c r="Z318" s="2558"/>
      <c r="AA318" s="2558"/>
      <c r="AB318" s="2558"/>
      <c r="AC318" s="2558"/>
      <c r="AD318" s="2559"/>
      <c r="AE318" s="1227"/>
      <c r="AF318" s="1227"/>
      <c r="AG318" s="1575"/>
      <c r="AH318" s="1227"/>
      <c r="AI318" s="1227"/>
      <c r="AJ318" s="1226"/>
      <c r="AK318" s="1226"/>
      <c r="AL318" s="1226"/>
      <c r="AM318" s="1226"/>
      <c r="AN318" s="1343"/>
      <c r="AO318" s="1211"/>
    </row>
    <row r="319" spans="1:42" hidden="1">
      <c r="A319" s="1226"/>
      <c r="B319" s="1227"/>
      <c r="C319" s="1577"/>
      <c r="D319" s="1577"/>
      <c r="E319" s="1223"/>
      <c r="F319" s="1358"/>
      <c r="G319" s="1227"/>
      <c r="H319" s="1227"/>
      <c r="I319" s="2558"/>
      <c r="J319" s="2558"/>
      <c r="K319" s="2558"/>
      <c r="L319" s="2558"/>
      <c r="M319" s="2558"/>
      <c r="N319" s="2558"/>
      <c r="O319" s="2558"/>
      <c r="P319" s="2558"/>
      <c r="Q319" s="2558"/>
      <c r="R319" s="2558"/>
      <c r="S319" s="2558"/>
      <c r="T319" s="2558"/>
      <c r="U319" s="2558"/>
      <c r="V319" s="2558"/>
      <c r="W319" s="2558"/>
      <c r="X319" s="2558"/>
      <c r="Y319" s="2558"/>
      <c r="Z319" s="2558"/>
      <c r="AA319" s="2558"/>
      <c r="AB319" s="2558"/>
      <c r="AC319" s="2558"/>
      <c r="AD319" s="2559"/>
      <c r="AE319" s="1227"/>
      <c r="AF319" s="1227"/>
      <c r="AG319" s="1575"/>
      <c r="AH319" s="1227"/>
      <c r="AI319" s="1227"/>
      <c r="AJ319" s="1226"/>
      <c r="AK319" s="1226"/>
      <c r="AL319" s="1226"/>
      <c r="AM319" s="1226"/>
      <c r="AN319" s="1343"/>
      <c r="AO319" s="1211"/>
      <c r="AP319" s="1589" t="s">
        <v>1344</v>
      </c>
    </row>
    <row r="320" spans="1:42" hidden="1">
      <c r="A320" s="1226"/>
      <c r="B320" s="1227"/>
      <c r="C320" s="1577"/>
      <c r="D320" s="1577"/>
      <c r="E320" s="1223"/>
      <c r="F320" s="1360"/>
      <c r="G320" s="1361"/>
      <c r="H320" s="1361"/>
      <c r="I320" s="2560"/>
      <c r="J320" s="2560"/>
      <c r="K320" s="2560"/>
      <c r="L320" s="2560"/>
      <c r="M320" s="2560"/>
      <c r="N320" s="2560"/>
      <c r="O320" s="2560"/>
      <c r="P320" s="2560"/>
      <c r="Q320" s="2560"/>
      <c r="R320" s="2560"/>
      <c r="S320" s="2560"/>
      <c r="T320" s="2560"/>
      <c r="U320" s="2560"/>
      <c r="V320" s="2560"/>
      <c r="W320" s="2560"/>
      <c r="X320" s="2560"/>
      <c r="Y320" s="2560"/>
      <c r="Z320" s="2560"/>
      <c r="AA320" s="2560"/>
      <c r="AB320" s="2560"/>
      <c r="AC320" s="2560"/>
      <c r="AD320" s="2561"/>
      <c r="AE320" s="1227"/>
      <c r="AF320" s="1227"/>
      <c r="AG320" s="1575"/>
      <c r="AH320" s="1227"/>
      <c r="AI320" s="1227"/>
      <c r="AJ320" s="1226"/>
      <c r="AK320" s="1226"/>
      <c r="AL320" s="1226"/>
      <c r="AM320" s="1226"/>
      <c r="AN320" s="1343"/>
      <c r="AO320" s="1211"/>
      <c r="AP320" s="1589" t="s">
        <v>1581</v>
      </c>
    </row>
    <row r="321" spans="1:44" hidden="1">
      <c r="A321" s="1226"/>
      <c r="B321" s="1227"/>
      <c r="C321" s="1226"/>
      <c r="D321" s="1227"/>
      <c r="E321" s="1226"/>
      <c r="F321" s="1278"/>
      <c r="G321" s="1227"/>
      <c r="H321" s="1227"/>
      <c r="I321" s="1227"/>
      <c r="J321" s="1227"/>
      <c r="K321" s="1227"/>
      <c r="L321" s="1227"/>
      <c r="M321" s="1227"/>
      <c r="N321" s="1227"/>
      <c r="O321" s="1227"/>
      <c r="P321" s="1227"/>
      <c r="Q321" s="1227"/>
      <c r="R321" s="1227"/>
      <c r="S321" s="1227"/>
      <c r="T321" s="1227"/>
      <c r="U321" s="1227"/>
      <c r="V321" s="1227"/>
      <c r="W321" s="1227"/>
      <c r="X321" s="1227"/>
      <c r="Y321" s="1227"/>
      <c r="Z321" s="1227"/>
      <c r="AA321" s="1227"/>
      <c r="AB321" s="1227"/>
      <c r="AC321" s="1227"/>
      <c r="AD321" s="1227"/>
      <c r="AE321" s="1227"/>
      <c r="AF321" s="1227"/>
      <c r="AG321" s="1227"/>
      <c r="AH321" s="1227"/>
      <c r="AI321" s="1227"/>
      <c r="AJ321" s="1226"/>
      <c r="AK321" s="1226"/>
      <c r="AL321" s="1226"/>
      <c r="AM321" s="1226"/>
      <c r="AN321" s="1343"/>
      <c r="AO321" s="1211"/>
      <c r="AP321" s="1589" t="s">
        <v>1840</v>
      </c>
    </row>
    <row r="322" spans="1:44" ht="12.75" hidden="1" customHeight="1">
      <c r="A322" s="2562" t="s">
        <v>1582</v>
      </c>
      <c r="B322" s="2562"/>
      <c r="C322" s="2481" t="s">
        <v>615</v>
      </c>
      <c r="D322" s="2481"/>
      <c r="E322" s="1223"/>
      <c r="F322" s="2563" t="s">
        <v>2725</v>
      </c>
      <c r="G322" s="2564"/>
      <c r="H322" s="2564"/>
      <c r="I322" s="2564"/>
      <c r="J322" s="2564"/>
      <c r="K322" s="2564"/>
      <c r="L322" s="2564"/>
      <c r="M322" s="2564"/>
      <c r="N322" s="2564"/>
      <c r="O322" s="2564"/>
      <c r="P322" s="2564"/>
      <c r="Q322" s="2564"/>
      <c r="R322" s="2564"/>
      <c r="S322" s="2564"/>
      <c r="T322" s="2564"/>
      <c r="U322" s="2564"/>
      <c r="V322" s="2564"/>
      <c r="W322" s="2564"/>
      <c r="X322" s="2564"/>
      <c r="Y322" s="2564"/>
      <c r="Z322" s="2564"/>
      <c r="AA322" s="2564"/>
      <c r="AB322" s="2564"/>
      <c r="AC322" s="2564"/>
      <c r="AD322" s="2565"/>
      <c r="AE322" s="1227"/>
      <c r="AF322" s="1227"/>
      <c r="AG322" s="1575" t="s">
        <v>1578</v>
      </c>
      <c r="AH322" s="1227"/>
      <c r="AI322" s="1227"/>
      <c r="AJ322" s="1226"/>
      <c r="AK322" s="1226"/>
      <c r="AL322" s="1226"/>
      <c r="AM322" s="1226"/>
      <c r="AN322" s="1343"/>
      <c r="AO322" s="1211"/>
    </row>
    <row r="323" spans="1:44" ht="15" hidden="1" customHeight="1">
      <c r="A323" s="1226"/>
      <c r="B323" s="1227"/>
      <c r="C323" s="1227"/>
      <c r="D323" s="1227"/>
      <c r="E323" s="1227"/>
      <c r="F323" s="2566"/>
      <c r="G323" s="2567"/>
      <c r="H323" s="2567"/>
      <c r="I323" s="2567"/>
      <c r="J323" s="2567"/>
      <c r="K323" s="2567"/>
      <c r="L323" s="2567"/>
      <c r="M323" s="2567"/>
      <c r="N323" s="2567"/>
      <c r="O323" s="2567"/>
      <c r="P323" s="2567"/>
      <c r="Q323" s="2567"/>
      <c r="R323" s="2567"/>
      <c r="S323" s="2567"/>
      <c r="T323" s="2567"/>
      <c r="U323" s="2567"/>
      <c r="V323" s="2567"/>
      <c r="W323" s="2567"/>
      <c r="X323" s="2567"/>
      <c r="Y323" s="2567"/>
      <c r="Z323" s="2567"/>
      <c r="AA323" s="2567"/>
      <c r="AB323" s="2567"/>
      <c r="AC323" s="2567"/>
      <c r="AD323" s="2568"/>
      <c r="AE323" s="1227"/>
      <c r="AF323" s="1227"/>
      <c r="AG323" s="1227"/>
      <c r="AH323" s="1227"/>
      <c r="AI323" s="1227"/>
      <c r="AJ323" s="1226"/>
      <c r="AK323" s="1226"/>
      <c r="AL323" s="1226"/>
      <c r="AM323" s="1226"/>
      <c r="AN323" s="1343"/>
      <c r="AO323" s="1211"/>
    </row>
    <row r="324" spans="1:44" ht="15" hidden="1" customHeight="1">
      <c r="A324" s="1226"/>
      <c r="B324" s="1227"/>
      <c r="C324" s="1227"/>
      <c r="D324" s="1227"/>
      <c r="E324" s="1227"/>
      <c r="F324" s="2566"/>
      <c r="G324" s="2567"/>
      <c r="H324" s="2567"/>
      <c r="I324" s="2567"/>
      <c r="J324" s="2567"/>
      <c r="K324" s="2567"/>
      <c r="L324" s="2567"/>
      <c r="M324" s="2567"/>
      <c r="N324" s="2567"/>
      <c r="O324" s="2567"/>
      <c r="P324" s="2567"/>
      <c r="Q324" s="2567"/>
      <c r="R324" s="2567"/>
      <c r="S324" s="2567"/>
      <c r="T324" s="2567"/>
      <c r="U324" s="2567"/>
      <c r="V324" s="2567"/>
      <c r="W324" s="2567"/>
      <c r="X324" s="2567"/>
      <c r="Y324" s="2567"/>
      <c r="Z324" s="2567"/>
      <c r="AA324" s="2567"/>
      <c r="AB324" s="2567"/>
      <c r="AC324" s="2567"/>
      <c r="AD324" s="2568"/>
      <c r="AE324" s="1227"/>
      <c r="AF324" s="1227"/>
      <c r="AG324" s="1227"/>
      <c r="AH324" s="1227"/>
      <c r="AI324" s="1227"/>
      <c r="AJ324" s="1226"/>
      <c r="AK324" s="1226"/>
      <c r="AL324" s="1226"/>
      <c r="AM324" s="1362"/>
      <c r="AN324" s="1211"/>
      <c r="AO324" s="1211"/>
    </row>
    <row r="325" spans="1:44" hidden="1">
      <c r="A325" s="1226"/>
      <c r="B325" s="1227"/>
      <c r="C325" s="1226"/>
      <c r="D325" s="1227"/>
      <c r="E325" s="1226"/>
      <c r="F325" s="1363" t="s">
        <v>1583</v>
      </c>
      <c r="G325" s="1364"/>
      <c r="H325" s="1364"/>
      <c r="I325" s="1364"/>
      <c r="J325" s="1364"/>
      <c r="K325" s="1364"/>
      <c r="L325" s="1364"/>
      <c r="M325" s="1364"/>
      <c r="N325" s="1364"/>
      <c r="O325" s="1364"/>
      <c r="P325" s="1364"/>
      <c r="Q325" s="1364"/>
      <c r="R325" s="1364"/>
      <c r="S325" s="1364"/>
      <c r="T325" s="1364"/>
      <c r="U325" s="1364"/>
      <c r="V325" s="1364"/>
      <c r="W325" s="1364"/>
      <c r="X325" s="1364"/>
      <c r="Y325" s="1364"/>
      <c r="Z325" s="1364"/>
      <c r="AA325" s="1364"/>
      <c r="AB325" s="1364"/>
      <c r="AC325" s="1364"/>
      <c r="AD325" s="1365"/>
      <c r="AE325" s="1227"/>
      <c r="AF325" s="1227"/>
      <c r="AG325" s="1227"/>
      <c r="AH325" s="1227"/>
      <c r="AI325" s="1227"/>
      <c r="AJ325" s="1226"/>
      <c r="AK325" s="1226"/>
      <c r="AL325" s="1226"/>
      <c r="AM325" s="1362"/>
      <c r="AN325" s="1210"/>
    </row>
    <row r="326" spans="1:44" hidden="1">
      <c r="A326" s="1226"/>
      <c r="B326" s="1227"/>
      <c r="C326" s="1226"/>
      <c r="D326" s="1227"/>
      <c r="E326" s="1226"/>
      <c r="F326" s="1285"/>
      <c r="G326" s="1285"/>
      <c r="H326" s="1285"/>
      <c r="I326" s="1285"/>
      <c r="J326" s="1285"/>
      <c r="K326" s="1285"/>
      <c r="L326" s="1285"/>
      <c r="M326" s="1285"/>
      <c r="N326" s="1285"/>
      <c r="O326" s="1285"/>
      <c r="P326" s="1285"/>
      <c r="Q326" s="1285"/>
      <c r="R326" s="1285"/>
      <c r="S326" s="1285"/>
      <c r="T326" s="1285"/>
      <c r="U326" s="1285"/>
      <c r="V326" s="1285"/>
      <c r="W326" s="1285"/>
      <c r="X326" s="1285"/>
      <c r="Y326" s="1285"/>
      <c r="Z326" s="1285"/>
      <c r="AA326" s="1285"/>
      <c r="AB326" s="1285"/>
      <c r="AC326" s="1285"/>
      <c r="AD326" s="1285"/>
      <c r="AE326" s="1227"/>
      <c r="AF326" s="1227"/>
      <c r="AG326" s="1227"/>
      <c r="AH326" s="1227"/>
      <c r="AI326" s="1227"/>
      <c r="AJ326" s="1226"/>
      <c r="AK326" s="1226"/>
      <c r="AL326" s="1226"/>
      <c r="AM326" s="1362"/>
      <c r="AN326" s="1210"/>
    </row>
    <row r="327" spans="1:44">
      <c r="A327" s="1269"/>
      <c r="B327" s="1366"/>
      <c r="C327" s="1366"/>
      <c r="D327" s="1366"/>
      <c r="E327" s="1366"/>
      <c r="F327" s="1366"/>
      <c r="G327" s="1366"/>
      <c r="H327" s="1366"/>
      <c r="I327" s="1366"/>
      <c r="J327" s="1366"/>
      <c r="K327" s="1366"/>
      <c r="L327" s="1366"/>
      <c r="M327" s="1366"/>
      <c r="N327" s="1366"/>
      <c r="O327" s="1366"/>
      <c r="P327" s="1366"/>
      <c r="Q327" s="1366"/>
      <c r="R327" s="1366"/>
      <c r="S327" s="1366"/>
      <c r="T327" s="1366"/>
      <c r="U327" s="1366"/>
      <c r="V327" s="1366"/>
      <c r="W327" s="1366"/>
      <c r="X327" s="1366"/>
      <c r="Y327" s="1366"/>
      <c r="Z327" s="1366"/>
      <c r="AA327" s="1366"/>
      <c r="AB327" s="1366"/>
      <c r="AC327" s="1367"/>
      <c r="AD327" s="1366"/>
      <c r="AE327" s="1232"/>
      <c r="AF327" s="1232"/>
      <c r="AG327" s="1232"/>
      <c r="AH327" s="1232"/>
      <c r="AI327" s="1233"/>
      <c r="AJ327" s="1233" t="s">
        <v>1646</v>
      </c>
      <c r="AK327" s="2454">
        <f>AP284</f>
        <v>9</v>
      </c>
      <c r="AL327" s="2455"/>
      <c r="AM327" s="2456"/>
      <c r="AN327" s="1210"/>
    </row>
    <row r="328" spans="1:44" s="1226" customFormat="1" ht="12.75" customHeight="1" thickBot="1">
      <c r="A328" s="1283"/>
      <c r="B328" s="1283"/>
      <c r="C328" s="1283"/>
      <c r="D328" s="1283"/>
      <c r="E328" s="1283"/>
      <c r="F328" s="1283"/>
      <c r="G328" s="1283"/>
      <c r="H328" s="1283"/>
      <c r="I328" s="1283"/>
      <c r="J328" s="1283"/>
      <c r="K328" s="1283"/>
      <c r="L328" s="1283"/>
      <c r="M328" s="1283"/>
      <c r="N328" s="1283"/>
      <c r="O328" s="1283"/>
      <c r="P328" s="1283"/>
      <c r="Q328" s="1283"/>
      <c r="R328" s="1283"/>
      <c r="S328" s="1283"/>
      <c r="T328" s="1283"/>
      <c r="U328" s="1283"/>
      <c r="V328" s="1283"/>
      <c r="W328" s="1283"/>
      <c r="X328" s="1283"/>
      <c r="Y328" s="1283"/>
      <c r="Z328" s="1283"/>
      <c r="AA328" s="1283"/>
      <c r="AB328" s="1283"/>
      <c r="AC328" s="1283"/>
      <c r="AD328" s="1283"/>
      <c r="AE328" s="1283"/>
      <c r="AF328" s="1283"/>
      <c r="AG328" s="1283"/>
      <c r="AH328" s="1283"/>
      <c r="AI328" s="1283"/>
      <c r="AJ328" s="1283"/>
      <c r="AK328" s="1283"/>
      <c r="AL328" s="1283"/>
      <c r="AM328" s="1283"/>
      <c r="AN328" s="1265"/>
    </row>
    <row r="329" spans="1:44" s="1226" customFormat="1" ht="12.75" customHeight="1" thickTop="1">
      <c r="A329" s="1211"/>
      <c r="B329" s="1211"/>
      <c r="C329" s="1211"/>
      <c r="D329" s="1211"/>
      <c r="E329" s="1211"/>
      <c r="F329" s="1211"/>
      <c r="G329" s="1211"/>
      <c r="H329" s="1211"/>
      <c r="I329" s="1211"/>
      <c r="J329" s="1211"/>
      <c r="K329" s="1211"/>
      <c r="L329" s="1211"/>
      <c r="M329" s="1211"/>
      <c r="N329" s="1211"/>
      <c r="O329" s="1211"/>
      <c r="P329" s="1211"/>
      <c r="Q329" s="1211"/>
      <c r="R329" s="1211"/>
      <c r="S329" s="1211"/>
      <c r="T329" s="1211"/>
      <c r="U329" s="1211"/>
      <c r="V329" s="1211"/>
      <c r="W329" s="1211"/>
      <c r="X329" s="1211"/>
      <c r="Y329" s="1211"/>
      <c r="Z329" s="1211"/>
      <c r="AA329" s="1211"/>
      <c r="AB329" s="1211"/>
      <c r="AC329" s="1211"/>
      <c r="AD329" s="1211"/>
      <c r="AE329" s="1211"/>
      <c r="AF329" s="1211"/>
      <c r="AG329" s="1211"/>
      <c r="AH329" s="1211"/>
      <c r="AI329" s="1211"/>
      <c r="AJ329" s="1211"/>
      <c r="AK329" s="1211"/>
      <c r="AL329" s="1211"/>
      <c r="AM329" s="1211"/>
      <c r="AN329" s="1265"/>
    </row>
    <row r="330" spans="1:44" s="1226" customFormat="1" ht="12.75" customHeight="1">
      <c r="A330" s="1575" t="s">
        <v>1647</v>
      </c>
      <c r="B330" s="1575" t="s">
        <v>889</v>
      </c>
      <c r="C330" s="1213"/>
      <c r="AC330" s="1575"/>
      <c r="AE330" s="2490" t="s">
        <v>1504</v>
      </c>
      <c r="AF330" s="2490"/>
      <c r="AG330" s="2490"/>
      <c r="AH330" s="2490"/>
      <c r="AI330" s="2490"/>
      <c r="AJ330" s="2490"/>
      <c r="AK330" s="2490"/>
      <c r="AL330" s="1575"/>
      <c r="AM330" s="1575"/>
      <c r="AN330" s="1258"/>
    </row>
    <row r="331" spans="1:44" s="1226" customFormat="1" ht="12.75" customHeight="1">
      <c r="A331" s="1575"/>
      <c r="B331" s="1575"/>
      <c r="C331" s="1213"/>
      <c r="AC331" s="1575"/>
      <c r="AE331" s="1563"/>
      <c r="AF331" s="1563"/>
      <c r="AG331" s="1563"/>
      <c r="AH331" s="1563"/>
      <c r="AI331" s="1563"/>
      <c r="AJ331" s="1563"/>
      <c r="AK331" s="1563"/>
      <c r="AL331" s="1575"/>
      <c r="AM331" s="1575"/>
      <c r="AN331" s="1258"/>
    </row>
    <row r="332" spans="1:44" s="1226" customFormat="1" ht="12.75" customHeight="1">
      <c r="A332" s="1264"/>
      <c r="B332" s="1274"/>
      <c r="C332" s="2551" t="s">
        <v>1648</v>
      </c>
      <c r="D332" s="2551"/>
      <c r="E332" s="2551"/>
      <c r="F332" s="2551"/>
      <c r="G332" s="2551"/>
      <c r="H332" s="2551"/>
      <c r="I332" s="2551"/>
      <c r="J332" s="2551"/>
      <c r="K332" s="2551"/>
      <c r="L332" s="2551"/>
      <c r="M332" s="2551"/>
      <c r="N332" s="2551"/>
      <c r="O332" s="2551"/>
      <c r="P332" s="2551"/>
      <c r="Q332" s="2551"/>
      <c r="R332" s="2551"/>
      <c r="S332" s="2551"/>
      <c r="T332" s="2551"/>
      <c r="U332" s="2551"/>
      <c r="V332" s="2551"/>
      <c r="W332" s="2551"/>
      <c r="X332" s="2551"/>
      <c r="Y332" s="2551"/>
      <c r="Z332" s="2551"/>
      <c r="AA332" s="2551"/>
      <c r="AB332" s="2551"/>
      <c r="AC332" s="2551"/>
      <c r="AD332" s="2551"/>
      <c r="AE332" s="2551"/>
      <c r="AF332" s="2551"/>
      <c r="AG332" s="2551"/>
      <c r="AH332" s="2551"/>
      <c r="AI332" s="2551"/>
      <c r="AJ332" s="2551"/>
      <c r="AK332" s="1264"/>
      <c r="AL332" s="1264"/>
      <c r="AM332" s="1264"/>
      <c r="AN332" s="1265"/>
    </row>
    <row r="333" spans="1:44" s="1226" customFormat="1" ht="12.75" customHeight="1">
      <c r="A333" s="1264"/>
      <c r="B333" s="1274"/>
      <c r="C333" s="2551"/>
      <c r="D333" s="2551"/>
      <c r="E333" s="2551"/>
      <c r="F333" s="2551"/>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1"/>
      <c r="AE333" s="2551"/>
      <c r="AF333" s="2551"/>
      <c r="AG333" s="2551"/>
      <c r="AH333" s="2551"/>
      <c r="AI333" s="2551"/>
      <c r="AJ333" s="2551"/>
      <c r="AK333" s="1264"/>
      <c r="AL333" s="1264"/>
      <c r="AM333" s="1264"/>
      <c r="AN333" s="1265"/>
    </row>
    <row r="334" spans="1:44" s="1226" customFormat="1" ht="12.75" customHeight="1">
      <c r="A334" s="1264"/>
      <c r="B334" s="1274"/>
      <c r="C334" s="2551"/>
      <c r="D334" s="2551"/>
      <c r="E334" s="2551"/>
      <c r="F334" s="2551"/>
      <c r="G334" s="2551"/>
      <c r="H334" s="2551"/>
      <c r="I334" s="2551"/>
      <c r="J334" s="2551"/>
      <c r="K334" s="2551"/>
      <c r="L334" s="2551"/>
      <c r="M334" s="2551"/>
      <c r="N334" s="2551"/>
      <c r="O334" s="2551"/>
      <c r="P334" s="2551"/>
      <c r="Q334" s="2551"/>
      <c r="R334" s="2551"/>
      <c r="S334" s="2551"/>
      <c r="T334" s="2551"/>
      <c r="U334" s="2551"/>
      <c r="V334" s="2551"/>
      <c r="W334" s="2551"/>
      <c r="X334" s="2551"/>
      <c r="Y334" s="2551"/>
      <c r="Z334" s="2551"/>
      <c r="AA334" s="2551"/>
      <c r="AB334" s="2551"/>
      <c r="AC334" s="2551"/>
      <c r="AD334" s="2551"/>
      <c r="AE334" s="2551"/>
      <c r="AF334" s="2551"/>
      <c r="AG334" s="2551"/>
      <c r="AH334" s="2551"/>
      <c r="AI334" s="2551"/>
      <c r="AJ334" s="2551"/>
      <c r="AK334" s="1264"/>
      <c r="AL334" s="1264"/>
      <c r="AM334" s="1264"/>
      <c r="AN334" s="1265"/>
      <c r="AQ334" s="1213"/>
    </row>
    <row r="335" spans="1:44" s="1226" customFormat="1" ht="12.75" customHeight="1">
      <c r="A335" s="1264"/>
      <c r="B335" s="1274"/>
      <c r="C335" s="2551"/>
      <c r="D335" s="2551"/>
      <c r="E335" s="2551"/>
      <c r="F335" s="2551"/>
      <c r="G335" s="2551"/>
      <c r="H335" s="2551"/>
      <c r="I335" s="2551"/>
      <c r="J335" s="2551"/>
      <c r="K335" s="2551"/>
      <c r="L335" s="2551"/>
      <c r="M335" s="2551"/>
      <c r="N335" s="2551"/>
      <c r="O335" s="2551"/>
      <c r="P335" s="2551"/>
      <c r="Q335" s="2551"/>
      <c r="R335" s="2551"/>
      <c r="S335" s="2551"/>
      <c r="T335" s="2551"/>
      <c r="U335" s="2551"/>
      <c r="V335" s="2551"/>
      <c r="W335" s="2551"/>
      <c r="X335" s="2551"/>
      <c r="Y335" s="2551"/>
      <c r="Z335" s="2551"/>
      <c r="AA335" s="2551"/>
      <c r="AB335" s="2551"/>
      <c r="AC335" s="2551"/>
      <c r="AD335" s="2551"/>
      <c r="AE335" s="2551"/>
      <c r="AF335" s="2551"/>
      <c r="AG335" s="2551"/>
      <c r="AH335" s="2551"/>
      <c r="AI335" s="2551"/>
      <c r="AJ335" s="2551"/>
      <c r="AK335" s="1264"/>
      <c r="AL335" s="1264"/>
      <c r="AM335" s="1264"/>
      <c r="AN335" s="1265"/>
      <c r="AQ335" s="1213"/>
    </row>
    <row r="336" spans="1:44" s="1226" customFormat="1" ht="12.45" customHeight="1">
      <c r="A336" s="1264"/>
      <c r="B336" s="1274"/>
      <c r="C336" s="2551"/>
      <c r="D336" s="2551"/>
      <c r="E336" s="2551"/>
      <c r="F336" s="2551"/>
      <c r="G336" s="2551"/>
      <c r="H336" s="2551"/>
      <c r="I336" s="2551"/>
      <c r="J336" s="2551"/>
      <c r="K336" s="2551"/>
      <c r="L336" s="2551"/>
      <c r="M336" s="2551"/>
      <c r="N336" s="2551"/>
      <c r="O336" s="2551"/>
      <c r="P336" s="2551"/>
      <c r="Q336" s="2551"/>
      <c r="R336" s="2551"/>
      <c r="S336" s="2551"/>
      <c r="T336" s="2551"/>
      <c r="U336" s="2551"/>
      <c r="V336" s="2551"/>
      <c r="W336" s="2551"/>
      <c r="X336" s="2551"/>
      <c r="Y336" s="2551"/>
      <c r="Z336" s="2551"/>
      <c r="AA336" s="2551"/>
      <c r="AB336" s="2551"/>
      <c r="AC336" s="2551"/>
      <c r="AD336" s="2551"/>
      <c r="AE336" s="2551"/>
      <c r="AF336" s="2551"/>
      <c r="AG336" s="2551"/>
      <c r="AH336" s="2551"/>
      <c r="AI336" s="2551"/>
      <c r="AJ336" s="2551"/>
      <c r="AK336" s="1264"/>
      <c r="AL336" s="1264"/>
      <c r="AM336" s="1264"/>
      <c r="AN336" s="1265"/>
      <c r="AQ336" s="1213"/>
      <c r="AR336" s="1213"/>
    </row>
    <row r="337" spans="1:46" s="1226" customFormat="1" ht="45.75" customHeight="1">
      <c r="A337" s="1264"/>
      <c r="B337" s="1274"/>
      <c r="C337" s="2551" t="s">
        <v>2726</v>
      </c>
      <c r="D337" s="2551"/>
      <c r="E337" s="2551"/>
      <c r="F337" s="2551"/>
      <c r="G337" s="2551"/>
      <c r="H337" s="2551"/>
      <c r="I337" s="2551"/>
      <c r="J337" s="2551"/>
      <c r="K337" s="2551"/>
      <c r="L337" s="2551"/>
      <c r="M337" s="2551"/>
      <c r="N337" s="2551"/>
      <c r="O337" s="2551"/>
      <c r="P337" s="2551"/>
      <c r="Q337" s="2551"/>
      <c r="R337" s="2551"/>
      <c r="S337" s="2551"/>
      <c r="T337" s="2551"/>
      <c r="U337" s="2551"/>
      <c r="V337" s="2551"/>
      <c r="W337" s="2551"/>
      <c r="X337" s="2551"/>
      <c r="Y337" s="2551"/>
      <c r="Z337" s="2551"/>
      <c r="AA337" s="2551"/>
      <c r="AB337" s="2551"/>
      <c r="AC337" s="2551"/>
      <c r="AD337" s="2551"/>
      <c r="AE337" s="2551"/>
      <c r="AF337" s="2551"/>
      <c r="AG337" s="2551"/>
      <c r="AH337" s="2551"/>
      <c r="AI337" s="2551"/>
      <c r="AJ337" s="2551"/>
      <c r="AK337" s="1264"/>
      <c r="AL337" s="1264"/>
      <c r="AM337" s="1264"/>
      <c r="AN337" s="1265"/>
      <c r="AQ337" s="1213"/>
      <c r="AR337" s="1213"/>
    </row>
    <row r="338" spans="1:46" s="1226" customFormat="1" ht="12.45" customHeight="1">
      <c r="A338" s="1264"/>
      <c r="B338" s="1274"/>
      <c r="C338" s="1571"/>
      <c r="D338" s="1571"/>
      <c r="E338" s="1571"/>
      <c r="F338" s="1571"/>
      <c r="G338" s="1571"/>
      <c r="H338" s="1571"/>
      <c r="I338" s="1571"/>
      <c r="J338" s="1571"/>
      <c r="K338" s="1571"/>
      <c r="L338" s="1571"/>
      <c r="M338" s="1571"/>
      <c r="N338" s="1571"/>
      <c r="O338" s="1571"/>
      <c r="P338" s="1571"/>
      <c r="Q338" s="1571"/>
      <c r="R338" s="1571"/>
      <c r="S338" s="1571"/>
      <c r="T338" s="1571"/>
      <c r="U338" s="1571"/>
      <c r="V338" s="1571"/>
      <c r="W338" s="1571"/>
      <c r="X338" s="1571"/>
      <c r="Y338" s="1571"/>
      <c r="Z338" s="1571"/>
      <c r="AA338" s="1571"/>
      <c r="AB338" s="1571"/>
      <c r="AC338" s="1571"/>
      <c r="AD338" s="1571"/>
      <c r="AE338" s="1571"/>
      <c r="AF338" s="1571"/>
      <c r="AG338" s="1571"/>
      <c r="AH338" s="1571"/>
      <c r="AI338" s="1571"/>
      <c r="AJ338" s="1571"/>
      <c r="AK338" s="1264"/>
      <c r="AL338" s="1264"/>
      <c r="AM338" s="1264"/>
      <c r="AN338" s="1265"/>
      <c r="AQ338" s="1213"/>
      <c r="AR338" s="1213"/>
    </row>
    <row r="339" spans="1:46" s="1226" customFormat="1" ht="12.75" customHeight="1">
      <c r="A339" s="1264"/>
      <c r="B339" s="1274"/>
      <c r="C339" s="2551" t="s">
        <v>2176</v>
      </c>
      <c r="D339" s="2551"/>
      <c r="E339" s="2551"/>
      <c r="F339" s="2551"/>
      <c r="G339" s="2551"/>
      <c r="H339" s="2551"/>
      <c r="I339" s="2551"/>
      <c r="J339" s="2551"/>
      <c r="K339" s="2551"/>
      <c r="L339" s="2551"/>
      <c r="M339" s="2551"/>
      <c r="N339" s="2551"/>
      <c r="O339" s="2551"/>
      <c r="P339" s="2551"/>
      <c r="Q339" s="2551"/>
      <c r="R339" s="2551"/>
      <c r="S339" s="2551"/>
      <c r="T339" s="2551"/>
      <c r="U339" s="2551"/>
      <c r="V339" s="2551"/>
      <c r="W339" s="2551"/>
      <c r="X339" s="2551"/>
      <c r="Y339" s="2551"/>
      <c r="Z339" s="2551"/>
      <c r="AA339" s="2551"/>
      <c r="AB339" s="2551"/>
      <c r="AC339" s="2551"/>
      <c r="AD339" s="2551"/>
      <c r="AE339" s="2551"/>
      <c r="AF339" s="2551"/>
      <c r="AG339" s="2551"/>
      <c r="AH339" s="2551"/>
      <c r="AI339" s="2551"/>
      <c r="AJ339" s="2551"/>
      <c r="AK339" s="1264"/>
      <c r="AL339" s="1264"/>
      <c r="AM339" s="1264"/>
      <c r="AN339" s="1265"/>
      <c r="AQ339" s="1213"/>
      <c r="AR339" s="1213"/>
    </row>
    <row r="340" spans="1:46" s="1226" customFormat="1" ht="30" customHeight="1">
      <c r="A340" s="1264"/>
      <c r="B340" s="1274"/>
      <c r="C340" s="2551"/>
      <c r="D340" s="2551"/>
      <c r="E340" s="2551"/>
      <c r="F340" s="2551"/>
      <c r="G340" s="2551"/>
      <c r="H340" s="2551"/>
      <c r="I340" s="2551"/>
      <c r="J340" s="2551"/>
      <c r="K340" s="2551"/>
      <c r="L340" s="2551"/>
      <c r="M340" s="2551"/>
      <c r="N340" s="2551"/>
      <c r="O340" s="2551"/>
      <c r="P340" s="2551"/>
      <c r="Q340" s="2551"/>
      <c r="R340" s="2551"/>
      <c r="S340" s="2551"/>
      <c r="T340" s="2551"/>
      <c r="U340" s="2551"/>
      <c r="V340" s="2551"/>
      <c r="W340" s="2551"/>
      <c r="X340" s="2551"/>
      <c r="Y340" s="2551"/>
      <c r="Z340" s="2551"/>
      <c r="AA340" s="2551"/>
      <c r="AB340" s="2551"/>
      <c r="AC340" s="2551"/>
      <c r="AD340" s="2551"/>
      <c r="AE340" s="2551"/>
      <c r="AF340" s="2551"/>
      <c r="AG340" s="2551"/>
      <c r="AH340" s="2551"/>
      <c r="AI340" s="2551"/>
      <c r="AJ340" s="2551"/>
      <c r="AK340" s="1264"/>
      <c r="AL340" s="1264"/>
      <c r="AM340" s="1264"/>
      <c r="AN340" s="1265"/>
      <c r="AR340" s="1213"/>
    </row>
    <row r="341" spans="1:46" s="1226" customFormat="1" ht="12.75" customHeight="1">
      <c r="A341" s="1264"/>
      <c r="B341" s="1274"/>
      <c r="C341" s="2551"/>
      <c r="D341" s="2551"/>
      <c r="E341" s="2551"/>
      <c r="F341" s="2551"/>
      <c r="G341" s="2551"/>
      <c r="H341" s="2551"/>
      <c r="I341" s="2551"/>
      <c r="J341" s="2551"/>
      <c r="K341" s="2551"/>
      <c r="L341" s="2551"/>
      <c r="M341" s="2551"/>
      <c r="N341" s="2551"/>
      <c r="O341" s="2551"/>
      <c r="P341" s="2551"/>
      <c r="Q341" s="2551"/>
      <c r="R341" s="2551"/>
      <c r="S341" s="2551"/>
      <c r="T341" s="2551"/>
      <c r="U341" s="2551"/>
      <c r="V341" s="2551"/>
      <c r="W341" s="2551"/>
      <c r="X341" s="2551"/>
      <c r="Y341" s="2551"/>
      <c r="Z341" s="2551"/>
      <c r="AA341" s="2551"/>
      <c r="AB341" s="2551"/>
      <c r="AC341" s="2551"/>
      <c r="AD341" s="2551"/>
      <c r="AE341" s="2551"/>
      <c r="AF341" s="2551"/>
      <c r="AG341" s="2551"/>
      <c r="AH341" s="2551"/>
      <c r="AI341" s="2551"/>
      <c r="AJ341" s="2551"/>
      <c r="AK341" s="1264"/>
      <c r="AL341" s="1264"/>
      <c r="AM341" s="1264"/>
      <c r="AN341" s="1265"/>
      <c r="AR341" s="1213"/>
    </row>
    <row r="342" spans="1:46" s="1226" customFormat="1" ht="12.75" customHeight="1">
      <c r="A342" s="1264"/>
      <c r="B342" s="1274"/>
      <c r="C342" s="2551" t="s">
        <v>1649</v>
      </c>
      <c r="D342" s="2551"/>
      <c r="E342" s="2551"/>
      <c r="F342" s="2551"/>
      <c r="G342" s="2551"/>
      <c r="H342" s="2551"/>
      <c r="I342" s="2551"/>
      <c r="J342" s="2551"/>
      <c r="K342" s="2551"/>
      <c r="L342" s="2551"/>
      <c r="M342" s="2551"/>
      <c r="N342" s="2551"/>
      <c r="O342" s="2551"/>
      <c r="P342" s="2551"/>
      <c r="Q342" s="2551"/>
      <c r="R342" s="2551"/>
      <c r="S342" s="2551"/>
      <c r="T342" s="2551"/>
      <c r="U342" s="2551"/>
      <c r="V342" s="2551"/>
      <c r="W342" s="2551"/>
      <c r="X342" s="2551"/>
      <c r="Y342" s="2551"/>
      <c r="Z342" s="2551"/>
      <c r="AA342" s="2551"/>
      <c r="AB342" s="2551"/>
      <c r="AC342" s="2551"/>
      <c r="AD342" s="2551"/>
      <c r="AE342" s="2551"/>
      <c r="AF342" s="2551"/>
      <c r="AG342" s="2551"/>
      <c r="AH342" s="2551"/>
      <c r="AI342" s="2551"/>
      <c r="AJ342" s="2551"/>
      <c r="AK342" s="1264"/>
      <c r="AL342" s="1264"/>
      <c r="AM342" s="1264"/>
      <c r="AN342" s="1265"/>
      <c r="AQ342" s="1213"/>
      <c r="AR342" s="1213"/>
    </row>
    <row r="343" spans="1:46" s="1226" customFormat="1" ht="12.75" customHeight="1">
      <c r="A343" s="1264"/>
      <c r="B343" s="1274"/>
      <c r="C343" s="2551"/>
      <c r="D343" s="2551"/>
      <c r="E343" s="2551"/>
      <c r="F343" s="2551"/>
      <c r="G343" s="2551"/>
      <c r="H343" s="2551"/>
      <c r="I343" s="2551"/>
      <c r="J343" s="2551"/>
      <c r="K343" s="2551"/>
      <c r="L343" s="2551"/>
      <c r="M343" s="2551"/>
      <c r="N343" s="2551"/>
      <c r="O343" s="2551"/>
      <c r="P343" s="2551"/>
      <c r="Q343" s="2551"/>
      <c r="R343" s="2551"/>
      <c r="S343" s="2551"/>
      <c r="T343" s="2551"/>
      <c r="U343" s="2551"/>
      <c r="V343" s="2551"/>
      <c r="W343" s="2551"/>
      <c r="X343" s="2551"/>
      <c r="Y343" s="2551"/>
      <c r="Z343" s="2551"/>
      <c r="AA343" s="2551"/>
      <c r="AB343" s="2551"/>
      <c r="AC343" s="2551"/>
      <c r="AD343" s="2551"/>
      <c r="AE343" s="2551"/>
      <c r="AF343" s="2551"/>
      <c r="AG343" s="2551"/>
      <c r="AH343" s="2551"/>
      <c r="AI343" s="2551"/>
      <c r="AJ343" s="2551"/>
      <c r="AK343" s="1264"/>
      <c r="AL343" s="1264"/>
      <c r="AM343" s="1264"/>
      <c r="AN343" s="1265"/>
      <c r="AQ343" s="1213"/>
      <c r="AR343" s="1213"/>
    </row>
    <row r="344" spans="1:46" s="1226" customFormat="1" ht="13.2" customHeight="1">
      <c r="A344" s="1264"/>
      <c r="B344" s="1274"/>
      <c r="C344" s="2551"/>
      <c r="D344" s="2551"/>
      <c r="E344" s="2551"/>
      <c r="F344" s="2551"/>
      <c r="G344" s="2551"/>
      <c r="H344" s="2551"/>
      <c r="I344" s="2551"/>
      <c r="J344" s="2551"/>
      <c r="K344" s="2551"/>
      <c r="L344" s="2551"/>
      <c r="M344" s="2551"/>
      <c r="N344" s="2551"/>
      <c r="O344" s="2551"/>
      <c r="P344" s="2551"/>
      <c r="Q344" s="2551"/>
      <c r="R344" s="2551"/>
      <c r="S344" s="2551"/>
      <c r="T344" s="2551"/>
      <c r="U344" s="2551"/>
      <c r="V344" s="2551"/>
      <c r="W344" s="2551"/>
      <c r="X344" s="2551"/>
      <c r="Y344" s="2551"/>
      <c r="Z344" s="2551"/>
      <c r="AA344" s="2551"/>
      <c r="AB344" s="2551"/>
      <c r="AC344" s="2551"/>
      <c r="AD344" s="2551"/>
      <c r="AE344" s="2551"/>
      <c r="AF344" s="2551"/>
      <c r="AG344" s="2551"/>
      <c r="AH344" s="2551"/>
      <c r="AI344" s="2551"/>
      <c r="AJ344" s="2551"/>
      <c r="AK344" s="1264"/>
      <c r="AL344" s="1264"/>
      <c r="AM344" s="1264"/>
      <c r="AN344" s="1265"/>
      <c r="AQ344" s="1213"/>
      <c r="AR344" s="1213"/>
    </row>
    <row r="345" spans="1:46" s="1226" customFormat="1" ht="12.75" customHeight="1">
      <c r="A345" s="1264"/>
      <c r="B345" s="1274"/>
      <c r="C345" s="2551"/>
      <c r="D345" s="2551"/>
      <c r="E345" s="2551"/>
      <c r="F345" s="2551"/>
      <c r="G345" s="2551"/>
      <c r="H345" s="2551"/>
      <c r="I345" s="2551"/>
      <c r="J345" s="2551"/>
      <c r="K345" s="2551"/>
      <c r="L345" s="2551"/>
      <c r="M345" s="2551"/>
      <c r="N345" s="2551"/>
      <c r="O345" s="2551"/>
      <c r="P345" s="2551"/>
      <c r="Q345" s="2551"/>
      <c r="R345" s="2551"/>
      <c r="S345" s="2551"/>
      <c r="T345" s="2551"/>
      <c r="U345" s="2551"/>
      <c r="V345" s="2551"/>
      <c r="W345" s="2551"/>
      <c r="X345" s="2551"/>
      <c r="Y345" s="2551"/>
      <c r="Z345" s="2551"/>
      <c r="AA345" s="2551"/>
      <c r="AB345" s="2551"/>
      <c r="AC345" s="2551"/>
      <c r="AD345" s="2551"/>
      <c r="AE345" s="2551"/>
      <c r="AF345" s="2551"/>
      <c r="AG345" s="2551"/>
      <c r="AH345" s="2551"/>
      <c r="AI345" s="2551"/>
      <c r="AJ345" s="2551"/>
      <c r="AK345" s="1264"/>
      <c r="AL345" s="1264"/>
      <c r="AM345" s="1264"/>
      <c r="AN345" s="1265"/>
      <c r="AO345" s="1368"/>
      <c r="AP345" s="1368"/>
      <c r="AQ345" s="1213"/>
    </row>
    <row r="346" spans="1:46" s="1226" customFormat="1" ht="11.85" customHeight="1">
      <c r="A346" s="1264"/>
      <c r="B346" s="1274"/>
      <c r="C346" s="2551"/>
      <c r="D346" s="2551"/>
      <c r="E346" s="2551"/>
      <c r="F346" s="2551"/>
      <c r="G346" s="2551"/>
      <c r="H346" s="2551"/>
      <c r="I346" s="2551"/>
      <c r="J346" s="2551"/>
      <c r="K346" s="2551"/>
      <c r="L346" s="2551"/>
      <c r="M346" s="2551"/>
      <c r="N346" s="2551"/>
      <c r="O346" s="2551"/>
      <c r="P346" s="2551"/>
      <c r="Q346" s="2551"/>
      <c r="R346" s="2551"/>
      <c r="S346" s="2551"/>
      <c r="T346" s="2551"/>
      <c r="U346" s="2551"/>
      <c r="V346" s="2551"/>
      <c r="W346" s="2551"/>
      <c r="X346" s="2551"/>
      <c r="Y346" s="2551"/>
      <c r="Z346" s="2551"/>
      <c r="AA346" s="2551"/>
      <c r="AB346" s="2551"/>
      <c r="AC346" s="2551"/>
      <c r="AD346" s="2551"/>
      <c r="AE346" s="2551"/>
      <c r="AF346" s="2551"/>
      <c r="AG346" s="2551"/>
      <c r="AH346" s="2551"/>
      <c r="AI346" s="2551"/>
      <c r="AJ346" s="2551"/>
      <c r="AK346" s="1264"/>
      <c r="AL346" s="1264"/>
      <c r="AM346" s="1264"/>
      <c r="AN346" s="1265"/>
      <c r="AO346" s="1369" t="s">
        <v>117</v>
      </c>
      <c r="AP346" s="1370">
        <f>IF(C370="Yes",5,0)</f>
        <v>5</v>
      </c>
      <c r="AS346" s="1575" t="s">
        <v>1650</v>
      </c>
    </row>
    <row r="347" spans="1:46" s="1226" customFormat="1" ht="12.75" customHeight="1">
      <c r="A347" s="1264"/>
      <c r="B347" s="1274"/>
      <c r="C347" s="2551"/>
      <c r="D347" s="2551"/>
      <c r="E347" s="2551"/>
      <c r="F347" s="2551"/>
      <c r="G347" s="2551"/>
      <c r="H347" s="2551"/>
      <c r="I347" s="2551"/>
      <c r="J347" s="2551"/>
      <c r="K347" s="2551"/>
      <c r="L347" s="2551"/>
      <c r="M347" s="2551"/>
      <c r="N347" s="2551"/>
      <c r="O347" s="2551"/>
      <c r="P347" s="2551"/>
      <c r="Q347" s="2551"/>
      <c r="R347" s="2551"/>
      <c r="S347" s="2551"/>
      <c r="T347" s="2551"/>
      <c r="U347" s="2551"/>
      <c r="V347" s="2551"/>
      <c r="W347" s="2551"/>
      <c r="X347" s="2551"/>
      <c r="Y347" s="2551"/>
      <c r="Z347" s="2551"/>
      <c r="AA347" s="2551"/>
      <c r="AB347" s="2551"/>
      <c r="AC347" s="2551"/>
      <c r="AD347" s="2551"/>
      <c r="AE347" s="2551"/>
      <c r="AF347" s="2551"/>
      <c r="AG347" s="2551"/>
      <c r="AH347" s="2551"/>
      <c r="AI347" s="2551"/>
      <c r="AJ347" s="2551"/>
      <c r="AK347" s="1264"/>
      <c r="AL347" s="1264"/>
      <c r="AM347" s="1264"/>
      <c r="AN347" s="1265"/>
      <c r="AO347" s="1369" t="s">
        <v>118</v>
      </c>
      <c r="AP347" s="1370">
        <f>IF(C378="Yes",5,0)</f>
        <v>0</v>
      </c>
      <c r="AS347" s="2549">
        <f>IF(Application!D210="Non-Targeted",(SUM(AQ355+AQ364)),AS351)</f>
        <v>10</v>
      </c>
      <c r="AT347" s="2549"/>
    </row>
    <row r="348" spans="1:46" s="1226" customFormat="1" ht="12.75" customHeight="1">
      <c r="A348" s="1264"/>
      <c r="B348" s="1274"/>
      <c r="C348" s="2551"/>
      <c r="D348" s="2551"/>
      <c r="E348" s="2551"/>
      <c r="F348" s="2551"/>
      <c r="G348" s="2551"/>
      <c r="H348" s="2551"/>
      <c r="I348" s="2551"/>
      <c r="J348" s="2551"/>
      <c r="K348" s="2551"/>
      <c r="L348" s="2551"/>
      <c r="M348" s="2551"/>
      <c r="N348" s="2551"/>
      <c r="O348" s="2551"/>
      <c r="P348" s="2551"/>
      <c r="Q348" s="2551"/>
      <c r="R348" s="2551"/>
      <c r="S348" s="2551"/>
      <c r="T348" s="2551"/>
      <c r="U348" s="2551"/>
      <c r="V348" s="2551"/>
      <c r="W348" s="2551"/>
      <c r="X348" s="2551"/>
      <c r="Y348" s="2551"/>
      <c r="Z348" s="2551"/>
      <c r="AA348" s="2551"/>
      <c r="AB348" s="2551"/>
      <c r="AC348" s="2551"/>
      <c r="AD348" s="2551"/>
      <c r="AE348" s="2551"/>
      <c r="AF348" s="2551"/>
      <c r="AG348" s="2551"/>
      <c r="AH348" s="2551"/>
      <c r="AI348" s="2551"/>
      <c r="AJ348" s="2551"/>
      <c r="AK348" s="1264"/>
      <c r="AL348" s="1264"/>
      <c r="AM348" s="1264"/>
      <c r="AN348" s="1265"/>
      <c r="AO348" s="1369" t="s">
        <v>124</v>
      </c>
      <c r="AP348" s="1370">
        <f>IF(C386="Yes",7,0)</f>
        <v>0</v>
      </c>
      <c r="AS348" s="1575" t="s">
        <v>1651</v>
      </c>
    </row>
    <row r="349" spans="1:46" s="1226" customFormat="1" ht="12.75" customHeight="1">
      <c r="A349" s="1264"/>
      <c r="B349" s="1274"/>
      <c r="C349" s="2551"/>
      <c r="D349" s="2551"/>
      <c r="E349" s="2551"/>
      <c r="F349" s="2551"/>
      <c r="G349" s="2551"/>
      <c r="H349" s="2551"/>
      <c r="I349" s="2551"/>
      <c r="J349" s="2551"/>
      <c r="K349" s="2551"/>
      <c r="L349" s="2551"/>
      <c r="M349" s="2551"/>
      <c r="N349" s="2551"/>
      <c r="O349" s="2551"/>
      <c r="P349" s="2551"/>
      <c r="Q349" s="2551"/>
      <c r="R349" s="2551"/>
      <c r="S349" s="2551"/>
      <c r="T349" s="2551"/>
      <c r="U349" s="2551"/>
      <c r="V349" s="2551"/>
      <c r="W349" s="2551"/>
      <c r="X349" s="2551"/>
      <c r="Y349" s="2551"/>
      <c r="Z349" s="2551"/>
      <c r="AA349" s="2551"/>
      <c r="AB349" s="2551"/>
      <c r="AC349" s="2551"/>
      <c r="AD349" s="2551"/>
      <c r="AE349" s="2551"/>
      <c r="AF349" s="2551"/>
      <c r="AG349" s="2551"/>
      <c r="AH349" s="2551"/>
      <c r="AI349" s="2551"/>
      <c r="AJ349" s="2551"/>
      <c r="AK349" s="1264"/>
      <c r="AL349" s="1264"/>
      <c r="AM349" s="1264"/>
      <c r="AN349" s="1265"/>
      <c r="AO349" s="1265"/>
      <c r="AP349" s="1370">
        <f>IF(C388="Yes",5,0)</f>
        <v>5</v>
      </c>
      <c r="AS349" s="2549">
        <f>IF(AND(AQ355&gt;0,AQ364&gt;0),(AQ355+AQ364)/2,0)</f>
        <v>0</v>
      </c>
      <c r="AT349" s="2549"/>
    </row>
    <row r="350" spans="1:46" s="1226" customFormat="1" ht="12.75" customHeight="1">
      <c r="A350" s="1264"/>
      <c r="B350" s="1274"/>
      <c r="C350" s="2551"/>
      <c r="D350" s="2551"/>
      <c r="E350" s="2551"/>
      <c r="F350" s="2551"/>
      <c r="G350" s="2551"/>
      <c r="H350" s="2551"/>
      <c r="I350" s="2551"/>
      <c r="J350" s="2551"/>
      <c r="K350" s="2551"/>
      <c r="L350" s="2551"/>
      <c r="M350" s="2551"/>
      <c r="N350" s="2551"/>
      <c r="O350" s="2551"/>
      <c r="P350" s="2551"/>
      <c r="Q350" s="2551"/>
      <c r="R350" s="2551"/>
      <c r="S350" s="2551"/>
      <c r="T350" s="2551"/>
      <c r="U350" s="2551"/>
      <c r="V350" s="2551"/>
      <c r="W350" s="2551"/>
      <c r="X350" s="2551"/>
      <c r="Y350" s="2551"/>
      <c r="Z350" s="2551"/>
      <c r="AA350" s="2551"/>
      <c r="AB350" s="2551"/>
      <c r="AC350" s="2551"/>
      <c r="AD350" s="2551"/>
      <c r="AE350" s="2551"/>
      <c r="AF350" s="2551"/>
      <c r="AG350" s="2551"/>
      <c r="AH350" s="2551"/>
      <c r="AI350" s="2551"/>
      <c r="AJ350" s="2551"/>
      <c r="AK350" s="1264"/>
      <c r="AL350" s="1264"/>
      <c r="AM350" s="1264"/>
      <c r="AN350" s="1265"/>
      <c r="AO350" s="1369" t="s">
        <v>605</v>
      </c>
      <c r="AP350" s="1370">
        <f>IF(C396="Yes",5,0)</f>
        <v>0</v>
      </c>
      <c r="AS350" s="1575" t="s">
        <v>2194</v>
      </c>
    </row>
    <row r="351" spans="1:46" s="1226" customFormat="1" ht="12.75" customHeight="1">
      <c r="A351" s="1264"/>
      <c r="B351" s="1274"/>
      <c r="C351" s="2550" t="s">
        <v>1652</v>
      </c>
      <c r="D351" s="2550"/>
      <c r="E351" s="2550"/>
      <c r="F351" s="2550"/>
      <c r="G351" s="2550"/>
      <c r="H351" s="2550"/>
      <c r="I351" s="2550"/>
      <c r="J351" s="2550"/>
      <c r="K351" s="2550"/>
      <c r="L351" s="2550"/>
      <c r="M351" s="2550"/>
      <c r="N351" s="2550"/>
      <c r="O351" s="2550"/>
      <c r="P351" s="2550"/>
      <c r="Q351" s="2550"/>
      <c r="R351" s="2550"/>
      <c r="S351" s="2550"/>
      <c r="T351" s="2550"/>
      <c r="U351" s="2550"/>
      <c r="V351" s="2550"/>
      <c r="W351" s="2550"/>
      <c r="X351" s="2550"/>
      <c r="Y351" s="2550"/>
      <c r="Z351" s="2550"/>
      <c r="AA351" s="2550"/>
      <c r="AB351" s="2550"/>
      <c r="AC351" s="2550"/>
      <c r="AD351" s="2550"/>
      <c r="AE351" s="2550"/>
      <c r="AF351" s="2550"/>
      <c r="AG351" s="2550"/>
      <c r="AH351" s="2550"/>
      <c r="AI351" s="2550"/>
      <c r="AJ351" s="2550"/>
      <c r="AK351" s="1264"/>
      <c r="AL351" s="1264"/>
      <c r="AM351" s="1264"/>
      <c r="AN351" s="1265"/>
      <c r="AO351" s="1265"/>
      <c r="AP351" s="1370">
        <f>IF(C398="Yes",3,0)</f>
        <v>0</v>
      </c>
      <c r="AS351" s="2549">
        <f>IF(AQ355=0,AQ364,AQ355)</f>
        <v>10</v>
      </c>
      <c r="AT351" s="2549"/>
    </row>
    <row r="352" spans="1:46" s="1226" customFormat="1" ht="12.75" customHeight="1">
      <c r="A352" s="1264"/>
      <c r="B352" s="1274"/>
      <c r="C352" s="2550"/>
      <c r="D352" s="2550"/>
      <c r="E352" s="2550"/>
      <c r="F352" s="2550"/>
      <c r="G352" s="2550"/>
      <c r="H352" s="2550"/>
      <c r="I352" s="2550"/>
      <c r="J352" s="2550"/>
      <c r="K352" s="2550"/>
      <c r="L352" s="2550"/>
      <c r="M352" s="2550"/>
      <c r="N352" s="2550"/>
      <c r="O352" s="2550"/>
      <c r="P352" s="2550"/>
      <c r="Q352" s="2550"/>
      <c r="R352" s="2550"/>
      <c r="S352" s="2550"/>
      <c r="T352" s="2550"/>
      <c r="U352" s="2550"/>
      <c r="V352" s="2550"/>
      <c r="W352" s="2550"/>
      <c r="X352" s="2550"/>
      <c r="Y352" s="2550"/>
      <c r="Z352" s="2550"/>
      <c r="AA352" s="2550"/>
      <c r="AB352" s="2550"/>
      <c r="AC352" s="2550"/>
      <c r="AD352" s="2550"/>
      <c r="AE352" s="2550"/>
      <c r="AF352" s="2550"/>
      <c r="AG352" s="2550"/>
      <c r="AH352" s="2550"/>
      <c r="AI352" s="2550"/>
      <c r="AJ352" s="2550"/>
      <c r="AK352" s="1264"/>
      <c r="AL352" s="1264"/>
      <c r="AM352" s="1264"/>
      <c r="AN352" s="1265"/>
      <c r="AO352" s="1369" t="s">
        <v>803</v>
      </c>
      <c r="AP352" s="1370">
        <f>IF(C401="Yes",5,0)</f>
        <v>0</v>
      </c>
    </row>
    <row r="353" spans="1:81" s="1226" customFormat="1" ht="12.75" customHeight="1">
      <c r="A353" s="1264"/>
      <c r="B353" s="1274"/>
      <c r="C353" s="2550"/>
      <c r="D353" s="2550"/>
      <c r="E353" s="2550"/>
      <c r="F353" s="2550"/>
      <c r="G353" s="2550"/>
      <c r="H353" s="2550"/>
      <c r="I353" s="2550"/>
      <c r="J353" s="2550"/>
      <c r="K353" s="2550"/>
      <c r="L353" s="2550"/>
      <c r="M353" s="2550"/>
      <c r="N353" s="2550"/>
      <c r="O353" s="2550"/>
      <c r="P353" s="2550"/>
      <c r="Q353" s="2550"/>
      <c r="R353" s="2550"/>
      <c r="S353" s="2550"/>
      <c r="T353" s="2550"/>
      <c r="U353" s="2550"/>
      <c r="V353" s="2550"/>
      <c r="W353" s="2550"/>
      <c r="X353" s="2550"/>
      <c r="Y353" s="2550"/>
      <c r="Z353" s="2550"/>
      <c r="AA353" s="2550"/>
      <c r="AB353" s="2550"/>
      <c r="AC353" s="2550"/>
      <c r="AD353" s="2550"/>
      <c r="AE353" s="2550"/>
      <c r="AF353" s="2550"/>
      <c r="AG353" s="2550"/>
      <c r="AH353" s="2550"/>
      <c r="AI353" s="2550"/>
      <c r="AJ353" s="2550"/>
      <c r="AK353" s="1264"/>
      <c r="AL353" s="1264"/>
      <c r="AM353" s="1264"/>
      <c r="AN353" s="1265"/>
      <c r="AO353" s="1369" t="s">
        <v>608</v>
      </c>
      <c r="AP353" s="1370">
        <f>IF(C410="Yes",5,0)</f>
        <v>0</v>
      </c>
    </row>
    <row r="354" spans="1:81" s="1226" customFormat="1" ht="11.85" customHeight="1">
      <c r="A354" s="1264"/>
      <c r="B354" s="1274"/>
      <c r="C354" s="2550"/>
      <c r="D354" s="2550"/>
      <c r="E354" s="2550"/>
      <c r="F354" s="2550"/>
      <c r="G354" s="2550"/>
      <c r="H354" s="2550"/>
      <c r="I354" s="2550"/>
      <c r="J354" s="2550"/>
      <c r="K354" s="2550"/>
      <c r="L354" s="2550"/>
      <c r="M354" s="2550"/>
      <c r="N354" s="2550"/>
      <c r="O354" s="2550"/>
      <c r="P354" s="2550"/>
      <c r="Q354" s="2550"/>
      <c r="R354" s="2550"/>
      <c r="S354" s="2550"/>
      <c r="T354" s="2550"/>
      <c r="U354" s="2550"/>
      <c r="V354" s="2550"/>
      <c r="W354" s="2550"/>
      <c r="X354" s="2550"/>
      <c r="Y354" s="2550"/>
      <c r="Z354" s="2550"/>
      <c r="AA354" s="2550"/>
      <c r="AB354" s="2550"/>
      <c r="AC354" s="2550"/>
      <c r="AD354" s="2550"/>
      <c r="AE354" s="2550"/>
      <c r="AF354" s="2550"/>
      <c r="AG354" s="2550"/>
      <c r="AH354" s="2550"/>
      <c r="AI354" s="2550"/>
      <c r="AJ354" s="2550"/>
      <c r="AK354" s="1264"/>
      <c r="AL354" s="1264"/>
      <c r="AM354" s="1264"/>
      <c r="AN354" s="1265"/>
      <c r="AO354" s="1371"/>
      <c r="AP354" s="1372">
        <f>IF(C412="Yes",3,0)</f>
        <v>0</v>
      </c>
    </row>
    <row r="355" spans="1:81" s="1226" customFormat="1" ht="12.45" customHeight="1">
      <c r="A355" s="1264"/>
      <c r="B355" s="1274"/>
      <c r="C355" s="2550"/>
      <c r="D355" s="2550"/>
      <c r="E355" s="2550"/>
      <c r="F355" s="2550"/>
      <c r="G355" s="2550"/>
      <c r="H355" s="2550"/>
      <c r="I355" s="2550"/>
      <c r="J355" s="2550"/>
      <c r="K355" s="2550"/>
      <c r="L355" s="2550"/>
      <c r="M355" s="2550"/>
      <c r="N355" s="2550"/>
      <c r="O355" s="2550"/>
      <c r="P355" s="2550"/>
      <c r="Q355" s="2550"/>
      <c r="R355" s="2550"/>
      <c r="S355" s="2550"/>
      <c r="T355" s="2550"/>
      <c r="U355" s="2550"/>
      <c r="V355" s="2550"/>
      <c r="W355" s="2550"/>
      <c r="X355" s="2550"/>
      <c r="Y355" s="2550"/>
      <c r="Z355" s="2550"/>
      <c r="AA355" s="2550"/>
      <c r="AB355" s="2550"/>
      <c r="AC355" s="2550"/>
      <c r="AD355" s="2550"/>
      <c r="AE355" s="2550"/>
      <c r="AF355" s="2550"/>
      <c r="AG355" s="2550"/>
      <c r="AH355" s="2550"/>
      <c r="AI355" s="2550"/>
      <c r="AJ355" s="2550"/>
      <c r="AK355" s="1264"/>
      <c r="AL355" s="1264"/>
      <c r="AM355" s="1264"/>
      <c r="AN355" s="1265"/>
      <c r="AO355" s="1373" t="s">
        <v>232</v>
      </c>
      <c r="AP355" s="1374">
        <f>SUM(AP346:AP354)</f>
        <v>10</v>
      </c>
      <c r="AQ355" s="2452">
        <f>IF(AP355&gt;0,AP355,0)</f>
        <v>10</v>
      </c>
      <c r="AR355" s="2452"/>
    </row>
    <row r="356" spans="1:81" s="1226" customFormat="1" ht="12.75" customHeight="1">
      <c r="A356" s="1264"/>
      <c r="B356" s="1274"/>
      <c r="C356" s="2550"/>
      <c r="D356" s="2550"/>
      <c r="E356" s="2550"/>
      <c r="F356" s="2550"/>
      <c r="G356" s="2550"/>
      <c r="H356" s="2550"/>
      <c r="I356" s="2550"/>
      <c r="J356" s="2550"/>
      <c r="K356" s="2550"/>
      <c r="L356" s="2550"/>
      <c r="M356" s="2550"/>
      <c r="N356" s="2550"/>
      <c r="O356" s="2550"/>
      <c r="P356" s="2550"/>
      <c r="Q356" s="2550"/>
      <c r="R356" s="2550"/>
      <c r="S356" s="2550"/>
      <c r="T356" s="2550"/>
      <c r="U356" s="2550"/>
      <c r="V356" s="2550"/>
      <c r="W356" s="2550"/>
      <c r="X356" s="2550"/>
      <c r="Y356" s="2550"/>
      <c r="Z356" s="2550"/>
      <c r="AA356" s="2550"/>
      <c r="AB356" s="2550"/>
      <c r="AC356" s="2550"/>
      <c r="AD356" s="2550"/>
      <c r="AE356" s="2550"/>
      <c r="AF356" s="2550"/>
      <c r="AG356" s="2550"/>
      <c r="AH356" s="2550"/>
      <c r="AI356" s="2550"/>
      <c r="AJ356" s="2550"/>
      <c r="AK356" s="1264"/>
      <c r="AL356" s="1264"/>
      <c r="AM356" s="1264"/>
      <c r="AN356" s="1265"/>
      <c r="AP356" s="1213"/>
    </row>
    <row r="357" spans="1:81" s="1226" customFormat="1" ht="12.75" customHeight="1">
      <c r="A357" s="1264"/>
      <c r="B357" s="1274"/>
      <c r="C357" s="1375"/>
      <c r="D357" s="1375"/>
      <c r="E357" s="1375"/>
      <c r="F357" s="1375"/>
      <c r="G357" s="1375"/>
      <c r="H357" s="1375"/>
      <c r="I357" s="1375"/>
      <c r="J357" s="1375"/>
      <c r="K357" s="1375"/>
      <c r="L357" s="1375"/>
      <c r="M357" s="1375"/>
      <c r="N357" s="1375"/>
      <c r="O357" s="1375"/>
      <c r="P357" s="1375"/>
      <c r="Q357" s="1375"/>
      <c r="R357" s="1375"/>
      <c r="S357" s="1375"/>
      <c r="T357" s="1375"/>
      <c r="U357" s="1375"/>
      <c r="V357" s="1375"/>
      <c r="W357" s="1375"/>
      <c r="X357" s="1375"/>
      <c r="Y357" s="1375"/>
      <c r="Z357" s="1375"/>
      <c r="AA357" s="1375"/>
      <c r="AB357" s="1375"/>
      <c r="AC357" s="1375"/>
      <c r="AD357" s="1375"/>
      <c r="AE357" s="1375"/>
      <c r="AF357" s="1375"/>
      <c r="AG357" s="1375"/>
      <c r="AH357" s="1375"/>
      <c r="AI357" s="1375"/>
      <c r="AJ357" s="1375"/>
      <c r="AK357" s="1264"/>
      <c r="AL357" s="1264"/>
      <c r="AM357" s="1264"/>
      <c r="AN357" s="1265"/>
      <c r="AO357" s="1369" t="s">
        <v>478</v>
      </c>
      <c r="AP357" s="1370">
        <f>IF(C419="Yes",5,0)</f>
        <v>0</v>
      </c>
    </row>
    <row r="358" spans="1:81" s="1226" customFormat="1" ht="12.75" customHeight="1">
      <c r="A358" s="1264"/>
      <c r="B358" s="1274"/>
      <c r="C358" s="2551" t="s">
        <v>1653</v>
      </c>
      <c r="D358" s="2551"/>
      <c r="E358" s="2551"/>
      <c r="F358" s="2551"/>
      <c r="G358" s="2551"/>
      <c r="H358" s="2551"/>
      <c r="I358" s="2551"/>
      <c r="J358" s="2551"/>
      <c r="K358" s="2551"/>
      <c r="L358" s="2551"/>
      <c r="M358" s="2551"/>
      <c r="N358" s="2551"/>
      <c r="O358" s="2551"/>
      <c r="P358" s="2551"/>
      <c r="Q358" s="2551"/>
      <c r="R358" s="2551"/>
      <c r="S358" s="2551"/>
      <c r="T358" s="2551"/>
      <c r="U358" s="2551"/>
      <c r="V358" s="2551"/>
      <c r="W358" s="2551"/>
      <c r="X358" s="2551"/>
      <c r="Y358" s="2551"/>
      <c r="Z358" s="2551"/>
      <c r="AA358" s="2551"/>
      <c r="AB358" s="2551"/>
      <c r="AC358" s="2551"/>
      <c r="AD358" s="2551"/>
      <c r="AE358" s="2551"/>
      <c r="AF358" s="2551"/>
      <c r="AG358" s="2551"/>
      <c r="AH358" s="2551"/>
      <c r="AI358" s="2551"/>
      <c r="AJ358" s="2551"/>
      <c r="AK358" s="1264"/>
      <c r="AL358" s="1264"/>
      <c r="AM358" s="1264"/>
      <c r="AN358" s="1265"/>
      <c r="AO358" s="1369" t="s">
        <v>479</v>
      </c>
      <c r="AP358" s="1370">
        <f>IF(C431="Yes",5,0)</f>
        <v>0</v>
      </c>
    </row>
    <row r="359" spans="1:81" s="1226" customFormat="1" ht="12.75" customHeight="1">
      <c r="A359" s="1264"/>
      <c r="B359" s="1274"/>
      <c r="C359" s="2551"/>
      <c r="D359" s="2551"/>
      <c r="E359" s="2551"/>
      <c r="F359" s="2551"/>
      <c r="G359" s="2551"/>
      <c r="H359" s="2551"/>
      <c r="I359" s="2551"/>
      <c r="J359" s="2551"/>
      <c r="K359" s="2551"/>
      <c r="L359" s="2551"/>
      <c r="M359" s="2551"/>
      <c r="N359" s="2551"/>
      <c r="O359" s="2551"/>
      <c r="P359" s="2551"/>
      <c r="Q359" s="2551"/>
      <c r="R359" s="2551"/>
      <c r="S359" s="2551"/>
      <c r="T359" s="2551"/>
      <c r="U359" s="2551"/>
      <c r="V359" s="2551"/>
      <c r="W359" s="2551"/>
      <c r="X359" s="2551"/>
      <c r="Y359" s="2551"/>
      <c r="Z359" s="2551"/>
      <c r="AA359" s="2551"/>
      <c r="AB359" s="2551"/>
      <c r="AC359" s="2551"/>
      <c r="AD359" s="2551"/>
      <c r="AE359" s="2551"/>
      <c r="AF359" s="2551"/>
      <c r="AG359" s="2551"/>
      <c r="AH359" s="2551"/>
      <c r="AI359" s="2551"/>
      <c r="AJ359" s="2551"/>
      <c r="AK359" s="1264"/>
      <c r="AL359" s="1264"/>
      <c r="AM359" s="1264"/>
      <c r="AN359" s="1265"/>
      <c r="AO359" s="1369" t="s">
        <v>484</v>
      </c>
      <c r="AP359" s="1370">
        <f>IF(C438="Yes",5,0)</f>
        <v>0</v>
      </c>
    </row>
    <row r="360" spans="1:81" s="1226" customFormat="1" ht="68.099999999999994" customHeight="1">
      <c r="A360" s="1264"/>
      <c r="B360" s="1274"/>
      <c r="C360" s="2551"/>
      <c r="D360" s="2551"/>
      <c r="E360" s="2551"/>
      <c r="F360" s="2551"/>
      <c r="G360" s="2551"/>
      <c r="H360" s="2551"/>
      <c r="I360" s="2551"/>
      <c r="J360" s="2551"/>
      <c r="K360" s="2551"/>
      <c r="L360" s="2551"/>
      <c r="M360" s="2551"/>
      <c r="N360" s="2551"/>
      <c r="O360" s="2551"/>
      <c r="P360" s="2551"/>
      <c r="Q360" s="2551"/>
      <c r="R360" s="2551"/>
      <c r="S360" s="2551"/>
      <c r="T360" s="2551"/>
      <c r="U360" s="2551"/>
      <c r="V360" s="2551"/>
      <c r="W360" s="2551"/>
      <c r="X360" s="2551"/>
      <c r="Y360" s="2551"/>
      <c r="Z360" s="2551"/>
      <c r="AA360" s="2551"/>
      <c r="AB360" s="2551"/>
      <c r="AC360" s="2551"/>
      <c r="AD360" s="2551"/>
      <c r="AE360" s="2551"/>
      <c r="AF360" s="2551"/>
      <c r="AG360" s="2551"/>
      <c r="AH360" s="2551"/>
      <c r="AI360" s="2551"/>
      <c r="AJ360" s="2551"/>
      <c r="AK360" s="1264"/>
      <c r="AL360" s="1264"/>
      <c r="AM360" s="1264"/>
      <c r="AN360" s="1265"/>
      <c r="AO360" s="1369" t="s">
        <v>670</v>
      </c>
      <c r="AP360" s="1376">
        <f>IF(C442="Yes",5,0)</f>
        <v>0</v>
      </c>
    </row>
    <row r="361" spans="1:81" s="1226" customFormat="1" ht="12.45" customHeight="1">
      <c r="A361" s="1264"/>
      <c r="B361" s="1274"/>
      <c r="C361" s="1226" t="s">
        <v>1654</v>
      </c>
      <c r="AF361" s="1264"/>
      <c r="AG361" s="1264"/>
      <c r="AH361" s="1264"/>
      <c r="AI361" s="1264"/>
      <c r="AJ361" s="1264"/>
      <c r="AK361" s="1264"/>
      <c r="AL361" s="1264"/>
      <c r="AM361" s="1264"/>
      <c r="AN361" s="1265"/>
      <c r="AO361" s="1369" t="s">
        <v>367</v>
      </c>
      <c r="AP361" s="1370">
        <f>IF(C446="Yes",5,0)</f>
        <v>0</v>
      </c>
    </row>
    <row r="362" spans="1:81" s="1226" customFormat="1" ht="12.75" customHeight="1">
      <c r="A362" s="1264"/>
      <c r="B362" s="1274"/>
      <c r="C362" s="1377" t="s">
        <v>1655</v>
      </c>
      <c r="D362" s="1378"/>
      <c r="E362" s="1378"/>
      <c r="F362" s="1378"/>
      <c r="G362" s="1378"/>
      <c r="H362" s="1378"/>
      <c r="I362" s="1378"/>
      <c r="J362" s="1378"/>
      <c r="K362" s="1378"/>
      <c r="L362" s="1378"/>
      <c r="M362" s="1379"/>
      <c r="N362" s="1379"/>
      <c r="O362" s="1380"/>
      <c r="P362" s="1378"/>
      <c r="Q362" s="1378"/>
      <c r="R362" s="1379"/>
      <c r="S362" s="1379"/>
      <c r="T362" s="1378"/>
      <c r="U362" s="2547">
        <f>Application!CS663-U363</f>
        <v>145</v>
      </c>
      <c r="V362" s="2547"/>
      <c r="W362" s="2547"/>
      <c r="X362" s="1378"/>
      <c r="Y362" s="1378"/>
      <c r="Z362" s="1378"/>
      <c r="AA362" s="1381"/>
      <c r="AB362" s="1382"/>
      <c r="AC362" s="1382"/>
      <c r="AD362" s="1382"/>
      <c r="AE362" s="1264"/>
      <c r="AF362" s="1264"/>
      <c r="AG362" s="1264"/>
      <c r="AH362" s="1264"/>
      <c r="AI362" s="1264"/>
      <c r="AJ362" s="1264"/>
      <c r="AK362" s="1264"/>
      <c r="AL362" s="1264"/>
      <c r="AM362" s="1264"/>
      <c r="AN362" s="1265"/>
      <c r="AO362" s="1369" t="s">
        <v>368</v>
      </c>
      <c r="AP362" s="1370">
        <f>IF(C455="Yes",5,0)</f>
        <v>0</v>
      </c>
    </row>
    <row r="363" spans="1:81" s="1226" customFormat="1" ht="12.75" customHeight="1">
      <c r="A363" s="1264"/>
      <c r="B363" s="1274"/>
      <c r="C363" s="1383" t="s">
        <v>1656</v>
      </c>
      <c r="D363" s="1368"/>
      <c r="E363" s="1368"/>
      <c r="F363" s="1368"/>
      <c r="G363" s="1368"/>
      <c r="H363" s="1368"/>
      <c r="I363" s="1368"/>
      <c r="J363" s="1368"/>
      <c r="K363" s="1368"/>
      <c r="L363" s="1368"/>
      <c r="M363" s="1368"/>
      <c r="N363" s="1368"/>
      <c r="O363" s="1368"/>
      <c r="P363" s="1368"/>
      <c r="Q363" s="1368"/>
      <c r="R363" s="1368"/>
      <c r="S363" s="1368"/>
      <c r="T363" s="1368"/>
      <c r="U363" s="2548">
        <f>Application!AG756</f>
        <v>0</v>
      </c>
      <c r="V363" s="2548"/>
      <c r="W363" s="2548"/>
      <c r="X363" s="1368"/>
      <c r="Y363" s="1368"/>
      <c r="Z363" s="1368"/>
      <c r="AA363" s="1384"/>
      <c r="AC363" s="1385"/>
      <c r="AD363" s="1385"/>
      <c r="AE363" s="1264"/>
      <c r="AF363" s="1264"/>
      <c r="AG363" s="1264"/>
      <c r="AH363" s="1264"/>
      <c r="AI363" s="1264"/>
      <c r="AJ363" s="1264"/>
      <c r="AK363" s="1264"/>
      <c r="AL363" s="1264"/>
      <c r="AM363" s="1264"/>
      <c r="AN363" s="1265"/>
      <c r="AO363" s="1371"/>
      <c r="AP363" s="1372"/>
    </row>
    <row r="364" spans="1:81" s="1226" customFormat="1" ht="12.75" customHeight="1">
      <c r="A364" s="1264"/>
      <c r="B364" s="1274"/>
      <c r="C364" s="1336"/>
      <c r="U364" s="1386"/>
      <c r="V364" s="1386"/>
      <c r="W364" s="1386"/>
      <c r="AC364" s="1385"/>
      <c r="AD364" s="1385"/>
      <c r="AE364" s="1264"/>
      <c r="AF364" s="1264"/>
      <c r="AG364" s="1264"/>
      <c r="AH364" s="1264"/>
      <c r="AI364" s="1264"/>
      <c r="AJ364" s="1264"/>
      <c r="AK364" s="1264"/>
      <c r="AL364" s="1264"/>
      <c r="AM364" s="1264"/>
      <c r="AN364" s="1265"/>
      <c r="AO364" s="1387" t="s">
        <v>232</v>
      </c>
      <c r="AP364" s="1388">
        <f>SUM(AP357:AP362)</f>
        <v>0</v>
      </c>
      <c r="AQ364" s="2452">
        <f>IF(AP364&gt;0,AP364,0)</f>
        <v>0</v>
      </c>
      <c r="AR364" s="2452"/>
    </row>
    <row r="365" spans="1:81" s="1226" customFormat="1" ht="12.75" customHeight="1">
      <c r="A365" s="1264"/>
      <c r="B365" s="1211"/>
      <c r="C365" s="1389" t="s">
        <v>1657</v>
      </c>
      <c r="D365" s="1264"/>
      <c r="E365" s="1264"/>
      <c r="F365" s="1264"/>
      <c r="G365" s="1264"/>
      <c r="H365" s="1264"/>
      <c r="I365" s="1264"/>
      <c r="J365" s="1264"/>
      <c r="K365" s="1264"/>
      <c r="L365" s="1264"/>
      <c r="M365" s="1264"/>
      <c r="N365" s="1264"/>
      <c r="O365" s="1264"/>
      <c r="P365" s="1264"/>
      <c r="Q365" s="1264"/>
      <c r="R365" s="1264"/>
      <c r="S365" s="1264"/>
      <c r="T365" s="1264"/>
      <c r="U365" s="1264"/>
      <c r="V365" s="1264"/>
      <c r="W365" s="1264"/>
      <c r="X365" s="1264"/>
      <c r="Y365" s="1264"/>
      <c r="Z365" s="1264"/>
      <c r="AA365" s="1264"/>
      <c r="AB365" s="1264"/>
      <c r="AC365" s="1264"/>
      <c r="AD365" s="1264"/>
      <c r="AE365" s="1264"/>
      <c r="AF365" s="1264"/>
      <c r="AG365" s="1264"/>
      <c r="AH365" s="1264"/>
      <c r="AI365" s="1264"/>
      <c r="AJ365" s="1264"/>
      <c r="AK365" s="1264"/>
      <c r="AL365" s="1264"/>
      <c r="AM365" s="1264"/>
      <c r="AN365" s="1265"/>
      <c r="BS365" s="1210"/>
      <c r="BT365" s="1210"/>
      <c r="BU365" s="1211"/>
      <c r="BV365" s="1211"/>
      <c r="BW365" s="1211"/>
    </row>
    <row r="366" spans="1:81" s="1226" customFormat="1" ht="12.75" customHeight="1">
      <c r="A366" s="1213"/>
      <c r="B366" s="1211"/>
      <c r="C366" s="1390"/>
      <c r="D366" s="1391"/>
      <c r="E366" s="1392" t="s">
        <v>1505</v>
      </c>
      <c r="F366" s="2540" t="s">
        <v>1658</v>
      </c>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1393"/>
      <c r="AH366" s="1393"/>
      <c r="AI366" s="1393"/>
      <c r="AJ366" s="1393"/>
      <c r="AK366" s="1393"/>
      <c r="AL366" s="1394"/>
      <c r="AM366" s="1213"/>
      <c r="AN366" s="1265"/>
      <c r="AP366" s="1213"/>
      <c r="BS366" s="1210"/>
      <c r="BT366" s="1210"/>
      <c r="BU366" s="1211"/>
      <c r="BV366" s="1211"/>
      <c r="BW366" s="1211"/>
      <c r="BX366" s="1211"/>
      <c r="BY366" s="1211"/>
      <c r="BZ366" s="1211"/>
      <c r="CA366" s="1211"/>
      <c r="CB366" s="1211"/>
      <c r="CC366" s="1211"/>
    </row>
    <row r="367" spans="1:81" s="1226" customFormat="1" ht="12.75" customHeight="1">
      <c r="A367" s="1213"/>
      <c r="B367" s="1211"/>
      <c r="C367" s="1395"/>
      <c r="D367" s="1213"/>
      <c r="E367" s="1396"/>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1575"/>
      <c r="AH367" s="1575"/>
      <c r="AI367" s="1575"/>
      <c r="AJ367" s="1575"/>
      <c r="AK367" s="1575"/>
      <c r="AL367" s="1569"/>
      <c r="AM367" s="1213"/>
      <c r="AN367" s="1265"/>
      <c r="AP367" s="1213"/>
      <c r="BS367" s="1210"/>
      <c r="BT367" s="1210"/>
      <c r="BU367" s="1211"/>
      <c r="BV367" s="1211"/>
      <c r="BW367" s="1211"/>
      <c r="BX367" s="1211"/>
      <c r="BY367" s="1211"/>
      <c r="BZ367" s="1211"/>
      <c r="CA367" s="1211"/>
      <c r="CB367" s="1211"/>
      <c r="CC367" s="1211"/>
    </row>
    <row r="368" spans="1:81" s="1226" customFormat="1" ht="12.75" customHeight="1">
      <c r="A368" s="1213"/>
      <c r="B368" s="1211"/>
      <c r="C368" s="1395"/>
      <c r="D368" s="1213"/>
      <c r="E368" s="1396"/>
      <c r="F368" s="2527"/>
      <c r="G368" s="2527"/>
      <c r="H368" s="2527"/>
      <c r="I368" s="2527"/>
      <c r="J368" s="2527"/>
      <c r="K368" s="2527"/>
      <c r="L368" s="2527"/>
      <c r="M368" s="2527"/>
      <c r="N368" s="2527"/>
      <c r="O368" s="2527"/>
      <c r="P368" s="2527"/>
      <c r="Q368" s="2527"/>
      <c r="R368" s="2527"/>
      <c r="S368" s="2527"/>
      <c r="T368" s="2527"/>
      <c r="U368" s="2527"/>
      <c r="V368" s="2527"/>
      <c r="W368" s="2527"/>
      <c r="X368" s="2527"/>
      <c r="Y368" s="2527"/>
      <c r="Z368" s="2527"/>
      <c r="AA368" s="2527"/>
      <c r="AB368" s="2527"/>
      <c r="AC368" s="2527"/>
      <c r="AD368" s="2527"/>
      <c r="AE368" s="2527"/>
      <c r="AF368" s="2527"/>
      <c r="AG368" s="1575"/>
      <c r="AH368" s="1575"/>
      <c r="AI368" s="1575"/>
      <c r="AJ368" s="1575"/>
      <c r="AK368" s="1575"/>
      <c r="AL368" s="1569"/>
      <c r="AM368" s="1213"/>
      <c r="AN368" s="1265"/>
      <c r="BS368" s="1210"/>
      <c r="BT368" s="1210"/>
      <c r="BU368" s="1211"/>
      <c r="BV368" s="1211"/>
      <c r="BW368" s="1211"/>
      <c r="BX368" s="1211"/>
      <c r="BY368" s="1211"/>
      <c r="BZ368" s="1211"/>
      <c r="CA368" s="1211"/>
      <c r="CB368" s="1211"/>
      <c r="CC368" s="1211"/>
    </row>
    <row r="369" spans="1:81" s="1226" customFormat="1" ht="12.75" customHeight="1">
      <c r="A369" s="1213"/>
      <c r="B369" s="1211"/>
      <c r="C369" s="1395"/>
      <c r="D369" s="1213"/>
      <c r="E369" s="1396"/>
      <c r="F369" s="2527"/>
      <c r="G369" s="2527"/>
      <c r="H369" s="2527"/>
      <c r="I369" s="2527"/>
      <c r="J369" s="2527"/>
      <c r="K369" s="2527"/>
      <c r="L369" s="2527"/>
      <c r="M369" s="2527"/>
      <c r="N369" s="2527"/>
      <c r="O369" s="2527"/>
      <c r="P369" s="2527"/>
      <c r="Q369" s="2527"/>
      <c r="R369" s="2527"/>
      <c r="S369" s="2527"/>
      <c r="T369" s="2527"/>
      <c r="U369" s="2527"/>
      <c r="V369" s="2527"/>
      <c r="W369" s="2527"/>
      <c r="X369" s="2527"/>
      <c r="Y369" s="2527"/>
      <c r="Z369" s="2527"/>
      <c r="AA369" s="2527"/>
      <c r="AB369" s="2527"/>
      <c r="AC369" s="2527"/>
      <c r="AD369" s="2527"/>
      <c r="AE369" s="2527"/>
      <c r="AF369" s="2527"/>
      <c r="AG369" s="1575"/>
      <c r="AH369" s="1575"/>
      <c r="AI369" s="1575"/>
      <c r="AJ369" s="1575"/>
      <c r="AK369" s="1575"/>
      <c r="AL369" s="1569"/>
      <c r="AM369" s="1213"/>
      <c r="AN369" s="1265"/>
      <c r="BS369" s="1210"/>
      <c r="BT369" s="1210"/>
      <c r="BU369" s="1211"/>
      <c r="BV369" s="1211"/>
      <c r="BW369" s="1211"/>
      <c r="BX369" s="1211"/>
      <c r="BY369" s="1211"/>
      <c r="BZ369" s="1211"/>
      <c r="CA369" s="1211"/>
      <c r="CB369" s="1211"/>
      <c r="CC369" s="1211"/>
    </row>
    <row r="370" spans="1:81" s="1226" customFormat="1" ht="12.75" customHeight="1">
      <c r="A370" s="1213"/>
      <c r="B370" s="1211"/>
      <c r="C370" s="2539" t="s">
        <v>568</v>
      </c>
      <c r="D370" s="2481"/>
      <c r="E370" s="1396"/>
      <c r="F370" s="1397" t="s">
        <v>1659</v>
      </c>
      <c r="G370" s="1264"/>
      <c r="H370" s="1264"/>
      <c r="I370" s="1264"/>
      <c r="J370" s="1264"/>
      <c r="K370" s="1264"/>
      <c r="L370" s="1264"/>
      <c r="M370" s="1264"/>
      <c r="N370" s="1264"/>
      <c r="O370" s="1264"/>
      <c r="P370" s="1264"/>
      <c r="Q370" s="1264"/>
      <c r="R370" s="1264"/>
      <c r="S370" s="1264"/>
      <c r="T370" s="1264"/>
      <c r="U370" s="1264"/>
      <c r="V370" s="1264"/>
      <c r="W370" s="1264"/>
      <c r="X370" s="1264"/>
      <c r="Y370" s="1264"/>
      <c r="Z370" s="1264"/>
      <c r="AA370" s="1264"/>
      <c r="AB370" s="1264"/>
      <c r="AC370" s="1264"/>
      <c r="AD370" s="1264"/>
      <c r="AF370" s="2467" t="s">
        <v>1660</v>
      </c>
      <c r="AG370" s="2467"/>
      <c r="AH370" s="2467"/>
      <c r="AI370" s="2467"/>
      <c r="AJ370" s="2467"/>
      <c r="AK370" s="2467"/>
      <c r="AL370" s="2543"/>
      <c r="AM370" s="1398"/>
      <c r="BS370" s="1210"/>
      <c r="BT370" s="1210"/>
      <c r="BU370" s="1211"/>
      <c r="BV370" s="1211"/>
      <c r="BW370" s="1211"/>
      <c r="BX370" s="1211"/>
      <c r="BY370" s="1211"/>
      <c r="BZ370" s="1211"/>
      <c r="CA370" s="1211"/>
      <c r="CB370" s="1211"/>
      <c r="CC370" s="1211"/>
    </row>
    <row r="371" spans="1:81" s="1226" customFormat="1" ht="12.75" customHeight="1">
      <c r="A371" s="1213"/>
      <c r="B371" s="1211"/>
      <c r="C371" s="1399"/>
      <c r="D371" s="1400"/>
      <c r="E371" s="1401"/>
      <c r="F371" s="1402"/>
      <c r="G371" s="1403"/>
      <c r="H371" s="1403"/>
      <c r="I371" s="1403"/>
      <c r="J371" s="1403"/>
      <c r="K371" s="1403"/>
      <c r="L371" s="1403"/>
      <c r="M371" s="1403"/>
      <c r="N371" s="1403"/>
      <c r="O371" s="1403"/>
      <c r="P371" s="1403"/>
      <c r="Q371" s="1403"/>
      <c r="R371" s="1403"/>
      <c r="S371" s="1403"/>
      <c r="T371" s="1403"/>
      <c r="U371" s="1403"/>
      <c r="V371" s="1403"/>
      <c r="W371" s="1403"/>
      <c r="X371" s="1403"/>
      <c r="Y371" s="1403"/>
      <c r="Z371" s="1403"/>
      <c r="AA371" s="1403"/>
      <c r="AB371" s="1403"/>
      <c r="AC371" s="1403"/>
      <c r="AD371" s="1403"/>
      <c r="AE371" s="1404"/>
      <c r="AF371" s="1404"/>
      <c r="AG371" s="1404"/>
      <c r="AH371" s="1404"/>
      <c r="AI371" s="1404"/>
      <c r="AJ371" s="1404"/>
      <c r="AK371" s="1404"/>
      <c r="AL371" s="1405"/>
      <c r="AM371" s="1406"/>
      <c r="AN371" s="1265"/>
      <c r="CC371" s="1211"/>
    </row>
    <row r="372" spans="1:81" s="1226" customFormat="1" ht="12.75" customHeight="1">
      <c r="A372" s="1213"/>
      <c r="B372" s="1211"/>
      <c r="C372" s="1566"/>
      <c r="D372" s="1566"/>
      <c r="E372" s="1396"/>
      <c r="F372" s="1263"/>
      <c r="G372" s="1263"/>
      <c r="H372" s="1263"/>
      <c r="I372" s="1263"/>
      <c r="J372" s="1263"/>
      <c r="K372" s="1263"/>
      <c r="L372" s="1263"/>
      <c r="M372" s="1263"/>
      <c r="N372" s="1263"/>
      <c r="O372" s="1263"/>
      <c r="P372" s="1263"/>
      <c r="Q372" s="1263"/>
      <c r="R372" s="1263"/>
      <c r="S372" s="1263"/>
      <c r="T372" s="1263"/>
      <c r="U372" s="1263"/>
      <c r="V372" s="1263"/>
      <c r="W372" s="1263"/>
      <c r="X372" s="1263"/>
      <c r="Y372" s="1263"/>
      <c r="Z372" s="1263"/>
      <c r="AA372" s="1263"/>
      <c r="AB372" s="1263"/>
      <c r="AC372" s="1263"/>
      <c r="AD372" s="1263"/>
      <c r="AE372" s="1555"/>
      <c r="AF372" s="1555"/>
      <c r="AG372" s="1555"/>
      <c r="AH372" s="1555"/>
      <c r="AI372" s="1555"/>
      <c r="AJ372" s="1555"/>
      <c r="AK372" s="1555"/>
      <c r="AL372" s="1555"/>
      <c r="AM372" s="1213"/>
      <c r="AN372" s="1265"/>
      <c r="BS372" s="1210"/>
      <c r="BT372" s="1210"/>
      <c r="BU372" s="1211"/>
      <c r="BV372" s="1211"/>
      <c r="BW372" s="1211"/>
      <c r="BX372" s="1211"/>
      <c r="BY372" s="1211"/>
      <c r="BZ372" s="1211"/>
      <c r="CA372" s="1211"/>
      <c r="CB372" s="1211"/>
      <c r="CC372" s="1211"/>
    </row>
    <row r="373" spans="1:81" s="1226" customFormat="1" ht="12.75" customHeight="1">
      <c r="A373" s="1213"/>
      <c r="B373" s="1211"/>
      <c r="C373" s="1390"/>
      <c r="D373" s="1391"/>
      <c r="E373" s="1392" t="s">
        <v>1507</v>
      </c>
      <c r="F373" s="2540" t="s">
        <v>1661</v>
      </c>
      <c r="G373" s="2540"/>
      <c r="H373" s="2540"/>
      <c r="I373" s="2540"/>
      <c r="J373" s="2540"/>
      <c r="K373" s="2540"/>
      <c r="L373" s="2540"/>
      <c r="M373" s="2540"/>
      <c r="N373" s="2540"/>
      <c r="O373" s="2540"/>
      <c r="P373" s="2540"/>
      <c r="Q373" s="2540"/>
      <c r="R373" s="2540"/>
      <c r="S373" s="2540"/>
      <c r="T373" s="2540"/>
      <c r="U373" s="2540"/>
      <c r="V373" s="2540"/>
      <c r="W373" s="2540"/>
      <c r="X373" s="2540"/>
      <c r="Y373" s="2540"/>
      <c r="Z373" s="2540"/>
      <c r="AA373" s="2540"/>
      <c r="AB373" s="2540"/>
      <c r="AC373" s="2540"/>
      <c r="AD373" s="2540"/>
      <c r="AE373" s="2540"/>
      <c r="AF373" s="2540"/>
      <c r="AG373" s="1393"/>
      <c r="AH373" s="1393"/>
      <c r="AI373" s="1393"/>
      <c r="AJ373" s="1393"/>
      <c r="AK373" s="1393"/>
      <c r="AL373" s="1394"/>
      <c r="AM373" s="1213"/>
      <c r="AN373" s="1265"/>
      <c r="BS373" s="1210"/>
      <c r="BT373" s="1210"/>
      <c r="BU373" s="1211"/>
      <c r="BV373" s="1211"/>
      <c r="BW373" s="1211"/>
      <c r="BX373" s="1211"/>
      <c r="BY373" s="1211"/>
      <c r="BZ373" s="1211"/>
      <c r="CA373" s="1211"/>
      <c r="CB373" s="1211"/>
      <c r="CC373" s="1211"/>
    </row>
    <row r="374" spans="1:81" s="1226" customFormat="1" ht="12.75" customHeight="1">
      <c r="A374" s="1213"/>
      <c r="B374" s="1211"/>
      <c r="C374" s="1407"/>
      <c r="D374" s="1211"/>
      <c r="E374" s="1408"/>
      <c r="F374" s="2527"/>
      <c r="G374" s="2527"/>
      <c r="H374" s="2527"/>
      <c r="I374" s="2527"/>
      <c r="J374" s="2527"/>
      <c r="K374" s="2527"/>
      <c r="L374" s="2527"/>
      <c r="M374" s="2527"/>
      <c r="N374" s="2527"/>
      <c r="O374" s="2527"/>
      <c r="P374" s="2527"/>
      <c r="Q374" s="2527"/>
      <c r="R374" s="2527"/>
      <c r="S374" s="2527"/>
      <c r="T374" s="2527"/>
      <c r="U374" s="2527"/>
      <c r="V374" s="2527"/>
      <c r="W374" s="2527"/>
      <c r="X374" s="2527"/>
      <c r="Y374" s="2527"/>
      <c r="Z374" s="2527"/>
      <c r="AA374" s="2527"/>
      <c r="AB374" s="2527"/>
      <c r="AC374" s="2527"/>
      <c r="AD374" s="2527"/>
      <c r="AE374" s="2527"/>
      <c r="AF374" s="2527"/>
      <c r="AG374" s="1575"/>
      <c r="AH374" s="1575"/>
      <c r="AI374" s="1575"/>
      <c r="AJ374" s="1575"/>
      <c r="AK374" s="1575"/>
      <c r="AL374" s="1569"/>
      <c r="AM374" s="1213"/>
      <c r="AN374" s="1265"/>
      <c r="BS374" s="1210"/>
      <c r="BT374" s="1210"/>
      <c r="BU374" s="1211"/>
      <c r="BV374" s="1211"/>
      <c r="BW374" s="1211"/>
      <c r="BX374" s="1211"/>
      <c r="BY374" s="1211"/>
      <c r="BZ374" s="1211"/>
      <c r="CA374" s="1211"/>
      <c r="CB374" s="1211"/>
      <c r="CC374" s="1211"/>
    </row>
    <row r="375" spans="1:81" s="1226" customFormat="1" ht="12.75" customHeight="1">
      <c r="A375" s="1213"/>
      <c r="B375" s="1211"/>
      <c r="C375" s="1407"/>
      <c r="D375" s="1211"/>
      <c r="E375" s="1408"/>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1575"/>
      <c r="AH375" s="1575"/>
      <c r="AI375" s="1575"/>
      <c r="AJ375" s="1575"/>
      <c r="AK375" s="1575"/>
      <c r="AL375" s="1569"/>
      <c r="AM375" s="1213"/>
      <c r="AN375" s="1265"/>
      <c r="BS375" s="1210"/>
      <c r="BT375" s="1210"/>
      <c r="BU375" s="1211"/>
      <c r="BV375" s="1211"/>
      <c r="BW375" s="1211"/>
      <c r="BX375" s="1211"/>
      <c r="BY375" s="1211"/>
      <c r="BZ375" s="1211"/>
      <c r="CA375" s="1211"/>
      <c r="CB375" s="1211"/>
      <c r="CC375" s="1211"/>
    </row>
    <row r="376" spans="1:81" s="1226" customFormat="1" ht="12.75" customHeight="1">
      <c r="A376" s="1213"/>
      <c r="B376" s="1211"/>
      <c r="C376" s="1407"/>
      <c r="D376" s="1211"/>
      <c r="E376" s="1408"/>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1575"/>
      <c r="AH376" s="1575"/>
      <c r="AI376" s="1575"/>
      <c r="AJ376" s="1575"/>
      <c r="AK376" s="1575"/>
      <c r="AL376" s="1569"/>
      <c r="AM376" s="1213"/>
      <c r="AN376" s="1265"/>
      <c r="BS376" s="1210"/>
      <c r="BT376" s="1210"/>
      <c r="BU376" s="1211"/>
      <c r="BV376" s="1211"/>
      <c r="BW376" s="1211"/>
      <c r="BX376" s="1211"/>
      <c r="BY376" s="1211"/>
      <c r="BZ376" s="1211"/>
      <c r="CA376" s="1211"/>
      <c r="CB376" s="1211"/>
      <c r="CC376" s="1211"/>
    </row>
    <row r="377" spans="1:81" s="1226" customFormat="1" ht="12.75" customHeight="1">
      <c r="A377" s="1213"/>
      <c r="B377" s="1211"/>
      <c r="C377" s="1407"/>
      <c r="D377" s="1211"/>
      <c r="E377" s="1408"/>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L377" s="1409"/>
      <c r="AN377" s="1265"/>
      <c r="BS377" s="1210"/>
      <c r="BT377" s="1210"/>
      <c r="BU377" s="1211"/>
      <c r="BV377" s="1211"/>
      <c r="BW377" s="1211"/>
      <c r="BX377" s="1211"/>
      <c r="BY377" s="1211"/>
      <c r="BZ377" s="1211"/>
      <c r="CA377" s="1211"/>
      <c r="CB377" s="1211"/>
      <c r="CC377" s="1211"/>
    </row>
    <row r="378" spans="1:81" s="1226" customFormat="1" ht="12.75" customHeight="1">
      <c r="A378" s="1213"/>
      <c r="B378" s="1211"/>
      <c r="C378" s="2539" t="s">
        <v>615</v>
      </c>
      <c r="D378" s="2481"/>
      <c r="E378" s="1408"/>
      <c r="F378" s="1397" t="s">
        <v>1662</v>
      </c>
      <c r="G378" s="1264"/>
      <c r="H378" s="1264"/>
      <c r="I378" s="1264"/>
      <c r="J378" s="1264"/>
      <c r="K378" s="1264"/>
      <c r="L378" s="1264"/>
      <c r="M378" s="1264"/>
      <c r="N378" s="1264"/>
      <c r="O378" s="1264"/>
      <c r="P378" s="1264"/>
      <c r="Q378" s="1264"/>
      <c r="R378" s="1264"/>
      <c r="S378" s="1264"/>
      <c r="T378" s="1264"/>
      <c r="U378" s="1264"/>
      <c r="V378" s="1264"/>
      <c r="W378" s="1264"/>
      <c r="X378" s="1264"/>
      <c r="Y378" s="1264"/>
      <c r="Z378" s="1264"/>
      <c r="AA378" s="1264"/>
      <c r="AB378" s="1264"/>
      <c r="AC378" s="1264"/>
      <c r="AD378" s="1264"/>
      <c r="AF378" s="2467" t="s">
        <v>1660</v>
      </c>
      <c r="AG378" s="2467"/>
      <c r="AH378" s="2467"/>
      <c r="AI378" s="2467"/>
      <c r="AJ378" s="2467"/>
      <c r="AK378" s="2467"/>
      <c r="AL378" s="2543"/>
      <c r="AM378" s="1406"/>
      <c r="AN378" s="1265"/>
      <c r="BS378" s="1210"/>
      <c r="BT378" s="1210"/>
      <c r="BU378" s="1211"/>
      <c r="BV378" s="1211"/>
      <c r="BW378" s="1211"/>
      <c r="BX378" s="1211"/>
      <c r="BY378" s="1211"/>
      <c r="BZ378" s="1211"/>
      <c r="CA378" s="1211"/>
      <c r="CB378" s="1211"/>
      <c r="CC378" s="1211"/>
    </row>
    <row r="379" spans="1:81" s="1226" customFormat="1" ht="12.75" customHeight="1">
      <c r="A379" s="1213"/>
      <c r="B379" s="1211"/>
      <c r="C379" s="1410"/>
      <c r="D379" s="1411"/>
      <c r="E379" s="1412"/>
      <c r="F379" s="1413"/>
      <c r="G379" s="1414"/>
      <c r="H379" s="1414"/>
      <c r="I379" s="1414"/>
      <c r="J379" s="1414"/>
      <c r="K379" s="1414"/>
      <c r="L379" s="1414"/>
      <c r="M379" s="1414"/>
      <c r="N379" s="1414"/>
      <c r="O379" s="1414"/>
      <c r="P379" s="1414"/>
      <c r="Q379" s="1414"/>
      <c r="R379" s="1414"/>
      <c r="S379" s="1414"/>
      <c r="T379" s="1414"/>
      <c r="U379" s="1414"/>
      <c r="V379" s="1414"/>
      <c r="W379" s="1414"/>
      <c r="X379" s="1414"/>
      <c r="Y379" s="1414"/>
      <c r="Z379" s="1414"/>
      <c r="AA379" s="1414"/>
      <c r="AB379" s="1414"/>
      <c r="AC379" s="1414"/>
      <c r="AD379" s="1414"/>
      <c r="AE379" s="1309"/>
      <c r="AF379" s="1246"/>
      <c r="AG379" s="1309"/>
      <c r="AH379" s="1404"/>
      <c r="AI379" s="1404"/>
      <c r="AJ379" s="1404"/>
      <c r="AK379" s="1404"/>
      <c r="AL379" s="1415"/>
      <c r="AM379" s="1406"/>
      <c r="AN379" s="1265"/>
      <c r="BS379" s="1210"/>
      <c r="BT379" s="1210"/>
      <c r="BU379" s="1211"/>
      <c r="BV379" s="1211"/>
      <c r="BW379" s="1211"/>
      <c r="BX379" s="1211"/>
      <c r="BY379" s="1211"/>
      <c r="BZ379" s="1211"/>
      <c r="CA379" s="1211"/>
      <c r="CB379" s="1211"/>
      <c r="CC379" s="1211"/>
    </row>
    <row r="380" spans="1:81" s="1226" customFormat="1" ht="12.75" customHeight="1">
      <c r="A380" s="1213"/>
      <c r="B380" s="1211"/>
      <c r="C380" s="1211"/>
      <c r="D380" s="1211"/>
      <c r="E380" s="1408"/>
      <c r="F380" s="1263"/>
      <c r="G380" s="1263"/>
      <c r="H380" s="1263"/>
      <c r="I380" s="1263"/>
      <c r="J380" s="1263"/>
      <c r="K380" s="1263"/>
      <c r="L380" s="1263"/>
      <c r="M380" s="1263"/>
      <c r="N380" s="1263"/>
      <c r="O380" s="1263"/>
      <c r="P380" s="1263"/>
      <c r="Q380" s="1263"/>
      <c r="R380" s="1263"/>
      <c r="S380" s="1263"/>
      <c r="T380" s="1263"/>
      <c r="U380" s="1263"/>
      <c r="V380" s="1263"/>
      <c r="W380" s="1263"/>
      <c r="X380" s="1263"/>
      <c r="Y380" s="1263"/>
      <c r="Z380" s="1263"/>
      <c r="AA380" s="1263"/>
      <c r="AB380" s="1263"/>
      <c r="AC380" s="1263"/>
      <c r="AD380" s="1263"/>
      <c r="AE380" s="1213"/>
      <c r="AF380" s="1575"/>
      <c r="AG380" s="1213"/>
      <c r="AM380" s="1213"/>
      <c r="AN380" s="1265"/>
      <c r="BS380" s="1210"/>
      <c r="BT380" s="1210"/>
      <c r="BU380" s="1211"/>
      <c r="BV380" s="1211"/>
      <c r="BW380" s="1211"/>
      <c r="BX380" s="1211"/>
      <c r="BY380" s="1211"/>
      <c r="BZ380" s="1211"/>
      <c r="CA380" s="1211"/>
      <c r="CB380" s="1211"/>
      <c r="CC380" s="1211"/>
    </row>
    <row r="381" spans="1:81" s="1226" customFormat="1" ht="12.75" customHeight="1">
      <c r="A381" s="1213"/>
      <c r="B381" s="1211"/>
      <c r="C381" s="1390"/>
      <c r="D381" s="1391"/>
      <c r="E381" s="1392" t="s">
        <v>1510</v>
      </c>
      <c r="F381" s="2540" t="s">
        <v>1663</v>
      </c>
      <c r="G381" s="2540"/>
      <c r="H381" s="2540"/>
      <c r="I381" s="2540"/>
      <c r="J381" s="2540"/>
      <c r="K381" s="2540"/>
      <c r="L381" s="2540"/>
      <c r="M381" s="2540"/>
      <c r="N381" s="2540"/>
      <c r="O381" s="2540"/>
      <c r="P381" s="2540"/>
      <c r="Q381" s="2540"/>
      <c r="R381" s="2540"/>
      <c r="S381" s="2540"/>
      <c r="T381" s="2540"/>
      <c r="U381" s="2540"/>
      <c r="V381" s="2540"/>
      <c r="W381" s="2540"/>
      <c r="X381" s="2540"/>
      <c r="Y381" s="2540"/>
      <c r="Z381" s="2540"/>
      <c r="AA381" s="2540"/>
      <c r="AB381" s="2540"/>
      <c r="AC381" s="2540"/>
      <c r="AD381" s="2540"/>
      <c r="AE381" s="2540"/>
      <c r="AF381" s="2540"/>
      <c r="AG381" s="1393"/>
      <c r="AH381" s="1393"/>
      <c r="AI381" s="1393"/>
      <c r="AJ381" s="1393"/>
      <c r="AK381" s="1393"/>
      <c r="AL381" s="1394"/>
      <c r="AM381" s="1213"/>
      <c r="AN381" s="1265"/>
      <c r="BS381" s="1213"/>
      <c r="BT381" s="1213"/>
      <c r="BU381" s="1213"/>
      <c r="BV381" s="1213"/>
      <c r="BW381" s="1213"/>
      <c r="BX381" s="1213"/>
      <c r="BY381" s="1213"/>
      <c r="BZ381" s="1213"/>
      <c r="CA381" s="1213"/>
      <c r="CB381" s="1213"/>
      <c r="CC381" s="1213"/>
    </row>
    <row r="382" spans="1:81" s="1226" customFormat="1" ht="12.75" customHeight="1">
      <c r="A382" s="1213"/>
      <c r="B382" s="1211"/>
      <c r="C382" s="1407"/>
      <c r="D382" s="1211"/>
      <c r="E382" s="1408"/>
      <c r="F382" s="2527"/>
      <c r="G382" s="2527"/>
      <c r="H382" s="2527"/>
      <c r="I382" s="2527"/>
      <c r="J382" s="2527"/>
      <c r="K382" s="2527"/>
      <c r="L382" s="2527"/>
      <c r="M382" s="2527"/>
      <c r="N382" s="2527"/>
      <c r="O382" s="2527"/>
      <c r="P382" s="2527"/>
      <c r="Q382" s="2527"/>
      <c r="R382" s="2527"/>
      <c r="S382" s="2527"/>
      <c r="T382" s="2527"/>
      <c r="U382" s="2527"/>
      <c r="V382" s="2527"/>
      <c r="W382" s="2527"/>
      <c r="X382" s="2527"/>
      <c r="Y382" s="2527"/>
      <c r="Z382" s="2527"/>
      <c r="AA382" s="2527"/>
      <c r="AB382" s="2527"/>
      <c r="AC382" s="2527"/>
      <c r="AD382" s="2527"/>
      <c r="AE382" s="2527"/>
      <c r="AF382" s="2527"/>
      <c r="AG382" s="1575"/>
      <c r="AH382" s="1575"/>
      <c r="AI382" s="1575"/>
      <c r="AJ382" s="1575"/>
      <c r="AK382" s="1575"/>
      <c r="AL382" s="1569"/>
      <c r="AM382" s="1213"/>
      <c r="AN382" s="1265"/>
      <c r="BS382" s="1213"/>
      <c r="BT382" s="1213"/>
      <c r="BU382" s="1213"/>
      <c r="BV382" s="1213"/>
      <c r="BW382" s="1213"/>
      <c r="BX382" s="1213"/>
      <c r="BY382" s="1213"/>
      <c r="BZ382" s="1213"/>
      <c r="CA382" s="1213"/>
      <c r="CB382" s="1213"/>
      <c r="CC382" s="1213"/>
    </row>
    <row r="383" spans="1:81" s="1226" customFormat="1" ht="12.75" customHeight="1">
      <c r="A383" s="1213"/>
      <c r="B383" s="1211"/>
      <c r="C383" s="1407"/>
      <c r="D383" s="1211"/>
      <c r="E383" s="1408"/>
      <c r="F383" s="2527"/>
      <c r="G383" s="2527"/>
      <c r="H383" s="2527"/>
      <c r="I383" s="2527"/>
      <c r="J383" s="2527"/>
      <c r="K383" s="2527"/>
      <c r="L383" s="2527"/>
      <c r="M383" s="2527"/>
      <c r="N383" s="2527"/>
      <c r="O383" s="2527"/>
      <c r="P383" s="2527"/>
      <c r="Q383" s="2527"/>
      <c r="R383" s="2527"/>
      <c r="S383" s="2527"/>
      <c r="T383" s="2527"/>
      <c r="U383" s="2527"/>
      <c r="V383" s="2527"/>
      <c r="W383" s="2527"/>
      <c r="X383" s="2527"/>
      <c r="Y383" s="2527"/>
      <c r="Z383" s="2527"/>
      <c r="AA383" s="2527"/>
      <c r="AB383" s="2527"/>
      <c r="AC383" s="2527"/>
      <c r="AD383" s="2527"/>
      <c r="AE383" s="2527"/>
      <c r="AF383" s="2527"/>
      <c r="AG383" s="1575"/>
      <c r="AH383" s="1575"/>
      <c r="AI383" s="1575"/>
      <c r="AJ383" s="1575"/>
      <c r="AK383" s="1575"/>
      <c r="AL383" s="1569"/>
      <c r="AM383" s="1213"/>
      <c r="AN383" s="1265"/>
      <c r="BS383" s="1213"/>
      <c r="BT383" s="1213"/>
      <c r="BU383" s="1213"/>
      <c r="BV383" s="1213"/>
      <c r="BW383" s="1213"/>
      <c r="BX383" s="1213"/>
      <c r="BY383" s="1213"/>
      <c r="BZ383" s="1213"/>
      <c r="CA383" s="1213"/>
      <c r="CB383" s="1213"/>
      <c r="CC383" s="1213"/>
    </row>
    <row r="384" spans="1:81" s="1226" customFormat="1" ht="12.75" customHeight="1">
      <c r="A384" s="1213"/>
      <c r="B384" s="1211"/>
      <c r="C384" s="1407"/>
      <c r="D384" s="1211"/>
      <c r="E384" s="1408"/>
      <c r="F384" s="2527"/>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2527"/>
      <c r="AE384" s="2527"/>
      <c r="AF384" s="2527"/>
      <c r="AG384" s="1575"/>
      <c r="AH384" s="1575"/>
      <c r="AI384" s="1575"/>
      <c r="AJ384" s="1575"/>
      <c r="AK384" s="1575"/>
      <c r="AL384" s="1569"/>
      <c r="AM384" s="1213"/>
      <c r="AN384" s="1265"/>
      <c r="BS384" s="1213"/>
      <c r="BT384" s="1213"/>
      <c r="BU384" s="1213"/>
      <c r="BV384" s="1213"/>
      <c r="BW384" s="1213"/>
      <c r="BX384" s="1213"/>
      <c r="BY384" s="1213"/>
      <c r="BZ384" s="1213"/>
      <c r="CA384" s="1213"/>
      <c r="CB384" s="1213"/>
      <c r="CC384" s="1213"/>
    </row>
    <row r="385" spans="1:81" s="1226" customFormat="1" ht="12.75" customHeight="1">
      <c r="A385" s="1213"/>
      <c r="B385" s="1211"/>
      <c r="C385" s="1407"/>
      <c r="D385" s="1211"/>
      <c r="E385" s="1408"/>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527"/>
      <c r="AG385" s="1575"/>
      <c r="AH385" s="1575"/>
      <c r="AI385" s="1575"/>
      <c r="AJ385" s="1575"/>
      <c r="AK385" s="1575"/>
      <c r="AL385" s="1569"/>
      <c r="AM385" s="1213"/>
      <c r="AN385" s="1265"/>
      <c r="BS385" s="1213"/>
      <c r="BT385" s="1213"/>
      <c r="BU385" s="1213"/>
      <c r="BV385" s="1213"/>
      <c r="BW385" s="1213"/>
      <c r="BX385" s="1213"/>
      <c r="BY385" s="1213"/>
      <c r="BZ385" s="1213"/>
      <c r="CA385" s="1213"/>
      <c r="CB385" s="1213"/>
      <c r="CC385" s="1213"/>
    </row>
    <row r="386" spans="1:81" s="1226" customFormat="1" ht="12.75" customHeight="1">
      <c r="A386" s="1213"/>
      <c r="B386" s="1211"/>
      <c r="C386" s="2539" t="s">
        <v>615</v>
      </c>
      <c r="D386" s="2481"/>
      <c r="E386" s="1408"/>
      <c r="F386" s="1397" t="s">
        <v>1664</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F386" s="2467" t="s">
        <v>1665</v>
      </c>
      <c r="AG386" s="2467"/>
      <c r="AH386" s="2467"/>
      <c r="AI386" s="2467"/>
      <c r="AJ386" s="2467"/>
      <c r="AK386" s="2467"/>
      <c r="AL386" s="2543"/>
      <c r="AM386" s="1398"/>
      <c r="BS386" s="1213"/>
      <c r="BT386" s="1213"/>
      <c r="BU386" s="1213"/>
      <c r="BV386" s="1213"/>
      <c r="BW386" s="1213"/>
      <c r="BX386" s="1213"/>
      <c r="BY386" s="1213"/>
      <c r="BZ386" s="1213"/>
      <c r="CA386" s="1213"/>
      <c r="CB386" s="1213"/>
      <c r="CC386" s="1213"/>
    </row>
    <row r="387" spans="1:81" s="1226" customFormat="1" ht="12.75" customHeight="1">
      <c r="A387" s="1213"/>
      <c r="B387" s="1211"/>
      <c r="C387" s="1407"/>
      <c r="D387" s="1211"/>
      <c r="E387" s="1408"/>
      <c r="F387" s="1567"/>
      <c r="G387" s="1567"/>
      <c r="H387" s="1567"/>
      <c r="I387" s="1567"/>
      <c r="J387" s="1567"/>
      <c r="K387" s="1567"/>
      <c r="L387" s="1567"/>
      <c r="M387" s="1567"/>
      <c r="N387" s="1567"/>
      <c r="O387" s="1567"/>
      <c r="P387" s="1567"/>
      <c r="Q387" s="1567"/>
      <c r="R387" s="1567"/>
      <c r="S387" s="1567"/>
      <c r="T387" s="1567"/>
      <c r="U387" s="1567"/>
      <c r="V387" s="1567"/>
      <c r="W387" s="1567"/>
      <c r="X387" s="1567"/>
      <c r="Y387" s="1567"/>
      <c r="Z387" s="1567"/>
      <c r="AA387" s="1567"/>
      <c r="AB387" s="1567"/>
      <c r="AC387" s="1567"/>
      <c r="AD387" s="1567"/>
      <c r="AL387" s="1409"/>
      <c r="AM387" s="1213"/>
      <c r="AN387" s="1265"/>
      <c r="BS387" s="1213"/>
      <c r="BT387" s="1213"/>
      <c r="BU387" s="1213"/>
      <c r="BV387" s="1213"/>
      <c r="BW387" s="1213"/>
      <c r="BX387" s="1213"/>
      <c r="BY387" s="1213"/>
      <c r="BZ387" s="1213"/>
      <c r="CA387" s="1213"/>
      <c r="CB387" s="1213"/>
      <c r="CC387" s="1213"/>
    </row>
    <row r="388" spans="1:81" s="1226" customFormat="1" ht="12.75" customHeight="1">
      <c r="A388" s="1213"/>
      <c r="B388" s="1211"/>
      <c r="C388" s="2539" t="s">
        <v>568</v>
      </c>
      <c r="D388" s="2481"/>
      <c r="E388" s="1408"/>
      <c r="F388" s="1416" t="s">
        <v>1666</v>
      </c>
      <c r="G388" s="1567"/>
      <c r="H388" s="1567"/>
      <c r="I388" s="1567"/>
      <c r="J388" s="1567"/>
      <c r="K388" s="1567"/>
      <c r="L388" s="1567"/>
      <c r="M388" s="1567"/>
      <c r="N388" s="1567"/>
      <c r="O388" s="1567"/>
      <c r="P388" s="1567"/>
      <c r="Q388" s="1567"/>
      <c r="R388" s="1567"/>
      <c r="S388" s="1567"/>
      <c r="T388" s="1567"/>
      <c r="U388" s="1567"/>
      <c r="V388" s="1567"/>
      <c r="W388" s="1567"/>
      <c r="X388" s="1567"/>
      <c r="Y388" s="1567"/>
      <c r="Z388" s="1567"/>
      <c r="AA388" s="1567"/>
      <c r="AB388" s="1567"/>
      <c r="AC388" s="1567"/>
      <c r="AD388" s="1567"/>
      <c r="AF388" s="2467" t="s">
        <v>1660</v>
      </c>
      <c r="AG388" s="2467"/>
      <c r="AH388" s="2467"/>
      <c r="AI388" s="2467"/>
      <c r="AJ388" s="2467"/>
      <c r="AK388" s="2467"/>
      <c r="AL388" s="2543"/>
      <c r="AM388" s="1213"/>
      <c r="AN388" s="1265"/>
      <c r="BS388" s="1213"/>
      <c r="BT388" s="1213"/>
      <c r="BU388" s="1213"/>
    </row>
    <row r="389" spans="1:81" s="1226" customFormat="1" ht="12.75" customHeight="1">
      <c r="A389" s="1213"/>
      <c r="B389" s="1211"/>
      <c r="C389" s="1417"/>
      <c r="E389" s="1408"/>
      <c r="G389" s="1567"/>
      <c r="H389" s="1567"/>
      <c r="I389" s="1567"/>
      <c r="J389" s="1567"/>
      <c r="K389" s="1567"/>
      <c r="L389" s="1567"/>
      <c r="M389" s="1567"/>
      <c r="N389" s="1567"/>
      <c r="O389" s="1567"/>
      <c r="P389" s="1567"/>
      <c r="Q389" s="1567"/>
      <c r="R389" s="1567"/>
      <c r="S389" s="1567"/>
      <c r="T389" s="1567"/>
      <c r="U389" s="1567"/>
      <c r="V389" s="1567"/>
      <c r="W389" s="1567"/>
      <c r="X389" s="1567"/>
      <c r="Y389" s="1567"/>
      <c r="Z389" s="1567"/>
      <c r="AA389" s="1567"/>
      <c r="AB389" s="1567"/>
      <c r="AC389" s="1567"/>
      <c r="AD389" s="1567"/>
      <c r="AL389" s="1409"/>
      <c r="AM389" s="1213"/>
      <c r="AN389" s="1265"/>
      <c r="BS389" s="1213"/>
      <c r="BT389" s="1213"/>
      <c r="BU389" s="1213"/>
    </row>
    <row r="390" spans="1:81" s="1226" customFormat="1" ht="12.75" customHeight="1">
      <c r="A390" s="1213"/>
      <c r="B390" s="1211"/>
      <c r="C390" s="1410"/>
      <c r="D390" s="1411"/>
      <c r="E390" s="1412"/>
      <c r="F390" s="1418" t="s">
        <v>1667</v>
      </c>
      <c r="G390" s="1413"/>
      <c r="H390" s="1413"/>
      <c r="I390" s="1413"/>
      <c r="J390" s="1413"/>
      <c r="K390" s="1413"/>
      <c r="L390" s="1413"/>
      <c r="M390" s="1413"/>
      <c r="N390" s="1413"/>
      <c r="O390" s="1413"/>
      <c r="P390" s="1413"/>
      <c r="Q390" s="1413"/>
      <c r="R390" s="1413"/>
      <c r="S390" s="1413"/>
      <c r="T390" s="1413"/>
      <c r="U390" s="1413"/>
      <c r="V390" s="1413"/>
      <c r="W390" s="1413"/>
      <c r="X390" s="1413"/>
      <c r="Y390" s="1413"/>
      <c r="Z390" s="1413"/>
      <c r="AA390" s="1413"/>
      <c r="AB390" s="1413"/>
      <c r="AC390" s="1413"/>
      <c r="AD390" s="1413"/>
      <c r="AE390" s="1309"/>
      <c r="AF390" s="1246"/>
      <c r="AG390" s="1309"/>
      <c r="AH390" s="1404"/>
      <c r="AI390" s="1404"/>
      <c r="AJ390" s="1404"/>
      <c r="AK390" s="1404"/>
      <c r="AL390" s="1415"/>
      <c r="AM390" s="1213"/>
      <c r="AN390" s="1265"/>
      <c r="BS390" s="1213"/>
      <c r="BT390" s="1213"/>
      <c r="BU390" s="1213"/>
    </row>
    <row r="391" spans="1:81" s="1226" customFormat="1" ht="12.75" customHeight="1">
      <c r="A391" s="1213"/>
      <c r="B391" s="1211"/>
      <c r="C391" s="1211"/>
      <c r="D391" s="1211"/>
      <c r="E391" s="1408"/>
      <c r="F391" s="1263"/>
      <c r="G391" s="1263"/>
      <c r="H391" s="1263"/>
      <c r="I391" s="1263"/>
      <c r="J391" s="1263"/>
      <c r="K391" s="1263"/>
      <c r="L391" s="1263"/>
      <c r="M391" s="1263"/>
      <c r="N391" s="1263"/>
      <c r="O391" s="1263"/>
      <c r="P391" s="1263"/>
      <c r="Q391" s="1263"/>
      <c r="R391" s="1263"/>
      <c r="S391" s="1263"/>
      <c r="T391" s="1263"/>
      <c r="U391" s="1263"/>
      <c r="V391" s="1263"/>
      <c r="W391" s="1263"/>
      <c r="X391" s="1263"/>
      <c r="Y391" s="1263"/>
      <c r="Z391" s="1263"/>
      <c r="AA391" s="1263"/>
      <c r="AB391" s="1263"/>
      <c r="AC391" s="1263"/>
      <c r="AD391" s="1263"/>
      <c r="AE391" s="1213"/>
      <c r="AF391" s="1575"/>
      <c r="AG391" s="1213"/>
      <c r="AM391" s="1213"/>
      <c r="AN391" s="1265"/>
      <c r="BS391" s="1213"/>
      <c r="BT391" s="1213"/>
      <c r="BU391" s="1213"/>
    </row>
    <row r="392" spans="1:81" s="1226" customFormat="1" ht="12.75" customHeight="1">
      <c r="A392" s="1213"/>
      <c r="B392" s="1211"/>
      <c r="C392" s="1390"/>
      <c r="D392" s="1391"/>
      <c r="E392" s="1392" t="s">
        <v>1668</v>
      </c>
      <c r="F392" s="2540" t="s">
        <v>1669</v>
      </c>
      <c r="G392" s="2540"/>
      <c r="H392" s="2540"/>
      <c r="I392" s="2540"/>
      <c r="J392" s="2540"/>
      <c r="K392" s="2540"/>
      <c r="L392" s="2540"/>
      <c r="M392" s="2540"/>
      <c r="N392" s="2540"/>
      <c r="O392" s="2540"/>
      <c r="P392" s="2540"/>
      <c r="Q392" s="2540"/>
      <c r="R392" s="2540"/>
      <c r="S392" s="2540"/>
      <c r="T392" s="2540"/>
      <c r="U392" s="2540"/>
      <c r="V392" s="2540"/>
      <c r="W392" s="2540"/>
      <c r="X392" s="2540"/>
      <c r="Y392" s="2540"/>
      <c r="Z392" s="2540"/>
      <c r="AA392" s="2540"/>
      <c r="AB392" s="2540"/>
      <c r="AC392" s="2540"/>
      <c r="AD392" s="2540"/>
      <c r="AE392" s="2540"/>
      <c r="AF392" s="2540"/>
      <c r="AG392" s="1393"/>
      <c r="AH392" s="1393"/>
      <c r="AI392" s="1393"/>
      <c r="AJ392" s="1393"/>
      <c r="AK392" s="1393"/>
      <c r="AL392" s="1394"/>
      <c r="AM392" s="1213"/>
      <c r="AN392" s="1265"/>
      <c r="BS392" s="1213"/>
      <c r="BT392" s="1213"/>
      <c r="BU392" s="1213"/>
      <c r="BV392" s="1213"/>
      <c r="BW392" s="1213"/>
      <c r="BX392" s="1213"/>
      <c r="BY392" s="1213"/>
      <c r="BZ392" s="1213"/>
      <c r="CA392" s="1213"/>
      <c r="CB392" s="1213"/>
      <c r="CC392" s="1213"/>
    </row>
    <row r="393" spans="1:81" s="1226" customFormat="1" ht="12.75" customHeight="1">
      <c r="A393" s="1213"/>
      <c r="B393" s="1211"/>
      <c r="C393" s="1407"/>
      <c r="D393" s="1211"/>
      <c r="E393" s="1408"/>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527"/>
      <c r="AF393" s="2527"/>
      <c r="AG393" s="1575"/>
      <c r="AH393" s="1575"/>
      <c r="AI393" s="1575"/>
      <c r="AJ393" s="1575"/>
      <c r="AK393" s="1575"/>
      <c r="AL393" s="1569"/>
      <c r="AM393" s="1213"/>
      <c r="AN393" s="1265"/>
      <c r="BS393" s="1213"/>
      <c r="BT393" s="1213"/>
      <c r="BU393" s="1213"/>
      <c r="BV393" s="1213"/>
      <c r="BW393" s="1213"/>
      <c r="BX393" s="1213"/>
      <c r="BY393" s="1213"/>
      <c r="BZ393" s="1213"/>
      <c r="CA393" s="1213"/>
      <c r="CB393" s="1213"/>
      <c r="CC393" s="1213"/>
    </row>
    <row r="394" spans="1:81">
      <c r="A394" s="1213"/>
      <c r="C394" s="1407"/>
      <c r="E394" s="1408"/>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2527"/>
      <c r="AE394" s="2527"/>
      <c r="AF394" s="2527"/>
      <c r="AG394" s="1575"/>
      <c r="AH394" s="1575"/>
      <c r="AI394" s="1575"/>
      <c r="AJ394" s="1575"/>
      <c r="AK394" s="1575"/>
      <c r="AL394" s="1569"/>
      <c r="AM394" s="1213"/>
      <c r="BS394" s="1213"/>
      <c r="BT394" s="1213"/>
      <c r="BU394" s="1213"/>
      <c r="BV394" s="1213"/>
      <c r="BW394" s="1213"/>
      <c r="BX394" s="1213"/>
      <c r="BY394" s="1213"/>
      <c r="BZ394" s="1213"/>
      <c r="CA394" s="1213"/>
      <c r="CB394" s="1213"/>
      <c r="CC394" s="1213"/>
    </row>
    <row r="395" spans="1:81" s="1226" customFormat="1" ht="12.75" customHeight="1">
      <c r="A395" s="1213"/>
      <c r="B395" s="1211"/>
      <c r="C395" s="1407"/>
      <c r="D395" s="1211"/>
      <c r="E395" s="1408"/>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2527"/>
      <c r="AE395" s="2527"/>
      <c r="AF395" s="2527"/>
      <c r="AG395" s="1575"/>
      <c r="AH395" s="1575"/>
      <c r="AI395" s="1575"/>
      <c r="AJ395" s="1575"/>
      <c r="AK395" s="1575"/>
      <c r="AL395" s="1569"/>
      <c r="AM395" s="1213"/>
      <c r="AN395" s="1265"/>
      <c r="BS395" s="1213"/>
      <c r="BT395" s="1213"/>
      <c r="BY395" s="1213"/>
      <c r="BZ395" s="1213"/>
      <c r="CA395" s="1213"/>
      <c r="CB395" s="1213"/>
      <c r="CC395" s="1213"/>
    </row>
    <row r="396" spans="1:81" s="1226" customFormat="1" ht="12.75" customHeight="1">
      <c r="A396" s="1213"/>
      <c r="B396" s="1211"/>
      <c r="C396" s="2539" t="s">
        <v>615</v>
      </c>
      <c r="D396" s="2481"/>
      <c r="E396" s="1408"/>
      <c r="F396" s="1397" t="s">
        <v>1670</v>
      </c>
      <c r="G396" s="1264"/>
      <c r="H396" s="1264"/>
      <c r="I396" s="1264"/>
      <c r="J396" s="1264"/>
      <c r="K396" s="1264"/>
      <c r="L396" s="1264"/>
      <c r="M396" s="1264"/>
      <c r="N396" s="1264"/>
      <c r="O396" s="1264"/>
      <c r="P396" s="1264"/>
      <c r="Q396" s="1264"/>
      <c r="R396" s="1264"/>
      <c r="S396" s="1264"/>
      <c r="T396" s="1264"/>
      <c r="U396" s="1264"/>
      <c r="V396" s="1264"/>
      <c r="W396" s="1264"/>
      <c r="X396" s="1264"/>
      <c r="Y396" s="1264"/>
      <c r="Z396" s="1264"/>
      <c r="AA396" s="1264"/>
      <c r="AB396" s="1264"/>
      <c r="AC396" s="1264"/>
      <c r="AD396" s="1264"/>
      <c r="AF396" s="2467" t="s">
        <v>1660</v>
      </c>
      <c r="AG396" s="2467"/>
      <c r="AH396" s="2467"/>
      <c r="AI396" s="2467"/>
      <c r="AJ396" s="2467"/>
      <c r="AK396" s="2467"/>
      <c r="AL396" s="2543"/>
      <c r="AM396" s="1213"/>
      <c r="AN396" s="1265"/>
      <c r="BS396" s="1213"/>
      <c r="BT396" s="1213"/>
      <c r="BY396" s="1213"/>
      <c r="BZ396" s="1213"/>
      <c r="CA396" s="1213"/>
      <c r="CB396" s="1213"/>
      <c r="CC396" s="1213"/>
    </row>
    <row r="397" spans="1:81" s="1226" customFormat="1" ht="12.75" customHeight="1">
      <c r="A397" s="1213"/>
      <c r="B397" s="1211"/>
      <c r="C397" s="1407"/>
      <c r="D397" s="1211"/>
      <c r="E397" s="1408"/>
      <c r="G397" s="1264"/>
      <c r="H397" s="1264"/>
      <c r="I397" s="1264"/>
      <c r="J397" s="1264"/>
      <c r="K397" s="1264"/>
      <c r="L397" s="1264"/>
      <c r="M397" s="1264"/>
      <c r="N397" s="1264"/>
      <c r="O397" s="1264"/>
      <c r="P397" s="1264"/>
      <c r="Q397" s="1264"/>
      <c r="R397" s="1264"/>
      <c r="S397" s="1264"/>
      <c r="T397" s="1264"/>
      <c r="U397" s="1264"/>
      <c r="V397" s="1264"/>
      <c r="W397" s="1264"/>
      <c r="X397" s="1264"/>
      <c r="Y397" s="1264"/>
      <c r="Z397" s="1264"/>
      <c r="AA397" s="1264"/>
      <c r="AB397" s="1264"/>
      <c r="AC397" s="1264"/>
      <c r="AD397" s="1264"/>
      <c r="AL397" s="1409"/>
      <c r="AM397" s="1213"/>
      <c r="AN397" s="1265"/>
      <c r="BS397" s="1213"/>
      <c r="BT397" s="1213"/>
      <c r="BY397" s="1213"/>
      <c r="BZ397" s="1213"/>
      <c r="CA397" s="1213"/>
      <c r="CB397" s="1213"/>
      <c r="CC397" s="1213"/>
    </row>
    <row r="398" spans="1:81" s="1226" customFormat="1" ht="12.75" customHeight="1">
      <c r="A398" s="1213"/>
      <c r="B398" s="1211"/>
      <c r="C398" s="2539" t="s">
        <v>615</v>
      </c>
      <c r="D398" s="2481"/>
      <c r="E398" s="1396"/>
      <c r="F398" s="1397" t="s">
        <v>1671</v>
      </c>
      <c r="G398" s="1264"/>
      <c r="H398" s="1264"/>
      <c r="I398" s="1264"/>
      <c r="J398" s="1264"/>
      <c r="K398" s="1264"/>
      <c r="L398" s="1264"/>
      <c r="M398" s="1264"/>
      <c r="N398" s="1264"/>
      <c r="O398" s="1264"/>
      <c r="P398" s="1264"/>
      <c r="Q398" s="1264"/>
      <c r="R398" s="1264"/>
      <c r="S398" s="1264"/>
      <c r="T398" s="1264"/>
      <c r="U398" s="1264"/>
      <c r="V398" s="1264"/>
      <c r="W398" s="1264"/>
      <c r="X398" s="1264"/>
      <c r="Y398" s="1264"/>
      <c r="Z398" s="1264"/>
      <c r="AA398" s="1264"/>
      <c r="AB398" s="1264"/>
      <c r="AC398" s="1264"/>
      <c r="AD398" s="1264"/>
      <c r="AF398" s="2467" t="s">
        <v>1672</v>
      </c>
      <c r="AG398" s="2467"/>
      <c r="AH398" s="2467"/>
      <c r="AI398" s="2467"/>
      <c r="AJ398" s="2467"/>
      <c r="AK398" s="2467"/>
      <c r="AL398" s="2543"/>
      <c r="AM398" s="1213"/>
      <c r="AN398" s="1265"/>
      <c r="BS398" s="1213"/>
      <c r="BT398" s="1213"/>
      <c r="BY398" s="1213"/>
      <c r="BZ398" s="1213"/>
      <c r="CA398" s="1213"/>
      <c r="CB398" s="1213"/>
      <c r="CC398" s="1213"/>
    </row>
    <row r="399" spans="1:81" s="1226" customFormat="1" ht="12.75" customHeight="1">
      <c r="A399" s="1213"/>
      <c r="B399" s="1211"/>
      <c r="C399" s="1419"/>
      <c r="D399" s="1404"/>
      <c r="E399" s="1401"/>
      <c r="F399" s="1404"/>
      <c r="G399" s="1403"/>
      <c r="H399" s="1403"/>
      <c r="I399" s="1403"/>
      <c r="J399" s="1403"/>
      <c r="K399" s="1403"/>
      <c r="L399" s="1403"/>
      <c r="M399" s="1403"/>
      <c r="N399" s="1403"/>
      <c r="O399" s="1403"/>
      <c r="P399" s="1403"/>
      <c r="Q399" s="1403"/>
      <c r="R399" s="1403"/>
      <c r="S399" s="1403"/>
      <c r="T399" s="1403"/>
      <c r="U399" s="1403"/>
      <c r="V399" s="1403"/>
      <c r="W399" s="1403"/>
      <c r="X399" s="1403"/>
      <c r="Y399" s="1403"/>
      <c r="Z399" s="1403"/>
      <c r="AA399" s="1403"/>
      <c r="AB399" s="1403"/>
      <c r="AC399" s="1403"/>
      <c r="AD399" s="1403"/>
      <c r="AE399" s="1404"/>
      <c r="AF399" s="1404"/>
      <c r="AG399" s="1404"/>
      <c r="AH399" s="1404"/>
      <c r="AI399" s="1404"/>
      <c r="AJ399" s="1404"/>
      <c r="AK399" s="1404"/>
      <c r="AL399" s="1415"/>
      <c r="AM399" s="1213"/>
      <c r="AN399" s="1265"/>
      <c r="BS399" s="1213"/>
      <c r="BT399" s="1213"/>
      <c r="BY399" s="1213"/>
      <c r="BZ399" s="1213"/>
      <c r="CA399" s="1213"/>
      <c r="CB399" s="1213"/>
      <c r="CC399" s="1213"/>
    </row>
    <row r="400" spans="1:81" s="1226" customFormat="1" ht="12.75" customHeight="1">
      <c r="A400" s="1213"/>
      <c r="B400" s="1211"/>
      <c r="C400" s="1211"/>
      <c r="D400" s="1211"/>
      <c r="E400" s="1408"/>
      <c r="G400" s="1264"/>
      <c r="H400" s="1264"/>
      <c r="I400" s="1264"/>
      <c r="J400" s="1264"/>
      <c r="K400" s="1264"/>
      <c r="L400" s="1264"/>
      <c r="M400" s="1264"/>
      <c r="N400" s="1264"/>
      <c r="O400" s="1264"/>
      <c r="P400" s="1264"/>
      <c r="Q400" s="1264"/>
      <c r="R400" s="1264"/>
      <c r="S400" s="1264"/>
      <c r="T400" s="1264"/>
      <c r="U400" s="1264"/>
      <c r="V400" s="1264"/>
      <c r="W400" s="1264"/>
      <c r="X400" s="1264"/>
      <c r="Y400" s="1264"/>
      <c r="Z400" s="1264"/>
      <c r="AA400" s="1264"/>
      <c r="AB400" s="1264"/>
      <c r="AC400" s="1264"/>
      <c r="AD400" s="1264"/>
      <c r="AE400" s="1213"/>
      <c r="AF400" s="1575"/>
      <c r="AG400" s="1213"/>
      <c r="AM400" s="1213"/>
      <c r="AN400" s="1265"/>
      <c r="BS400" s="1213"/>
      <c r="BT400" s="1213"/>
      <c r="BY400" s="1213"/>
      <c r="BZ400" s="1213"/>
      <c r="CA400" s="1213"/>
      <c r="CB400" s="1213"/>
      <c r="CC400" s="1213"/>
    </row>
    <row r="401" spans="1:81" s="1226" customFormat="1" ht="12.75" customHeight="1">
      <c r="A401" s="1213"/>
      <c r="B401" s="1211"/>
      <c r="C401" s="2539" t="s">
        <v>615</v>
      </c>
      <c r="D401" s="2481"/>
      <c r="E401" s="1392" t="s">
        <v>1673</v>
      </c>
      <c r="F401" s="2540" t="s">
        <v>1674</v>
      </c>
      <c r="G401" s="2540"/>
      <c r="H401" s="2540"/>
      <c r="I401" s="2540"/>
      <c r="J401" s="2540"/>
      <c r="K401" s="2540"/>
      <c r="L401" s="2540"/>
      <c r="M401" s="2540"/>
      <c r="N401" s="2540"/>
      <c r="O401" s="2540"/>
      <c r="P401" s="2540"/>
      <c r="Q401" s="2540"/>
      <c r="R401" s="2540"/>
      <c r="S401" s="2540"/>
      <c r="T401" s="2540"/>
      <c r="U401" s="2540"/>
      <c r="V401" s="2540"/>
      <c r="W401" s="2540"/>
      <c r="X401" s="2540"/>
      <c r="Y401" s="2540"/>
      <c r="Z401" s="2540"/>
      <c r="AA401" s="2540"/>
      <c r="AB401" s="2540"/>
      <c r="AC401" s="2540"/>
      <c r="AD401" s="2540"/>
      <c r="AE401" s="2540"/>
      <c r="AF401" s="1393"/>
      <c r="AG401" s="1296"/>
      <c r="AH401" s="1391"/>
      <c r="AI401" s="1391"/>
      <c r="AJ401" s="1391"/>
      <c r="AK401" s="1391"/>
      <c r="AL401" s="1420"/>
      <c r="AM401" s="1213"/>
      <c r="AN401" s="1265"/>
      <c r="BS401" s="1213"/>
      <c r="BT401" s="1213"/>
      <c r="BY401" s="1213"/>
      <c r="BZ401" s="1213"/>
      <c r="CA401" s="1213"/>
      <c r="CB401" s="1213"/>
      <c r="CC401" s="1213"/>
    </row>
    <row r="402" spans="1:81" s="1226" customFormat="1" ht="12.75" customHeight="1">
      <c r="A402" s="1213"/>
      <c r="B402" s="1211"/>
      <c r="C402" s="1417"/>
      <c r="F402" s="2527"/>
      <c r="G402" s="2527"/>
      <c r="H402" s="2527"/>
      <c r="I402" s="2527"/>
      <c r="J402" s="2527"/>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475" t="s">
        <v>1660</v>
      </c>
      <c r="AG402" s="2475"/>
      <c r="AH402" s="2475"/>
      <c r="AI402" s="2475"/>
      <c r="AJ402" s="2475"/>
      <c r="AK402" s="2475"/>
      <c r="AL402" s="2544"/>
      <c r="AM402" s="1213"/>
      <c r="AN402" s="1265"/>
      <c r="BS402" s="1213"/>
      <c r="BT402" s="1213"/>
      <c r="BY402" s="1213"/>
      <c r="BZ402" s="1213"/>
      <c r="CA402" s="1213"/>
      <c r="CB402" s="1213"/>
      <c r="CC402" s="1213"/>
    </row>
    <row r="403" spans="1:81" s="1226" customFormat="1" ht="12.75" customHeight="1">
      <c r="A403" s="1213"/>
      <c r="B403" s="1211"/>
      <c r="C403" s="1407"/>
      <c r="D403" s="1211"/>
      <c r="E403" s="1408"/>
      <c r="F403" s="2527"/>
      <c r="G403" s="2527"/>
      <c r="H403" s="2527"/>
      <c r="I403" s="2527"/>
      <c r="J403" s="2527"/>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L403" s="1409"/>
      <c r="AM403" s="1213"/>
      <c r="AN403" s="1265"/>
      <c r="BS403" s="1213"/>
      <c r="BT403" s="1213"/>
      <c r="BU403" s="1213"/>
      <c r="BV403" s="1213"/>
      <c r="BW403" s="1213"/>
      <c r="BX403" s="1213"/>
      <c r="BY403" s="1213"/>
      <c r="BZ403" s="1213"/>
      <c r="CA403" s="1213"/>
      <c r="CB403" s="1213"/>
      <c r="CC403" s="1213"/>
    </row>
    <row r="404" spans="1:81" s="1226" customFormat="1" ht="12.75" customHeight="1">
      <c r="A404" s="1213"/>
      <c r="B404" s="1211"/>
      <c r="C404" s="1410"/>
      <c r="D404" s="1411"/>
      <c r="E404" s="1412"/>
      <c r="F404" s="2528"/>
      <c r="G404" s="2528"/>
      <c r="H404" s="2528"/>
      <c r="I404" s="2528"/>
      <c r="J404" s="2528"/>
      <c r="K404" s="2528"/>
      <c r="L404" s="2528"/>
      <c r="M404" s="2528"/>
      <c r="N404" s="2528"/>
      <c r="O404" s="2528"/>
      <c r="P404" s="2528"/>
      <c r="Q404" s="2528"/>
      <c r="R404" s="2528"/>
      <c r="S404" s="2528"/>
      <c r="T404" s="2528"/>
      <c r="U404" s="2528"/>
      <c r="V404" s="2528"/>
      <c r="W404" s="2528"/>
      <c r="X404" s="2528"/>
      <c r="Y404" s="2528"/>
      <c r="Z404" s="2528"/>
      <c r="AA404" s="2528"/>
      <c r="AB404" s="2528"/>
      <c r="AC404" s="2528"/>
      <c r="AD404" s="2528"/>
      <c r="AE404" s="2528"/>
      <c r="AF404" s="1246"/>
      <c r="AG404" s="1309"/>
      <c r="AH404" s="1404"/>
      <c r="AI404" s="1404"/>
      <c r="AJ404" s="1404"/>
      <c r="AK404" s="1404"/>
      <c r="AL404" s="1415"/>
      <c r="AM404" s="1213"/>
      <c r="AN404" s="1265"/>
    </row>
    <row r="405" spans="1:81">
      <c r="A405" s="1213"/>
      <c r="E405" s="1408"/>
      <c r="F405" s="1264"/>
      <c r="G405" s="1264"/>
      <c r="H405" s="1264"/>
      <c r="I405" s="1264"/>
      <c r="J405" s="1264"/>
      <c r="K405" s="1264"/>
      <c r="L405" s="1264"/>
      <c r="M405" s="1264"/>
      <c r="N405" s="1264"/>
      <c r="O405" s="1264"/>
      <c r="P405" s="1264"/>
      <c r="Q405" s="1264"/>
      <c r="R405" s="1264"/>
      <c r="S405" s="1264"/>
      <c r="T405" s="1264"/>
      <c r="U405" s="1264"/>
      <c r="V405" s="1264"/>
      <c r="W405" s="1264"/>
      <c r="X405" s="1264"/>
      <c r="Y405" s="1264"/>
      <c r="Z405" s="1264"/>
      <c r="AA405" s="1264"/>
      <c r="AB405" s="1264"/>
      <c r="AC405" s="1264"/>
      <c r="AD405" s="1264"/>
      <c r="AE405" s="1213"/>
      <c r="AF405" s="1575"/>
      <c r="AG405" s="1213"/>
      <c r="AH405" s="1226"/>
      <c r="AI405" s="1226"/>
      <c r="AJ405" s="1226"/>
      <c r="AK405" s="1226"/>
      <c r="AL405" s="1226"/>
      <c r="AM405" s="1213"/>
    </row>
    <row r="406" spans="1:81" ht="12.75" customHeight="1">
      <c r="A406" s="1213"/>
      <c r="C406" s="1421"/>
      <c r="D406" s="1422"/>
      <c r="E406" s="1392" t="s">
        <v>1675</v>
      </c>
      <c r="F406" s="2540" t="s">
        <v>1676</v>
      </c>
      <c r="G406" s="2540"/>
      <c r="H406" s="2540"/>
      <c r="I406" s="2540"/>
      <c r="J406" s="2540"/>
      <c r="K406" s="2540"/>
      <c r="L406" s="2540"/>
      <c r="M406" s="2540"/>
      <c r="N406" s="2540"/>
      <c r="O406" s="2540"/>
      <c r="P406" s="2540"/>
      <c r="Q406" s="2540"/>
      <c r="R406" s="2540"/>
      <c r="S406" s="2540"/>
      <c r="T406" s="2540"/>
      <c r="U406" s="2540"/>
      <c r="V406" s="2540"/>
      <c r="W406" s="2540"/>
      <c r="X406" s="2540"/>
      <c r="Y406" s="2540"/>
      <c r="Z406" s="2540"/>
      <c r="AA406" s="2540"/>
      <c r="AB406" s="2540"/>
      <c r="AC406" s="2540"/>
      <c r="AD406" s="2540"/>
      <c r="AE406" s="2540"/>
      <c r="AF406" s="1422"/>
      <c r="AG406" s="1422"/>
      <c r="AH406" s="1422"/>
      <c r="AI406" s="1422"/>
      <c r="AJ406" s="1422"/>
      <c r="AK406" s="1422"/>
      <c r="AL406" s="1423"/>
      <c r="AM406" s="1213"/>
    </row>
    <row r="407" spans="1:81">
      <c r="A407" s="1213"/>
      <c r="C407" s="1407"/>
      <c r="E407" s="1408"/>
      <c r="F407" s="2527"/>
      <c r="G407" s="2527"/>
      <c r="H407" s="2527"/>
      <c r="I407" s="2527"/>
      <c r="J407" s="2527"/>
      <c r="K407" s="2527"/>
      <c r="L407" s="2527"/>
      <c r="M407" s="2527"/>
      <c r="N407" s="2527"/>
      <c r="O407" s="2527"/>
      <c r="P407" s="2527"/>
      <c r="Q407" s="2527"/>
      <c r="R407" s="2527"/>
      <c r="S407" s="2527"/>
      <c r="T407" s="2527"/>
      <c r="U407" s="2527"/>
      <c r="V407" s="2527"/>
      <c r="W407" s="2527"/>
      <c r="X407" s="2527"/>
      <c r="Y407" s="2527"/>
      <c r="Z407" s="2527"/>
      <c r="AA407" s="2527"/>
      <c r="AB407" s="2527"/>
      <c r="AC407" s="2527"/>
      <c r="AD407" s="2527"/>
      <c r="AE407" s="2527"/>
      <c r="AF407" s="1575"/>
      <c r="AG407" s="1213"/>
      <c r="AH407" s="1226"/>
      <c r="AI407" s="1226"/>
      <c r="AJ407" s="1226"/>
      <c r="AK407" s="1226"/>
      <c r="AL407" s="1409"/>
      <c r="AM407" s="1213"/>
    </row>
    <row r="408" spans="1:81" s="1226" customFormat="1" ht="12.75" customHeight="1">
      <c r="A408" s="1213"/>
      <c r="B408" s="1211"/>
      <c r="C408" s="1407"/>
      <c r="D408" s="1211"/>
      <c r="E408" s="1408"/>
      <c r="F408" s="2527"/>
      <c r="G408" s="2527"/>
      <c r="H408" s="2527"/>
      <c r="I408" s="2527"/>
      <c r="J408" s="2527"/>
      <c r="K408" s="2527"/>
      <c r="L408" s="2527"/>
      <c r="M408" s="2527"/>
      <c r="N408" s="2527"/>
      <c r="O408" s="2527"/>
      <c r="P408" s="2527"/>
      <c r="Q408" s="2527"/>
      <c r="R408" s="2527"/>
      <c r="S408" s="2527"/>
      <c r="T408" s="2527"/>
      <c r="U408" s="2527"/>
      <c r="V408" s="2527"/>
      <c r="W408" s="2527"/>
      <c r="X408" s="2527"/>
      <c r="Y408" s="2527"/>
      <c r="Z408" s="2527"/>
      <c r="AA408" s="2527"/>
      <c r="AB408" s="2527"/>
      <c r="AC408" s="2527"/>
      <c r="AD408" s="2527"/>
      <c r="AE408" s="2527"/>
      <c r="AL408" s="1409"/>
      <c r="AM408" s="1213"/>
      <c r="AN408" s="1265"/>
    </row>
    <row r="409" spans="1:81" s="1226" customFormat="1" ht="12.75" customHeight="1">
      <c r="A409" s="1213"/>
      <c r="B409" s="1211"/>
      <c r="C409" s="1417"/>
      <c r="F409" s="2527"/>
      <c r="G409" s="2527"/>
      <c r="H409" s="2527"/>
      <c r="I409" s="2527"/>
      <c r="J409" s="2527"/>
      <c r="K409" s="2527"/>
      <c r="L409" s="2527"/>
      <c r="M409" s="2527"/>
      <c r="N409" s="2527"/>
      <c r="O409" s="2527"/>
      <c r="P409" s="2527"/>
      <c r="Q409" s="2527"/>
      <c r="R409" s="2527"/>
      <c r="S409" s="2527"/>
      <c r="T409" s="2527"/>
      <c r="U409" s="2527"/>
      <c r="V409" s="2527"/>
      <c r="W409" s="2527"/>
      <c r="X409" s="2527"/>
      <c r="Y409" s="2527"/>
      <c r="Z409" s="2527"/>
      <c r="AA409" s="2527"/>
      <c r="AB409" s="2527"/>
      <c r="AC409" s="2527"/>
      <c r="AD409" s="2527"/>
      <c r="AE409" s="2527"/>
      <c r="AL409" s="1409"/>
      <c r="AM409" s="1213"/>
      <c r="AN409" s="1265"/>
    </row>
    <row r="410" spans="1:81" s="1226" customFormat="1" ht="12.75" customHeight="1">
      <c r="A410" s="1213"/>
      <c r="B410" s="1211"/>
      <c r="C410" s="2539" t="s">
        <v>615</v>
      </c>
      <c r="D410" s="2481"/>
      <c r="E410" s="1408"/>
      <c r="F410" s="1397" t="s">
        <v>1677</v>
      </c>
      <c r="G410" s="1264"/>
      <c r="H410" s="1264"/>
      <c r="I410" s="1264"/>
      <c r="J410" s="1264"/>
      <c r="K410" s="1264"/>
      <c r="L410" s="1264"/>
      <c r="M410" s="1264"/>
      <c r="N410" s="1264"/>
      <c r="O410" s="1264"/>
      <c r="P410" s="1264"/>
      <c r="Q410" s="1264"/>
      <c r="R410" s="1264"/>
      <c r="S410" s="1264"/>
      <c r="T410" s="1264"/>
      <c r="U410" s="1264"/>
      <c r="V410" s="1264"/>
      <c r="W410" s="1264"/>
      <c r="X410" s="1264"/>
      <c r="Y410" s="1264"/>
      <c r="Z410" s="1264"/>
      <c r="AA410" s="1264"/>
      <c r="AB410" s="1264"/>
      <c r="AC410" s="1264"/>
      <c r="AD410" s="1264"/>
      <c r="AF410" s="2475" t="s">
        <v>1660</v>
      </c>
      <c r="AG410" s="2475"/>
      <c r="AH410" s="2475"/>
      <c r="AI410" s="2475"/>
      <c r="AJ410" s="2475"/>
      <c r="AK410" s="2475"/>
      <c r="AL410" s="2544"/>
      <c r="AM410" s="1213"/>
      <c r="AN410" s="1265"/>
    </row>
    <row r="411" spans="1:81" s="1226" customFormat="1" ht="12.75" customHeight="1">
      <c r="A411" s="1213"/>
      <c r="B411" s="1211"/>
      <c r="C411" s="1417"/>
      <c r="AL411" s="1409"/>
      <c r="AM411" s="1213"/>
      <c r="AN411" s="1265"/>
    </row>
    <row r="412" spans="1:81" s="1226" customFormat="1" ht="12.75" customHeight="1">
      <c r="A412" s="1213"/>
      <c r="B412" s="1211"/>
      <c r="C412" s="2539" t="s">
        <v>615</v>
      </c>
      <c r="D412" s="2481"/>
      <c r="E412" s="1396"/>
      <c r="F412" s="1397" t="s">
        <v>1678</v>
      </c>
      <c r="G412" s="1264"/>
      <c r="H412" s="1264"/>
      <c r="I412" s="1264"/>
      <c r="J412" s="1264"/>
      <c r="K412" s="1264"/>
      <c r="L412" s="1264"/>
      <c r="M412" s="1264"/>
      <c r="N412" s="1264"/>
      <c r="O412" s="1264"/>
      <c r="P412" s="1264"/>
      <c r="Q412" s="1264"/>
      <c r="R412" s="1264"/>
      <c r="S412" s="1264"/>
      <c r="T412" s="1264"/>
      <c r="U412" s="1264"/>
      <c r="V412" s="1264"/>
      <c r="W412" s="1264"/>
      <c r="X412" s="1264"/>
      <c r="Y412" s="1264"/>
      <c r="Z412" s="1264"/>
      <c r="AA412" s="1264"/>
      <c r="AB412" s="1264"/>
      <c r="AC412" s="1264"/>
      <c r="AD412" s="1264"/>
      <c r="AF412" s="2475" t="s">
        <v>1672</v>
      </c>
      <c r="AG412" s="2475"/>
      <c r="AH412" s="2475"/>
      <c r="AI412" s="2475"/>
      <c r="AJ412" s="2475"/>
      <c r="AK412" s="2475"/>
      <c r="AL412" s="2544"/>
      <c r="AM412" s="1213"/>
      <c r="AN412" s="1265"/>
      <c r="AO412" s="1336"/>
      <c r="AP412" s="1336"/>
      <c r="BC412" s="1211"/>
    </row>
    <row r="413" spans="1:81" s="1226" customFormat="1" ht="12.75" customHeight="1">
      <c r="A413" s="1213"/>
      <c r="B413" s="1211"/>
      <c r="C413" s="1411"/>
      <c r="D413" s="1411"/>
      <c r="E413" s="1412"/>
      <c r="F413" s="1402"/>
      <c r="G413" s="1403"/>
      <c r="H413" s="1403"/>
      <c r="I413" s="1403"/>
      <c r="J413" s="1403"/>
      <c r="K413" s="1403"/>
      <c r="L413" s="1403"/>
      <c r="M413" s="1403"/>
      <c r="N413" s="1403"/>
      <c r="O413" s="1403"/>
      <c r="P413" s="1403"/>
      <c r="Q413" s="1403"/>
      <c r="R413" s="1403"/>
      <c r="S413" s="1403"/>
      <c r="T413" s="1403"/>
      <c r="U413" s="1403"/>
      <c r="V413" s="1403"/>
      <c r="W413" s="1403"/>
      <c r="X413" s="1403"/>
      <c r="Y413" s="1403"/>
      <c r="Z413" s="1403"/>
      <c r="AA413" s="1403"/>
      <c r="AB413" s="1403"/>
      <c r="AC413" s="1403"/>
      <c r="AD413" s="1403"/>
      <c r="AE413" s="1309"/>
      <c r="AF413" s="1246"/>
      <c r="AG413" s="1309"/>
      <c r="AH413" s="1404"/>
      <c r="AI413" s="1404"/>
      <c r="AJ413" s="1404"/>
      <c r="AK413" s="1404"/>
      <c r="AL413" s="1424"/>
      <c r="AM413" s="1213"/>
      <c r="AN413" s="1265"/>
    </row>
    <row r="414" spans="1:81" s="1226" customFormat="1" ht="12.75" customHeight="1">
      <c r="A414" s="1213"/>
      <c r="B414" s="1211"/>
      <c r="C414" s="1211"/>
      <c r="D414" s="1211"/>
      <c r="E414" s="1408"/>
      <c r="F414" s="1397"/>
      <c r="G414" s="1264"/>
      <c r="H414" s="1264"/>
      <c r="I414" s="1264"/>
      <c r="J414" s="1264"/>
      <c r="K414" s="1264"/>
      <c r="L414" s="1264"/>
      <c r="M414" s="1264"/>
      <c r="N414" s="1264"/>
      <c r="O414" s="1264"/>
      <c r="P414" s="1264"/>
      <c r="Q414" s="1264"/>
      <c r="R414" s="1264"/>
      <c r="S414" s="1264"/>
      <c r="T414" s="1264"/>
      <c r="U414" s="1264"/>
      <c r="V414" s="1264"/>
      <c r="W414" s="1264"/>
      <c r="X414" s="1264"/>
      <c r="Y414" s="1264"/>
      <c r="Z414" s="1264"/>
      <c r="AA414" s="1264"/>
      <c r="AB414" s="1264"/>
      <c r="AC414" s="1264"/>
      <c r="AD414" s="1264"/>
      <c r="AE414" s="1213"/>
      <c r="AF414" s="1575"/>
      <c r="AG414" s="1213"/>
      <c r="AM414" s="1213"/>
      <c r="AN414" s="1265"/>
    </row>
    <row r="415" spans="1:81" s="1226" customFormat="1" ht="12.75" customHeight="1">
      <c r="A415" s="1213"/>
      <c r="B415" s="1211"/>
      <c r="C415" s="1389" t="s">
        <v>1679</v>
      </c>
      <c r="D415" s="1211"/>
      <c r="E415" s="1408"/>
      <c r="F415" s="1264"/>
      <c r="G415" s="1264"/>
      <c r="H415" s="1264"/>
      <c r="I415" s="1264"/>
      <c r="J415" s="1264"/>
      <c r="K415" s="1264"/>
      <c r="L415" s="1264"/>
      <c r="M415" s="1264"/>
      <c r="N415" s="1264"/>
      <c r="O415" s="1264"/>
      <c r="P415" s="1264"/>
      <c r="Q415" s="1264"/>
      <c r="R415" s="1264"/>
      <c r="S415" s="1264"/>
      <c r="T415" s="1264"/>
      <c r="U415" s="1264"/>
      <c r="V415" s="1264"/>
      <c r="W415" s="1264"/>
      <c r="X415" s="1264"/>
      <c r="Y415" s="1264"/>
      <c r="Z415" s="1264"/>
      <c r="AA415" s="1264"/>
      <c r="AB415" s="1264"/>
      <c r="AC415" s="1264"/>
      <c r="AD415" s="1264"/>
      <c r="AE415" s="1213"/>
      <c r="AF415" s="1575"/>
      <c r="AG415" s="1213"/>
      <c r="AM415" s="1213"/>
      <c r="AN415" s="1265"/>
    </row>
    <row r="416" spans="1:81" s="1226" customFormat="1" ht="12.75" customHeight="1">
      <c r="A416" s="1213"/>
      <c r="B416" s="1211"/>
      <c r="C416" s="1390"/>
      <c r="D416" s="1391"/>
      <c r="E416" s="1392" t="s">
        <v>1680</v>
      </c>
      <c r="F416" s="2540" t="s">
        <v>1681</v>
      </c>
      <c r="G416" s="2540"/>
      <c r="H416" s="2540"/>
      <c r="I416" s="2540"/>
      <c r="J416" s="2540"/>
      <c r="K416" s="2540"/>
      <c r="L416" s="2540"/>
      <c r="M416" s="2540"/>
      <c r="N416" s="2540"/>
      <c r="O416" s="2540"/>
      <c r="P416" s="2540"/>
      <c r="Q416" s="2540"/>
      <c r="R416" s="2540"/>
      <c r="S416" s="2540"/>
      <c r="T416" s="2540"/>
      <c r="U416" s="2540"/>
      <c r="V416" s="2540"/>
      <c r="W416" s="2540"/>
      <c r="X416" s="2540"/>
      <c r="Y416" s="2540"/>
      <c r="Z416" s="2540"/>
      <c r="AA416" s="2540"/>
      <c r="AB416" s="2540"/>
      <c r="AC416" s="2540"/>
      <c r="AD416" s="2540"/>
      <c r="AE416" s="2540"/>
      <c r="AF416" s="1391"/>
      <c r="AG416" s="1391"/>
      <c r="AH416" s="1391"/>
      <c r="AI416" s="1391"/>
      <c r="AJ416" s="1391"/>
      <c r="AK416" s="1391"/>
      <c r="AL416" s="1420"/>
      <c r="AM416" s="1213"/>
      <c r="AN416" s="1265"/>
    </row>
    <row r="417" spans="1:60" s="1226" customFormat="1" ht="12.75" customHeight="1">
      <c r="A417" s="1213"/>
      <c r="B417" s="1211"/>
      <c r="C417" s="1407"/>
      <c r="D417" s="1211"/>
      <c r="E417" s="1408"/>
      <c r="F417" s="2527"/>
      <c r="G417" s="2527"/>
      <c r="H417" s="2527"/>
      <c r="I417" s="2527"/>
      <c r="J417" s="2527"/>
      <c r="K417" s="2527"/>
      <c r="L417" s="2527"/>
      <c r="M417" s="2527"/>
      <c r="N417" s="2527"/>
      <c r="O417" s="2527"/>
      <c r="P417" s="2527"/>
      <c r="Q417" s="2527"/>
      <c r="R417" s="2527"/>
      <c r="S417" s="2527"/>
      <c r="T417" s="2527"/>
      <c r="U417" s="2527"/>
      <c r="V417" s="2527"/>
      <c r="W417" s="2527"/>
      <c r="X417" s="2527"/>
      <c r="Y417" s="2527"/>
      <c r="Z417" s="2527"/>
      <c r="AA417" s="2527"/>
      <c r="AB417" s="2527"/>
      <c r="AC417" s="2527"/>
      <c r="AD417" s="2527"/>
      <c r="AE417" s="2527"/>
      <c r="AF417" s="1575"/>
      <c r="AG417" s="1213"/>
      <c r="AL417" s="1409"/>
      <c r="AM417" s="1213"/>
      <c r="AN417" s="1265"/>
    </row>
    <row r="418" spans="1:60" s="1226" customFormat="1" ht="12.45" customHeight="1">
      <c r="A418" s="1213"/>
      <c r="B418" s="1211"/>
      <c r="C418" s="1407"/>
      <c r="D418" s="1211"/>
      <c r="E418" s="1408"/>
      <c r="F418" s="2527"/>
      <c r="G418" s="2527"/>
      <c r="H418" s="2527"/>
      <c r="I418" s="2527"/>
      <c r="J418" s="2527"/>
      <c r="K418" s="2527"/>
      <c r="L418" s="2527"/>
      <c r="M418" s="2527"/>
      <c r="N418" s="2527"/>
      <c r="O418" s="2527"/>
      <c r="P418" s="2527"/>
      <c r="Q418" s="2527"/>
      <c r="R418" s="2527"/>
      <c r="S418" s="2527"/>
      <c r="T418" s="2527"/>
      <c r="U418" s="2527"/>
      <c r="V418" s="2527"/>
      <c r="W418" s="2527"/>
      <c r="X418" s="2527"/>
      <c r="Y418" s="2527"/>
      <c r="Z418" s="2527"/>
      <c r="AA418" s="2527"/>
      <c r="AB418" s="2527"/>
      <c r="AC418" s="2527"/>
      <c r="AD418" s="2527"/>
      <c r="AE418" s="2527"/>
      <c r="AL418" s="1409"/>
      <c r="AM418" s="1213"/>
      <c r="AN418" s="1265"/>
    </row>
    <row r="419" spans="1:60" s="1226" customFormat="1" ht="12.75" customHeight="1">
      <c r="A419" s="1213"/>
      <c r="B419" s="1211"/>
      <c r="C419" s="2539" t="s">
        <v>615</v>
      </c>
      <c r="D419" s="2481"/>
      <c r="E419" s="1408"/>
      <c r="F419" s="1397" t="s">
        <v>1682</v>
      </c>
      <c r="G419" s="1425"/>
      <c r="H419" s="142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F419" s="2475" t="s">
        <v>1660</v>
      </c>
      <c r="AG419" s="2475"/>
      <c r="AH419" s="2475"/>
      <c r="AI419" s="2475"/>
      <c r="AJ419" s="2475"/>
      <c r="AK419" s="2475"/>
      <c r="AL419" s="2544"/>
      <c r="AM419" s="1213"/>
      <c r="AN419" s="1265"/>
    </row>
    <row r="420" spans="1:60" s="1226" customFormat="1" ht="12.75" customHeight="1">
      <c r="A420" s="1213"/>
      <c r="B420" s="1211"/>
      <c r="C420" s="1419"/>
      <c r="D420" s="1404"/>
      <c r="E420" s="1401"/>
      <c r="F420" s="1418"/>
      <c r="G420" s="1403"/>
      <c r="H420" s="1403"/>
      <c r="I420" s="1403"/>
      <c r="J420" s="1403"/>
      <c r="K420" s="1403"/>
      <c r="L420" s="1403"/>
      <c r="M420" s="1403"/>
      <c r="N420" s="1403"/>
      <c r="O420" s="1403"/>
      <c r="P420" s="1403"/>
      <c r="Q420" s="1403"/>
      <c r="R420" s="1403"/>
      <c r="S420" s="1403"/>
      <c r="T420" s="1403"/>
      <c r="U420" s="1403"/>
      <c r="V420" s="1403"/>
      <c r="W420" s="1403"/>
      <c r="X420" s="1403"/>
      <c r="Y420" s="1403"/>
      <c r="Z420" s="1403"/>
      <c r="AA420" s="1403"/>
      <c r="AB420" s="1403"/>
      <c r="AC420" s="1403"/>
      <c r="AD420" s="1403"/>
      <c r="AE420" s="1404"/>
      <c r="AF420" s="1404"/>
      <c r="AG420" s="1404"/>
      <c r="AH420" s="1404"/>
      <c r="AI420" s="1404"/>
      <c r="AJ420" s="1404"/>
      <c r="AK420" s="1404"/>
      <c r="AL420" s="1415"/>
      <c r="AM420" s="1213"/>
      <c r="AN420" s="1265"/>
    </row>
    <row r="421" spans="1:60" s="1226" customFormat="1" ht="12.75" customHeight="1">
      <c r="A421" s="1213"/>
      <c r="B421" s="1211"/>
      <c r="C421" s="1566"/>
      <c r="D421" s="1566"/>
      <c r="E421" s="1396"/>
      <c r="F421" s="1397"/>
      <c r="G421" s="1264"/>
      <c r="H421" s="1264"/>
      <c r="I421" s="1264"/>
      <c r="J421" s="1264"/>
      <c r="K421" s="1264"/>
      <c r="L421" s="1264"/>
      <c r="M421" s="1264"/>
      <c r="N421" s="1264"/>
      <c r="O421" s="1264"/>
      <c r="P421" s="1264"/>
      <c r="Q421" s="1264"/>
      <c r="R421" s="1264"/>
      <c r="S421" s="1264"/>
      <c r="T421" s="1264"/>
      <c r="U421" s="1264"/>
      <c r="V421" s="1264"/>
      <c r="W421" s="1264"/>
      <c r="X421" s="1264"/>
      <c r="Y421" s="1264"/>
      <c r="Z421" s="1264"/>
      <c r="AA421" s="1264"/>
      <c r="AB421" s="1264"/>
      <c r="AC421" s="1264"/>
      <c r="AD421" s="1264"/>
      <c r="AE421" s="1213"/>
      <c r="AM421" s="1213"/>
      <c r="AN421" s="1265"/>
    </row>
    <row r="422" spans="1:60" ht="13.2" customHeight="1">
      <c r="A422" s="1213"/>
      <c r="C422" s="1421"/>
      <c r="D422" s="1422"/>
      <c r="E422" s="1392" t="s">
        <v>1683</v>
      </c>
      <c r="F422" s="2540" t="s">
        <v>1684</v>
      </c>
      <c r="G422" s="2540"/>
      <c r="H422" s="2540"/>
      <c r="I422" s="2540"/>
      <c r="J422" s="2540"/>
      <c r="K422" s="2540"/>
      <c r="L422" s="2540"/>
      <c r="M422" s="2540"/>
      <c r="N422" s="2540"/>
      <c r="O422" s="2540"/>
      <c r="P422" s="2540"/>
      <c r="Q422" s="2540"/>
      <c r="R422" s="2540"/>
      <c r="S422" s="2540"/>
      <c r="T422" s="2540"/>
      <c r="U422" s="2540"/>
      <c r="V422" s="2540"/>
      <c r="W422" s="2540"/>
      <c r="X422" s="2540"/>
      <c r="Y422" s="2540"/>
      <c r="Z422" s="2540"/>
      <c r="AA422" s="2540"/>
      <c r="AB422" s="2540"/>
      <c r="AC422" s="2540"/>
      <c r="AD422" s="2540"/>
      <c r="AE422" s="2540"/>
      <c r="AF422" s="1422"/>
      <c r="AG422" s="1422"/>
      <c r="AH422" s="1422"/>
      <c r="AI422" s="1422"/>
      <c r="AJ422" s="1422"/>
      <c r="AK422" s="1422"/>
      <c r="AL422" s="1423"/>
      <c r="AM422" s="1213"/>
      <c r="AO422" s="1226"/>
      <c r="AP422" s="1226"/>
      <c r="BD422" s="1211"/>
      <c r="BE422" s="1211"/>
      <c r="BF422" s="1211"/>
      <c r="BG422" s="1211"/>
      <c r="BH422" s="1211"/>
    </row>
    <row r="423" spans="1:60">
      <c r="A423" s="1213"/>
      <c r="C423" s="1407"/>
      <c r="E423" s="1408"/>
      <c r="F423" s="2527"/>
      <c r="G423" s="2527"/>
      <c r="H423" s="2527"/>
      <c r="I423" s="2527"/>
      <c r="J423" s="2527"/>
      <c r="K423" s="2527"/>
      <c r="L423" s="2527"/>
      <c r="M423" s="2527"/>
      <c r="N423" s="2527"/>
      <c r="O423" s="2527"/>
      <c r="P423" s="2527"/>
      <c r="Q423" s="2527"/>
      <c r="R423" s="2527"/>
      <c r="S423" s="2527"/>
      <c r="T423" s="2527"/>
      <c r="U423" s="2527"/>
      <c r="V423" s="2527"/>
      <c r="W423" s="2527"/>
      <c r="X423" s="2527"/>
      <c r="Y423" s="2527"/>
      <c r="Z423" s="2527"/>
      <c r="AA423" s="2527"/>
      <c r="AB423" s="2527"/>
      <c r="AC423" s="2527"/>
      <c r="AD423" s="2527"/>
      <c r="AE423" s="2527"/>
      <c r="AF423" s="1557"/>
      <c r="AG423" s="1557"/>
      <c r="AH423" s="1557"/>
      <c r="AI423" s="1557"/>
      <c r="AJ423" s="1557"/>
      <c r="AK423" s="1557"/>
      <c r="AL423" s="1570"/>
      <c r="AM423" s="1213"/>
      <c r="AO423" s="1226"/>
      <c r="AP423" s="1226"/>
    </row>
    <row r="424" spans="1:60" s="1226" customFormat="1" ht="12.75" customHeight="1">
      <c r="A424" s="1213"/>
      <c r="B424" s="1211"/>
      <c r="C424" s="1407"/>
      <c r="D424" s="1211"/>
      <c r="E424" s="1408"/>
      <c r="F424" s="2527"/>
      <c r="G424" s="2527"/>
      <c r="H424" s="2527"/>
      <c r="I424" s="2527"/>
      <c r="J424" s="2527"/>
      <c r="K424" s="2527"/>
      <c r="L424" s="2527"/>
      <c r="M424" s="2527"/>
      <c r="N424" s="2527"/>
      <c r="O424" s="2527"/>
      <c r="P424" s="2527"/>
      <c r="Q424" s="2527"/>
      <c r="R424" s="2527"/>
      <c r="S424" s="2527"/>
      <c r="T424" s="2527"/>
      <c r="U424" s="2527"/>
      <c r="V424" s="2527"/>
      <c r="W424" s="2527"/>
      <c r="X424" s="2527"/>
      <c r="Y424" s="2527"/>
      <c r="Z424" s="2527"/>
      <c r="AA424" s="2527"/>
      <c r="AB424" s="2527"/>
      <c r="AC424" s="2527"/>
      <c r="AD424" s="2527"/>
      <c r="AE424" s="2527"/>
      <c r="AF424" s="1557"/>
      <c r="AG424" s="1557"/>
      <c r="AH424" s="1557"/>
      <c r="AI424" s="1557"/>
      <c r="AJ424" s="1557"/>
      <c r="AK424" s="1557"/>
      <c r="AL424" s="1570"/>
      <c r="AM424" s="1213"/>
      <c r="AN424" s="1265"/>
    </row>
    <row r="425" spans="1:60" s="1226" customFormat="1" ht="12.75" customHeight="1">
      <c r="A425" s="1213"/>
      <c r="B425" s="1211"/>
      <c r="C425" s="1565"/>
      <c r="D425" s="1566"/>
      <c r="E425" s="1396"/>
      <c r="F425" s="2527"/>
      <c r="G425" s="2527"/>
      <c r="H425" s="2527"/>
      <c r="I425" s="2527"/>
      <c r="J425" s="2527"/>
      <c r="K425" s="2527"/>
      <c r="L425" s="2527"/>
      <c r="M425" s="2527"/>
      <c r="N425" s="2527"/>
      <c r="O425" s="2527"/>
      <c r="P425" s="2527"/>
      <c r="Q425" s="2527"/>
      <c r="R425" s="2527"/>
      <c r="S425" s="2527"/>
      <c r="T425" s="2527"/>
      <c r="U425" s="2527"/>
      <c r="V425" s="2527"/>
      <c r="W425" s="2527"/>
      <c r="X425" s="2527"/>
      <c r="Y425" s="2527"/>
      <c r="Z425" s="2527"/>
      <c r="AA425" s="2527"/>
      <c r="AB425" s="2527"/>
      <c r="AC425" s="2527"/>
      <c r="AD425" s="2527"/>
      <c r="AE425" s="2527"/>
      <c r="AF425" s="1557"/>
      <c r="AG425" s="1557"/>
      <c r="AH425" s="1557"/>
      <c r="AI425" s="1557"/>
      <c r="AJ425" s="1557"/>
      <c r="AK425" s="1557"/>
      <c r="AL425" s="1570"/>
      <c r="AM425" s="1213"/>
      <c r="AN425" s="1265"/>
      <c r="AO425" s="1210"/>
      <c r="AP425" s="1211"/>
    </row>
    <row r="426" spans="1:60" s="1226" customFormat="1" ht="12.75" customHeight="1">
      <c r="A426" s="1213"/>
      <c r="B426" s="1211"/>
      <c r="C426" s="1565"/>
      <c r="D426" s="1566"/>
      <c r="E426" s="1396"/>
      <c r="F426" s="2527"/>
      <c r="G426" s="2527"/>
      <c r="H426" s="2527"/>
      <c r="I426" s="2527"/>
      <c r="J426" s="2527"/>
      <c r="K426" s="2527"/>
      <c r="L426" s="2527"/>
      <c r="M426" s="2527"/>
      <c r="N426" s="2527"/>
      <c r="O426" s="2527"/>
      <c r="P426" s="2527"/>
      <c r="Q426" s="2527"/>
      <c r="R426" s="2527"/>
      <c r="S426" s="2527"/>
      <c r="T426" s="2527"/>
      <c r="U426" s="2527"/>
      <c r="V426" s="2527"/>
      <c r="W426" s="2527"/>
      <c r="X426" s="2527"/>
      <c r="Y426" s="2527"/>
      <c r="Z426" s="2527"/>
      <c r="AA426" s="2527"/>
      <c r="AB426" s="2527"/>
      <c r="AC426" s="2527"/>
      <c r="AD426" s="2527"/>
      <c r="AE426" s="2527"/>
      <c r="AF426" s="1557"/>
      <c r="AG426" s="1557"/>
      <c r="AH426" s="1557"/>
      <c r="AI426" s="1557"/>
      <c r="AJ426" s="1557"/>
      <c r="AK426" s="1557"/>
      <c r="AL426" s="1570"/>
      <c r="AM426" s="1213"/>
      <c r="AN426" s="1265"/>
    </row>
    <row r="427" spans="1:60" s="1226" customFormat="1" ht="12.75" customHeight="1">
      <c r="A427" s="1213"/>
      <c r="B427" s="1211"/>
      <c r="C427" s="1565"/>
      <c r="D427" s="1566"/>
      <c r="E427" s="1396"/>
      <c r="F427" s="2527"/>
      <c r="G427" s="2527"/>
      <c r="H427" s="2527"/>
      <c r="I427" s="2527"/>
      <c r="J427" s="2527"/>
      <c r="K427" s="2527"/>
      <c r="L427" s="2527"/>
      <c r="M427" s="2527"/>
      <c r="N427" s="2527"/>
      <c r="O427" s="2527"/>
      <c r="P427" s="2527"/>
      <c r="Q427" s="2527"/>
      <c r="R427" s="2527"/>
      <c r="S427" s="2527"/>
      <c r="T427" s="2527"/>
      <c r="U427" s="2527"/>
      <c r="V427" s="2527"/>
      <c r="W427" s="2527"/>
      <c r="X427" s="2527"/>
      <c r="Y427" s="2527"/>
      <c r="Z427" s="2527"/>
      <c r="AA427" s="2527"/>
      <c r="AB427" s="2527"/>
      <c r="AC427" s="2527"/>
      <c r="AD427" s="2527"/>
      <c r="AE427" s="2527"/>
      <c r="AF427" s="1557"/>
      <c r="AG427" s="1557"/>
      <c r="AH427" s="1557"/>
      <c r="AI427" s="1557"/>
      <c r="AJ427" s="1557"/>
      <c r="AK427" s="1557"/>
      <c r="AL427" s="1570"/>
      <c r="AM427" s="1213"/>
      <c r="AN427" s="1265"/>
    </row>
    <row r="428" spans="1:60" s="1226" customFormat="1" ht="12.75" customHeight="1">
      <c r="A428" s="1213"/>
      <c r="B428" s="1211"/>
      <c r="C428" s="1565"/>
      <c r="D428" s="1566"/>
      <c r="E428" s="1396"/>
      <c r="F428" s="2527"/>
      <c r="G428" s="2527"/>
      <c r="H428" s="2527"/>
      <c r="I428" s="2527"/>
      <c r="J428" s="2527"/>
      <c r="K428" s="2527"/>
      <c r="L428" s="2527"/>
      <c r="M428" s="2527"/>
      <c r="N428" s="2527"/>
      <c r="O428" s="2527"/>
      <c r="P428" s="2527"/>
      <c r="Q428" s="2527"/>
      <c r="R428" s="2527"/>
      <c r="S428" s="2527"/>
      <c r="T428" s="2527"/>
      <c r="U428" s="2527"/>
      <c r="V428" s="2527"/>
      <c r="W428" s="2527"/>
      <c r="X428" s="2527"/>
      <c r="Y428" s="2527"/>
      <c r="Z428" s="2527"/>
      <c r="AA428" s="2527"/>
      <c r="AB428" s="2527"/>
      <c r="AC428" s="2527"/>
      <c r="AD428" s="2527"/>
      <c r="AE428" s="2527"/>
      <c r="AF428" s="1557"/>
      <c r="AG428" s="1557"/>
      <c r="AH428" s="1557"/>
      <c r="AI428" s="1557"/>
      <c r="AJ428" s="1557"/>
      <c r="AK428" s="1557"/>
      <c r="AL428" s="1570"/>
      <c r="AM428" s="1213"/>
      <c r="AN428" s="1265"/>
    </row>
    <row r="429" spans="1:60" s="1226" customFormat="1" ht="12.75" customHeight="1">
      <c r="A429" s="1213"/>
      <c r="B429" s="1211"/>
      <c r="C429" s="1565"/>
      <c r="D429" s="1566"/>
      <c r="E429" s="1396"/>
      <c r="F429" s="2527"/>
      <c r="G429" s="2527"/>
      <c r="H429" s="2527"/>
      <c r="I429" s="2527"/>
      <c r="J429" s="2527"/>
      <c r="K429" s="2527"/>
      <c r="L429" s="2527"/>
      <c r="M429" s="2527"/>
      <c r="N429" s="2527"/>
      <c r="O429" s="2527"/>
      <c r="P429" s="2527"/>
      <c r="Q429" s="2527"/>
      <c r="R429" s="2527"/>
      <c r="S429" s="2527"/>
      <c r="T429" s="2527"/>
      <c r="U429" s="2527"/>
      <c r="V429" s="2527"/>
      <c r="W429" s="2527"/>
      <c r="X429" s="2527"/>
      <c r="Y429" s="2527"/>
      <c r="Z429" s="2527"/>
      <c r="AA429" s="2527"/>
      <c r="AB429" s="2527"/>
      <c r="AC429" s="2527"/>
      <c r="AD429" s="2527"/>
      <c r="AE429" s="2527"/>
      <c r="AF429" s="1557"/>
      <c r="AG429" s="1557"/>
      <c r="AH429" s="1557"/>
      <c r="AI429" s="1557"/>
      <c r="AJ429" s="1557"/>
      <c r="AK429" s="1557"/>
      <c r="AL429" s="1570"/>
      <c r="AM429" s="1213"/>
      <c r="AN429" s="1265"/>
    </row>
    <row r="430" spans="1:60" s="1226" customFormat="1" ht="17.25" customHeight="1">
      <c r="A430" s="1213"/>
      <c r="B430" s="1211"/>
      <c r="C430" s="1565"/>
      <c r="D430" s="1566"/>
      <c r="E430" s="1396"/>
      <c r="F430" s="2527"/>
      <c r="G430" s="2527"/>
      <c r="H430" s="2527"/>
      <c r="I430" s="2527"/>
      <c r="J430" s="2527"/>
      <c r="K430" s="2527"/>
      <c r="L430" s="2527"/>
      <c r="M430" s="2527"/>
      <c r="N430" s="2527"/>
      <c r="O430" s="2527"/>
      <c r="P430" s="2527"/>
      <c r="Q430" s="2527"/>
      <c r="R430" s="2527"/>
      <c r="S430" s="2527"/>
      <c r="T430" s="2527"/>
      <c r="U430" s="2527"/>
      <c r="V430" s="2527"/>
      <c r="W430" s="2527"/>
      <c r="X430" s="2527"/>
      <c r="Y430" s="2527"/>
      <c r="Z430" s="2527"/>
      <c r="AA430" s="2527"/>
      <c r="AB430" s="2527"/>
      <c r="AC430" s="2527"/>
      <c r="AD430" s="2527"/>
      <c r="AE430" s="2527"/>
      <c r="AL430" s="1409"/>
      <c r="AM430" s="1213"/>
      <c r="AN430" s="1265"/>
    </row>
    <row r="431" spans="1:60" s="1226" customFormat="1" ht="12.75" customHeight="1">
      <c r="A431" s="1213"/>
      <c r="B431" s="1211"/>
      <c r="C431" s="2539" t="s">
        <v>615</v>
      </c>
      <c r="D431" s="2481"/>
      <c r="E431" s="1396"/>
      <c r="F431" s="1336" t="s">
        <v>1685</v>
      </c>
      <c r="G431" s="1263"/>
      <c r="H431" s="1263"/>
      <c r="I431" s="1263"/>
      <c r="J431" s="1263"/>
      <c r="K431" s="1263"/>
      <c r="L431" s="1263"/>
      <c r="M431" s="1263"/>
      <c r="N431" s="1263"/>
      <c r="O431" s="1263"/>
      <c r="P431" s="1263"/>
      <c r="Q431" s="1263"/>
      <c r="R431" s="1263"/>
      <c r="S431" s="1263"/>
      <c r="T431" s="1263"/>
      <c r="U431" s="1263"/>
      <c r="V431" s="1263"/>
      <c r="W431" s="1263"/>
      <c r="X431" s="1263"/>
      <c r="Y431" s="1263"/>
      <c r="Z431" s="1263"/>
      <c r="AA431" s="1263"/>
      <c r="AB431" s="1263"/>
      <c r="AC431" s="1263"/>
      <c r="AD431" s="1263"/>
      <c r="AF431" s="2475" t="s">
        <v>1660</v>
      </c>
      <c r="AG431" s="2475"/>
      <c r="AH431" s="2475"/>
      <c r="AI431" s="2475"/>
      <c r="AJ431" s="2475"/>
      <c r="AK431" s="2475"/>
      <c r="AL431" s="2544"/>
      <c r="AM431" s="1213"/>
      <c r="AN431" s="1265"/>
    </row>
    <row r="432" spans="1:60" s="1226" customFormat="1" ht="12.75" customHeight="1">
      <c r="A432" s="1213"/>
      <c r="B432" s="1211"/>
      <c r="C432" s="1419"/>
      <c r="D432" s="1404"/>
      <c r="E432" s="1401"/>
      <c r="F432" s="1418"/>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4"/>
      <c r="AF432" s="1404"/>
      <c r="AG432" s="1404"/>
      <c r="AH432" s="1404"/>
      <c r="AI432" s="1404"/>
      <c r="AJ432" s="1404"/>
      <c r="AK432" s="1404"/>
      <c r="AL432" s="1415"/>
      <c r="AM432" s="1213"/>
      <c r="AN432" s="1265"/>
    </row>
    <row r="433" spans="1:54" s="1226" customFormat="1" ht="12.75" customHeight="1">
      <c r="A433" s="1213"/>
      <c r="B433" s="1211"/>
      <c r="C433" s="1566"/>
      <c r="D433" s="1566"/>
      <c r="E433" s="1396"/>
      <c r="F433" s="1397"/>
      <c r="G433" s="1264"/>
      <c r="H433" s="1264"/>
      <c r="I433" s="1264"/>
      <c r="J433" s="1264"/>
      <c r="K433" s="1264"/>
      <c r="L433" s="1264"/>
      <c r="M433" s="1264"/>
      <c r="N433" s="1264"/>
      <c r="O433" s="1264"/>
      <c r="P433" s="1264"/>
      <c r="Q433" s="1264"/>
      <c r="R433" s="1264"/>
      <c r="S433" s="1264"/>
      <c r="T433" s="1264"/>
      <c r="U433" s="1264"/>
      <c r="V433" s="1264"/>
      <c r="W433" s="1264"/>
      <c r="X433" s="1264"/>
      <c r="Y433" s="1264"/>
      <c r="Z433" s="1264"/>
      <c r="AA433" s="1264"/>
      <c r="AB433" s="1264"/>
      <c r="AC433" s="1264"/>
      <c r="AD433" s="1264"/>
      <c r="AE433" s="1555"/>
      <c r="AF433" s="1555"/>
      <c r="AG433" s="1555"/>
      <c r="AH433" s="1555"/>
      <c r="AI433" s="1555"/>
      <c r="AJ433" s="1555"/>
      <c r="AK433" s="1555"/>
      <c r="AL433" s="1555"/>
      <c r="AM433" s="1213"/>
      <c r="AN433" s="1265"/>
    </row>
    <row r="434" spans="1:54" s="1226" customFormat="1" ht="12.75" customHeight="1">
      <c r="A434" s="1213"/>
      <c r="B434" s="1211"/>
      <c r="C434" s="1390"/>
      <c r="D434" s="1391"/>
      <c r="E434" s="1392" t="s">
        <v>1686</v>
      </c>
      <c r="F434" s="2540" t="s">
        <v>1687</v>
      </c>
      <c r="G434" s="2540"/>
      <c r="H434" s="2540"/>
      <c r="I434" s="2540"/>
      <c r="J434" s="2540"/>
      <c r="K434" s="2540"/>
      <c r="L434" s="2540"/>
      <c r="M434" s="2540"/>
      <c r="N434" s="2540"/>
      <c r="O434" s="2540"/>
      <c r="P434" s="2540"/>
      <c r="Q434" s="2540"/>
      <c r="R434" s="2540"/>
      <c r="S434" s="2540"/>
      <c r="T434" s="2540"/>
      <c r="U434" s="2540"/>
      <c r="V434" s="2540"/>
      <c r="W434" s="2540"/>
      <c r="X434" s="2540"/>
      <c r="Y434" s="2540"/>
      <c r="Z434" s="2540"/>
      <c r="AA434" s="2540"/>
      <c r="AB434" s="2540"/>
      <c r="AC434" s="2540"/>
      <c r="AD434" s="2540"/>
      <c r="AE434" s="2540"/>
      <c r="AF434" s="1391"/>
      <c r="AG434" s="1391"/>
      <c r="AH434" s="1391"/>
      <c r="AI434" s="1391"/>
      <c r="AJ434" s="1391"/>
      <c r="AK434" s="1391"/>
      <c r="AL434" s="1420"/>
      <c r="AM434" s="1213"/>
      <c r="AN434" s="1265"/>
      <c r="AO434" s="1226" t="s">
        <v>615</v>
      </c>
      <c r="AP434" s="1226">
        <v>0</v>
      </c>
      <c r="AQ434" s="1426"/>
    </row>
    <row r="435" spans="1:54" s="1226" customFormat="1" ht="12.75" customHeight="1">
      <c r="A435" s="1213"/>
      <c r="B435" s="1211"/>
      <c r="C435" s="1565"/>
      <c r="D435" s="1566"/>
      <c r="E435" s="1396"/>
      <c r="F435" s="2527"/>
      <c r="G435" s="2527"/>
      <c r="H435" s="2527"/>
      <c r="I435" s="2527"/>
      <c r="J435" s="2527"/>
      <c r="K435" s="2527"/>
      <c r="L435" s="2527"/>
      <c r="M435" s="2527"/>
      <c r="N435" s="2527"/>
      <c r="O435" s="2527"/>
      <c r="P435" s="2527"/>
      <c r="Q435" s="2527"/>
      <c r="R435" s="2527"/>
      <c r="S435" s="2527"/>
      <c r="T435" s="2527"/>
      <c r="U435" s="2527"/>
      <c r="V435" s="2527"/>
      <c r="W435" s="2527"/>
      <c r="X435" s="2527"/>
      <c r="Y435" s="2527"/>
      <c r="Z435" s="2527"/>
      <c r="AA435" s="2527"/>
      <c r="AB435" s="2527"/>
      <c r="AC435" s="2527"/>
      <c r="AD435" s="2527"/>
      <c r="AE435" s="2527"/>
      <c r="AF435" s="1555"/>
      <c r="AG435" s="1555"/>
      <c r="AH435" s="1555"/>
      <c r="AI435" s="1555"/>
      <c r="AJ435" s="1555"/>
      <c r="AK435" s="1555"/>
      <c r="AL435" s="1569"/>
      <c r="AM435" s="1213"/>
      <c r="AN435" s="1265"/>
      <c r="AO435" s="1226" t="s">
        <v>1688</v>
      </c>
      <c r="AP435" s="1226">
        <v>5</v>
      </c>
      <c r="AQ435" s="1426"/>
    </row>
    <row r="436" spans="1:54" s="1226" customFormat="1" ht="12.75" customHeight="1">
      <c r="A436" s="1213"/>
      <c r="B436" s="1211"/>
      <c r="C436" s="1565"/>
      <c r="D436" s="1566"/>
      <c r="E436" s="1396"/>
      <c r="F436" s="2527"/>
      <c r="G436" s="2527"/>
      <c r="H436" s="2527"/>
      <c r="I436" s="2527"/>
      <c r="J436" s="2527"/>
      <c r="K436" s="2527"/>
      <c r="L436" s="2527"/>
      <c r="M436" s="2527"/>
      <c r="N436" s="2527"/>
      <c r="O436" s="2527"/>
      <c r="P436" s="2527"/>
      <c r="Q436" s="2527"/>
      <c r="R436" s="2527"/>
      <c r="S436" s="2527"/>
      <c r="T436" s="2527"/>
      <c r="U436" s="2527"/>
      <c r="V436" s="2527"/>
      <c r="W436" s="2527"/>
      <c r="X436" s="2527"/>
      <c r="Y436" s="2527"/>
      <c r="Z436" s="2527"/>
      <c r="AA436" s="2527"/>
      <c r="AB436" s="2527"/>
      <c r="AC436" s="2527"/>
      <c r="AD436" s="2527"/>
      <c r="AE436" s="2527"/>
      <c r="AF436" s="1555"/>
      <c r="AG436" s="1555"/>
      <c r="AH436" s="1555"/>
      <c r="AI436" s="1555"/>
      <c r="AJ436" s="1555"/>
      <c r="AK436" s="1555"/>
      <c r="AL436" s="1569"/>
      <c r="AM436" s="1213"/>
      <c r="AN436" s="1265"/>
      <c r="AO436" s="1226" t="s">
        <v>1689</v>
      </c>
      <c r="AP436" s="1226">
        <v>5</v>
      </c>
      <c r="AQ436" s="1426"/>
    </row>
    <row r="437" spans="1:54" s="1226" customFormat="1" ht="12.75" customHeight="1">
      <c r="A437" s="1213"/>
      <c r="B437" s="1211"/>
      <c r="C437" s="1565"/>
      <c r="D437" s="1566"/>
      <c r="E437" s="1396"/>
      <c r="F437" s="2527"/>
      <c r="G437" s="2527"/>
      <c r="H437" s="2527"/>
      <c r="I437" s="2527"/>
      <c r="J437" s="2527"/>
      <c r="K437" s="2527"/>
      <c r="L437" s="2527"/>
      <c r="M437" s="2527"/>
      <c r="N437" s="2527"/>
      <c r="O437" s="2527"/>
      <c r="P437" s="2527"/>
      <c r="Q437" s="2527"/>
      <c r="R437" s="2527"/>
      <c r="S437" s="2527"/>
      <c r="T437" s="2527"/>
      <c r="U437" s="2527"/>
      <c r="V437" s="2527"/>
      <c r="W437" s="2527"/>
      <c r="X437" s="2527"/>
      <c r="Y437" s="2527"/>
      <c r="Z437" s="2527"/>
      <c r="AA437" s="2527"/>
      <c r="AB437" s="2527"/>
      <c r="AC437" s="2527"/>
      <c r="AD437" s="2527"/>
      <c r="AE437" s="2527"/>
      <c r="AL437" s="1409"/>
      <c r="AM437" s="1213"/>
      <c r="AN437" s="1265"/>
      <c r="AO437" s="1226" t="s">
        <v>1690</v>
      </c>
      <c r="AP437" s="1226">
        <v>5</v>
      </c>
      <c r="AQ437" s="1213"/>
    </row>
    <row r="438" spans="1:54" s="1226" customFormat="1" ht="12.75" customHeight="1">
      <c r="A438" s="1213"/>
      <c r="B438" s="1211"/>
      <c r="C438" s="2539" t="s">
        <v>615</v>
      </c>
      <c r="D438" s="2481"/>
      <c r="E438" s="1396"/>
      <c r="F438" s="1397" t="s">
        <v>1691</v>
      </c>
      <c r="G438" s="1264"/>
      <c r="H438" s="1264"/>
      <c r="I438" s="1264"/>
      <c r="J438" s="1264"/>
      <c r="K438" s="1264"/>
      <c r="L438" s="1264"/>
      <c r="M438" s="1264"/>
      <c r="N438" s="1264"/>
      <c r="O438" s="1264"/>
      <c r="P438" s="1264"/>
      <c r="Q438" s="1264"/>
      <c r="R438" s="1264"/>
      <c r="S438" s="1264"/>
      <c r="T438" s="1264"/>
      <c r="U438" s="1264"/>
      <c r="V438" s="1264"/>
      <c r="W438" s="1264"/>
      <c r="X438" s="1264"/>
      <c r="Y438" s="1264"/>
      <c r="Z438" s="1264"/>
      <c r="AA438" s="1264"/>
      <c r="AB438" s="1264"/>
      <c r="AC438" s="1264"/>
      <c r="AD438" s="1264"/>
      <c r="AF438" s="2475" t="s">
        <v>1660</v>
      </c>
      <c r="AG438" s="2475"/>
      <c r="AH438" s="2475"/>
      <c r="AI438" s="2475"/>
      <c r="AJ438" s="2475"/>
      <c r="AK438" s="2475"/>
      <c r="AL438" s="2544"/>
      <c r="AM438" s="1213"/>
      <c r="AN438" s="1427"/>
      <c r="AO438" s="1226" t="s">
        <v>1692</v>
      </c>
      <c r="AP438" s="1226">
        <v>5</v>
      </c>
    </row>
    <row r="439" spans="1:54" s="1226" customFormat="1" ht="12.75" customHeight="1">
      <c r="A439" s="1213"/>
      <c r="B439" s="1211"/>
      <c r="C439" s="1565"/>
      <c r="D439" s="1566"/>
      <c r="E439" s="1396"/>
      <c r="F439" s="1397"/>
      <c r="G439" s="1264"/>
      <c r="H439" s="1264"/>
      <c r="I439" s="1264"/>
      <c r="J439" s="1264"/>
      <c r="K439" s="1264"/>
      <c r="L439" s="1264"/>
      <c r="M439" s="1264"/>
      <c r="N439" s="1264"/>
      <c r="O439" s="1264"/>
      <c r="P439" s="1264"/>
      <c r="Q439" s="1264"/>
      <c r="R439" s="1264"/>
      <c r="S439" s="1264"/>
      <c r="T439" s="1264"/>
      <c r="U439" s="1264"/>
      <c r="V439" s="1264"/>
      <c r="W439" s="1264"/>
      <c r="X439" s="1264"/>
      <c r="Y439" s="1264"/>
      <c r="Z439" s="1264"/>
      <c r="AA439" s="1264"/>
      <c r="AB439" s="1264"/>
      <c r="AC439" s="1264"/>
      <c r="AD439" s="1264"/>
      <c r="AE439" s="1555"/>
      <c r="AL439" s="1409"/>
      <c r="AM439" s="1213"/>
      <c r="AN439" s="1427"/>
      <c r="AO439" s="1226" t="s">
        <v>1693</v>
      </c>
      <c r="AP439" s="1226">
        <v>5</v>
      </c>
    </row>
    <row r="440" spans="1:54" s="1226" customFormat="1" ht="12.75" customHeight="1">
      <c r="A440" s="1213"/>
      <c r="B440" s="1211"/>
      <c r="C440" s="1410"/>
      <c r="D440" s="1411"/>
      <c r="E440" s="1412"/>
      <c r="F440" s="1404" t="s">
        <v>1667</v>
      </c>
      <c r="G440" s="1413"/>
      <c r="H440" s="1413"/>
      <c r="I440" s="1413"/>
      <c r="J440" s="1413"/>
      <c r="K440" s="1413"/>
      <c r="L440" s="1413"/>
      <c r="M440" s="1413"/>
      <c r="N440" s="1413"/>
      <c r="O440" s="1413"/>
      <c r="P440" s="1413"/>
      <c r="Q440" s="1413"/>
      <c r="R440" s="1413"/>
      <c r="S440" s="1413"/>
      <c r="T440" s="1413"/>
      <c r="U440" s="1413"/>
      <c r="V440" s="1413"/>
      <c r="W440" s="1413"/>
      <c r="X440" s="1413"/>
      <c r="Y440" s="1413"/>
      <c r="Z440" s="1413"/>
      <c r="AA440" s="1413"/>
      <c r="AB440" s="1413"/>
      <c r="AC440" s="1413"/>
      <c r="AD440" s="1413"/>
      <c r="AE440" s="1309"/>
      <c r="AF440" s="1246"/>
      <c r="AG440" s="1309"/>
      <c r="AH440" s="1404"/>
      <c r="AI440" s="1404"/>
      <c r="AJ440" s="1404"/>
      <c r="AK440" s="1404"/>
      <c r="AL440" s="1415"/>
      <c r="AM440" s="1213"/>
      <c r="AN440" s="1427"/>
      <c r="AO440" s="1226" t="s">
        <v>1694</v>
      </c>
      <c r="AP440" s="1226">
        <v>5</v>
      </c>
    </row>
    <row r="441" spans="1:54" s="1226" customFormat="1" ht="12.75" customHeight="1">
      <c r="A441" s="1213"/>
      <c r="B441" s="1211"/>
      <c r="C441" s="1566"/>
      <c r="D441" s="1566"/>
      <c r="E441" s="1396"/>
      <c r="F441" s="1397"/>
      <c r="G441" s="1264"/>
      <c r="H441" s="1264"/>
      <c r="I441" s="1264"/>
      <c r="J441" s="1264"/>
      <c r="K441" s="1264"/>
      <c r="L441" s="1264"/>
      <c r="M441" s="1264"/>
      <c r="N441" s="1264"/>
      <c r="O441" s="1264"/>
      <c r="P441" s="1264"/>
      <c r="Q441" s="1264"/>
      <c r="R441" s="1264"/>
      <c r="S441" s="1264"/>
      <c r="T441" s="1264"/>
      <c r="U441" s="1264"/>
      <c r="V441" s="1264"/>
      <c r="W441" s="1264"/>
      <c r="X441" s="1264"/>
      <c r="Y441" s="1264"/>
      <c r="Z441" s="1264"/>
      <c r="AA441" s="1264"/>
      <c r="AB441" s="1264"/>
      <c r="AC441" s="1264"/>
      <c r="AD441" s="1264"/>
      <c r="AE441" s="1555"/>
      <c r="AM441" s="1213"/>
      <c r="AN441" s="1427"/>
      <c r="AO441" s="1226" t="s">
        <v>1695</v>
      </c>
      <c r="AP441" s="1226">
        <v>5</v>
      </c>
    </row>
    <row r="442" spans="1:54" s="1226" customFormat="1" ht="12.75" customHeight="1">
      <c r="A442" s="1213"/>
      <c r="B442" s="1211"/>
      <c r="C442" s="2545" t="s">
        <v>615</v>
      </c>
      <c r="D442" s="2546"/>
      <c r="E442" s="1392" t="s">
        <v>1696</v>
      </c>
      <c r="F442" s="2540" t="s">
        <v>1697</v>
      </c>
      <c r="G442" s="2540"/>
      <c r="H442" s="2540"/>
      <c r="I442" s="2540"/>
      <c r="J442" s="2540"/>
      <c r="K442" s="2540"/>
      <c r="L442" s="2540"/>
      <c r="M442" s="2540"/>
      <c r="N442" s="2540"/>
      <c r="O442" s="2540"/>
      <c r="P442" s="2540"/>
      <c r="Q442" s="2540"/>
      <c r="R442" s="2540"/>
      <c r="S442" s="2540"/>
      <c r="T442" s="2540"/>
      <c r="U442" s="2540"/>
      <c r="V442" s="2540"/>
      <c r="W442" s="2540"/>
      <c r="X442" s="2540"/>
      <c r="Y442" s="2540"/>
      <c r="Z442" s="2540"/>
      <c r="AA442" s="2540"/>
      <c r="AB442" s="2540"/>
      <c r="AC442" s="2540"/>
      <c r="AD442" s="2540"/>
      <c r="AE442" s="2540"/>
      <c r="AF442" s="2541" t="s">
        <v>1660</v>
      </c>
      <c r="AG442" s="2541"/>
      <c r="AH442" s="2541"/>
      <c r="AI442" s="2541"/>
      <c r="AJ442" s="2541"/>
      <c r="AK442" s="2541"/>
      <c r="AL442" s="2542"/>
      <c r="AM442" s="1213"/>
      <c r="AN442" s="1427"/>
      <c r="AO442" s="1226" t="s">
        <v>1698</v>
      </c>
      <c r="AP442" s="1226">
        <v>1</v>
      </c>
    </row>
    <row r="443" spans="1:54" s="1226" customFormat="1" ht="12.75" customHeight="1">
      <c r="A443" s="1213"/>
      <c r="B443" s="1211"/>
      <c r="C443" s="1565"/>
      <c r="D443" s="1566"/>
      <c r="E443" s="1396"/>
      <c r="F443" s="2527"/>
      <c r="G443" s="2527"/>
      <c r="H443" s="2527"/>
      <c r="I443" s="2527"/>
      <c r="J443" s="2527"/>
      <c r="K443" s="2527"/>
      <c r="L443" s="2527"/>
      <c r="M443" s="2527"/>
      <c r="N443" s="2527"/>
      <c r="O443" s="2527"/>
      <c r="P443" s="2527"/>
      <c r="Q443" s="2527"/>
      <c r="R443" s="2527"/>
      <c r="S443" s="2527"/>
      <c r="T443" s="2527"/>
      <c r="U443" s="2527"/>
      <c r="V443" s="2527"/>
      <c r="W443" s="2527"/>
      <c r="X443" s="2527"/>
      <c r="Y443" s="2527"/>
      <c r="Z443" s="2527"/>
      <c r="AA443" s="2527"/>
      <c r="AB443" s="2527"/>
      <c r="AC443" s="2527"/>
      <c r="AD443" s="2527"/>
      <c r="AE443" s="2527"/>
      <c r="AF443" s="1555"/>
      <c r="AG443" s="1555"/>
      <c r="AH443" s="1555"/>
      <c r="AI443" s="1555"/>
      <c r="AJ443" s="1555"/>
      <c r="AK443" s="1555"/>
      <c r="AL443" s="1569"/>
      <c r="AM443" s="1213"/>
      <c r="AN443" s="1428"/>
      <c r="AS443" s="1429"/>
      <c r="AW443" s="1429" t="s">
        <v>1699</v>
      </c>
      <c r="BA443" s="1429" t="s">
        <v>1700</v>
      </c>
    </row>
    <row r="444" spans="1:54" s="1226" customFormat="1" ht="17.7" customHeight="1">
      <c r="A444" s="1213"/>
      <c r="B444" s="1211"/>
      <c r="C444" s="1399"/>
      <c r="D444" s="1400"/>
      <c r="E444" s="1401"/>
      <c r="F444" s="2528"/>
      <c r="G444" s="2528"/>
      <c r="H444" s="2528"/>
      <c r="I444" s="2528"/>
      <c r="J444" s="2528"/>
      <c r="K444" s="2528"/>
      <c r="L444" s="2528"/>
      <c r="M444" s="2528"/>
      <c r="N444" s="2528"/>
      <c r="O444" s="2528"/>
      <c r="P444" s="2528"/>
      <c r="Q444" s="2528"/>
      <c r="R444" s="2528"/>
      <c r="S444" s="2528"/>
      <c r="T444" s="2528"/>
      <c r="U444" s="2528"/>
      <c r="V444" s="2528"/>
      <c r="W444" s="2528"/>
      <c r="X444" s="2528"/>
      <c r="Y444" s="2528"/>
      <c r="Z444" s="2528"/>
      <c r="AA444" s="2528"/>
      <c r="AB444" s="2528"/>
      <c r="AC444" s="2528"/>
      <c r="AD444" s="2528"/>
      <c r="AE444" s="2528"/>
      <c r="AF444" s="1430"/>
      <c r="AG444" s="1430"/>
      <c r="AH444" s="1430"/>
      <c r="AI444" s="1430"/>
      <c r="AJ444" s="1430"/>
      <c r="AK444" s="1430"/>
      <c r="AL444" s="1405"/>
      <c r="AM444" s="1213"/>
      <c r="AN444" s="1212"/>
      <c r="AO444" s="1226" t="s">
        <v>615</v>
      </c>
      <c r="AP444" s="1339">
        <v>0</v>
      </c>
      <c r="AR444" s="1226" t="s">
        <v>615</v>
      </c>
      <c r="AS444" s="1339">
        <v>0</v>
      </c>
      <c r="AT444" s="1431"/>
      <c r="AW444" s="1226" t="s">
        <v>615</v>
      </c>
      <c r="AX444" s="1431">
        <v>0</v>
      </c>
      <c r="BA444" s="1226" t="s">
        <v>615</v>
      </c>
      <c r="BB444" s="1431">
        <v>0</v>
      </c>
    </row>
    <row r="445" spans="1:54" s="1226" customFormat="1" ht="12.75" customHeight="1">
      <c r="A445" s="1213"/>
      <c r="B445" s="1211"/>
      <c r="C445" s="1566"/>
      <c r="D445" s="1566"/>
      <c r="E445" s="1396"/>
      <c r="F445" s="1397"/>
      <c r="G445" s="1264"/>
      <c r="H445" s="1264"/>
      <c r="I445" s="1264"/>
      <c r="J445" s="1264"/>
      <c r="K445" s="1264"/>
      <c r="L445" s="1264"/>
      <c r="M445" s="1264"/>
      <c r="N445" s="1264"/>
      <c r="O445" s="1264"/>
      <c r="P445" s="1264"/>
      <c r="Q445" s="1264"/>
      <c r="R445" s="1264"/>
      <c r="S445" s="1264"/>
      <c r="T445" s="1264"/>
      <c r="U445" s="1264"/>
      <c r="V445" s="1264"/>
      <c r="W445" s="1264"/>
      <c r="X445" s="1264"/>
      <c r="Y445" s="1264"/>
      <c r="Z445" s="1264"/>
      <c r="AA445" s="1264"/>
      <c r="AB445" s="1264"/>
      <c r="AC445" s="1264"/>
      <c r="AD445" s="1264"/>
      <c r="AE445" s="1555"/>
      <c r="AM445" s="1213"/>
      <c r="AN445" s="1212"/>
      <c r="AO445" s="1432">
        <v>7.0000000000000007E-2</v>
      </c>
      <c r="AP445" s="1339">
        <v>3</v>
      </c>
      <c r="AR445" s="1226" t="s">
        <v>1701</v>
      </c>
      <c r="AS445" s="1339">
        <v>3</v>
      </c>
      <c r="AT445" s="1431"/>
      <c r="AW445" s="1432">
        <v>0.4</v>
      </c>
      <c r="AX445" s="1431">
        <v>3</v>
      </c>
      <c r="BA445" s="1432">
        <v>0.4</v>
      </c>
      <c r="BB445" s="1431">
        <v>4</v>
      </c>
    </row>
    <row r="446" spans="1:54" s="1226" customFormat="1" ht="12.75" customHeight="1">
      <c r="A446" s="1213"/>
      <c r="B446" s="1211"/>
      <c r="C446" s="2539" t="s">
        <v>615</v>
      </c>
      <c r="D446" s="2481"/>
      <c r="E446" s="1392" t="s">
        <v>1702</v>
      </c>
      <c r="F446" s="2540" t="s">
        <v>1703</v>
      </c>
      <c r="G446" s="2540"/>
      <c r="H446" s="2540"/>
      <c r="I446" s="2540"/>
      <c r="J446" s="2540"/>
      <c r="K446" s="2540"/>
      <c r="L446" s="2540"/>
      <c r="M446" s="2540"/>
      <c r="N446" s="2540"/>
      <c r="O446" s="2540"/>
      <c r="P446" s="2540"/>
      <c r="Q446" s="2540"/>
      <c r="R446" s="2540"/>
      <c r="S446" s="2540"/>
      <c r="T446" s="2540"/>
      <c r="U446" s="2540"/>
      <c r="V446" s="2540"/>
      <c r="W446" s="2540"/>
      <c r="X446" s="2540"/>
      <c r="Y446" s="2540"/>
      <c r="Z446" s="2540"/>
      <c r="AA446" s="2540"/>
      <c r="AB446" s="2540"/>
      <c r="AC446" s="2540"/>
      <c r="AD446" s="2540"/>
      <c r="AE446" s="2540"/>
      <c r="AF446" s="2541" t="s">
        <v>1660</v>
      </c>
      <c r="AG446" s="2541"/>
      <c r="AH446" s="2541"/>
      <c r="AI446" s="2541"/>
      <c r="AJ446" s="2541"/>
      <c r="AK446" s="2541"/>
      <c r="AL446" s="2542"/>
      <c r="AM446" s="1213"/>
      <c r="AN446" s="1212"/>
      <c r="AO446" s="1432">
        <v>0.12</v>
      </c>
      <c r="AP446" s="1339">
        <v>5</v>
      </c>
      <c r="AR446" s="1226" t="s">
        <v>1704</v>
      </c>
      <c r="AS446" s="1339">
        <v>5</v>
      </c>
      <c r="AT446" s="1431"/>
      <c r="AW446" s="1432">
        <v>0.6</v>
      </c>
      <c r="AX446" s="1431">
        <v>4</v>
      </c>
      <c r="BA446" s="1432">
        <v>0.6</v>
      </c>
      <c r="BB446" s="1431">
        <v>5</v>
      </c>
    </row>
    <row r="447" spans="1:54" s="1226" customFormat="1" ht="12.75" customHeight="1">
      <c r="A447" s="1213"/>
      <c r="B447" s="1211"/>
      <c r="C447" s="1407"/>
      <c r="D447" s="1211"/>
      <c r="E447" s="1408"/>
      <c r="F447" s="2527"/>
      <c r="G447" s="2527"/>
      <c r="H447" s="2527"/>
      <c r="I447" s="2527"/>
      <c r="J447" s="2527"/>
      <c r="K447" s="2527"/>
      <c r="L447" s="2527"/>
      <c r="M447" s="2527"/>
      <c r="N447" s="2527"/>
      <c r="O447" s="2527"/>
      <c r="P447" s="2527"/>
      <c r="Q447" s="2527"/>
      <c r="R447" s="2527"/>
      <c r="S447" s="2527"/>
      <c r="T447" s="2527"/>
      <c r="U447" s="2527"/>
      <c r="V447" s="2527"/>
      <c r="W447" s="2527"/>
      <c r="X447" s="2527"/>
      <c r="Y447" s="2527"/>
      <c r="Z447" s="2527"/>
      <c r="AA447" s="2527"/>
      <c r="AB447" s="2527"/>
      <c r="AC447" s="2527"/>
      <c r="AD447" s="2527"/>
      <c r="AE447" s="2527"/>
      <c r="AF447" s="1575"/>
      <c r="AG447" s="1213"/>
      <c r="AL447" s="1409"/>
      <c r="AM447" s="1213"/>
      <c r="AN447" s="1212"/>
      <c r="AO447" s="1432"/>
      <c r="AP447" s="1431"/>
      <c r="AS447" s="1432"/>
      <c r="AT447" s="1431"/>
      <c r="AW447" s="1432">
        <v>0.8</v>
      </c>
      <c r="AX447" s="1431">
        <v>5</v>
      </c>
      <c r="BA447" s="1432"/>
      <c r="BB447" s="1431"/>
    </row>
    <row r="448" spans="1:54" s="1226" customFormat="1" ht="12.75" customHeight="1">
      <c r="A448" s="1213"/>
      <c r="B448" s="1211"/>
      <c r="C448" s="1407"/>
      <c r="D448" s="1211"/>
      <c r="E448" s="1408"/>
      <c r="F448" s="2527"/>
      <c r="G448" s="2527"/>
      <c r="H448" s="2527"/>
      <c r="I448" s="2527"/>
      <c r="J448" s="2527"/>
      <c r="K448" s="2527"/>
      <c r="L448" s="2527"/>
      <c r="M448" s="2527"/>
      <c r="N448" s="2527"/>
      <c r="O448" s="2527"/>
      <c r="P448" s="2527"/>
      <c r="Q448" s="2527"/>
      <c r="R448" s="2527"/>
      <c r="S448" s="2527"/>
      <c r="T448" s="2527"/>
      <c r="U448" s="2527"/>
      <c r="V448" s="2527"/>
      <c r="W448" s="2527"/>
      <c r="X448" s="2527"/>
      <c r="Y448" s="2527"/>
      <c r="Z448" s="2527"/>
      <c r="AA448" s="2527"/>
      <c r="AB448" s="2527"/>
      <c r="AC448" s="2527"/>
      <c r="AD448" s="2527"/>
      <c r="AE448" s="2527"/>
      <c r="AF448" s="1575"/>
      <c r="AG448" s="1213"/>
      <c r="AL448" s="1409"/>
      <c r="AM448" s="1213"/>
      <c r="AN448" s="1212"/>
      <c r="AO448" s="1226" t="s">
        <v>615</v>
      </c>
      <c r="AP448" s="1339">
        <v>0</v>
      </c>
      <c r="AW448" s="1432"/>
      <c r="AX448" s="1431"/>
    </row>
    <row r="449" spans="1:49" s="1226" customFormat="1" ht="12.75" customHeight="1">
      <c r="A449" s="1213"/>
      <c r="B449" s="1211"/>
      <c r="C449" s="1399"/>
      <c r="D449" s="1400"/>
      <c r="E449" s="1401"/>
      <c r="F449" s="2528"/>
      <c r="G449" s="2528"/>
      <c r="H449" s="2528"/>
      <c r="I449" s="2528"/>
      <c r="J449" s="2528"/>
      <c r="K449" s="2528"/>
      <c r="L449" s="2528"/>
      <c r="M449" s="2528"/>
      <c r="N449" s="2528"/>
      <c r="O449" s="2528"/>
      <c r="P449" s="2528"/>
      <c r="Q449" s="2528"/>
      <c r="R449" s="2528"/>
      <c r="S449" s="2528"/>
      <c r="T449" s="2528"/>
      <c r="U449" s="2528"/>
      <c r="V449" s="2528"/>
      <c r="W449" s="2528"/>
      <c r="X449" s="2528"/>
      <c r="Y449" s="2528"/>
      <c r="Z449" s="2528"/>
      <c r="AA449" s="2528"/>
      <c r="AB449" s="2528"/>
      <c r="AC449" s="2528"/>
      <c r="AD449" s="2528"/>
      <c r="AE449" s="2528"/>
      <c r="AF449" s="1430"/>
      <c r="AG449" s="1430"/>
      <c r="AH449" s="1430"/>
      <c r="AI449" s="1430"/>
      <c r="AJ449" s="1430"/>
      <c r="AK449" s="1430"/>
      <c r="AL449" s="1405"/>
      <c r="AM449" s="1213"/>
      <c r="AN449" s="1265"/>
      <c r="AO449" s="1432">
        <v>0.09</v>
      </c>
      <c r="AP449" s="1339">
        <v>3</v>
      </c>
      <c r="AS449" s="1429"/>
    </row>
    <row r="450" spans="1:49" s="1226" customFormat="1" ht="12.75" customHeight="1">
      <c r="A450" s="1213"/>
      <c r="B450" s="1211"/>
      <c r="G450" s="1264"/>
      <c r="H450" s="1264"/>
      <c r="I450" s="1264"/>
      <c r="J450" s="1264"/>
      <c r="K450" s="1264"/>
      <c r="L450" s="1264"/>
      <c r="M450" s="1264"/>
      <c r="N450" s="1264"/>
      <c r="O450" s="1264"/>
      <c r="P450" s="1264"/>
      <c r="Q450" s="1264"/>
      <c r="R450" s="1264"/>
      <c r="S450" s="1264"/>
      <c r="T450" s="1264"/>
      <c r="U450" s="1264"/>
      <c r="V450" s="1264"/>
      <c r="W450" s="1264"/>
      <c r="X450" s="1264"/>
      <c r="Y450" s="1264"/>
      <c r="Z450" s="1264"/>
      <c r="AA450" s="1264"/>
      <c r="AB450" s="1264"/>
      <c r="AC450" s="1264"/>
      <c r="AD450" s="1264"/>
      <c r="AM450" s="1213"/>
      <c r="AN450" s="1265"/>
      <c r="AO450" s="1432">
        <v>0.15</v>
      </c>
      <c r="AP450" s="1339">
        <v>5</v>
      </c>
    </row>
    <row r="451" spans="1:49" s="1226" customFormat="1" ht="12.75" customHeight="1">
      <c r="A451" s="1213"/>
      <c r="B451" s="1211"/>
      <c r="C451" s="1390"/>
      <c r="D451" s="1391"/>
      <c r="E451" s="1392" t="s">
        <v>1705</v>
      </c>
      <c r="F451" s="2540" t="s">
        <v>1706</v>
      </c>
      <c r="G451" s="2540"/>
      <c r="H451" s="2540"/>
      <c r="I451" s="2540"/>
      <c r="J451" s="2540"/>
      <c r="K451" s="2540"/>
      <c r="L451" s="2540"/>
      <c r="M451" s="2540"/>
      <c r="N451" s="2540"/>
      <c r="O451" s="2540"/>
      <c r="P451" s="2540"/>
      <c r="Q451" s="2540"/>
      <c r="R451" s="2540"/>
      <c r="S451" s="2540"/>
      <c r="T451" s="2540"/>
      <c r="U451" s="2540"/>
      <c r="V451" s="2540"/>
      <c r="W451" s="2540"/>
      <c r="X451" s="2540"/>
      <c r="Y451" s="2540"/>
      <c r="Z451" s="2540"/>
      <c r="AA451" s="2540"/>
      <c r="AB451" s="2540"/>
      <c r="AC451" s="2540"/>
      <c r="AD451" s="2540"/>
      <c r="AE451" s="2540"/>
      <c r="AF451" s="2540"/>
      <c r="AG451" s="1296"/>
      <c r="AH451" s="1391"/>
      <c r="AI451" s="1391"/>
      <c r="AJ451" s="1391"/>
      <c r="AK451" s="1391"/>
      <c r="AL451" s="1420"/>
      <c r="AM451" s="1213"/>
      <c r="AN451" s="1265"/>
    </row>
    <row r="452" spans="1:49" s="1226" customFormat="1" ht="12.75" customHeight="1">
      <c r="A452" s="1213"/>
      <c r="B452" s="1211"/>
      <c r="C452" s="1407"/>
      <c r="D452" s="1211"/>
      <c r="E452" s="1408"/>
      <c r="F452" s="2527"/>
      <c r="G452" s="2527"/>
      <c r="H452" s="2527"/>
      <c r="I452" s="2527"/>
      <c r="J452" s="2527"/>
      <c r="K452" s="2527"/>
      <c r="L452" s="2527"/>
      <c r="M452" s="2527"/>
      <c r="N452" s="2527"/>
      <c r="O452" s="2527"/>
      <c r="P452" s="2527"/>
      <c r="Q452" s="2527"/>
      <c r="R452" s="2527"/>
      <c r="S452" s="2527"/>
      <c r="T452" s="2527"/>
      <c r="U452" s="2527"/>
      <c r="V452" s="2527"/>
      <c r="W452" s="2527"/>
      <c r="X452" s="2527"/>
      <c r="Y452" s="2527"/>
      <c r="Z452" s="2527"/>
      <c r="AA452" s="2527"/>
      <c r="AB452" s="2527"/>
      <c r="AC452" s="2527"/>
      <c r="AD452" s="2527"/>
      <c r="AE452" s="2527"/>
      <c r="AF452" s="2527"/>
      <c r="AL452" s="1409"/>
      <c r="AM452" s="1213"/>
      <c r="AN452" s="1265"/>
    </row>
    <row r="453" spans="1:49" s="1226" customFormat="1" ht="12.75" customHeight="1">
      <c r="A453" s="1213"/>
      <c r="B453" s="1211"/>
      <c r="C453" s="1417"/>
      <c r="F453" s="2527"/>
      <c r="G453" s="2527"/>
      <c r="H453" s="2527"/>
      <c r="I453" s="2527"/>
      <c r="J453" s="2527"/>
      <c r="K453" s="2527"/>
      <c r="L453" s="2527"/>
      <c r="M453" s="2527"/>
      <c r="N453" s="2527"/>
      <c r="O453" s="2527"/>
      <c r="P453" s="2527"/>
      <c r="Q453" s="2527"/>
      <c r="R453" s="2527"/>
      <c r="S453" s="2527"/>
      <c r="T453" s="2527"/>
      <c r="U453" s="2527"/>
      <c r="V453" s="2527"/>
      <c r="W453" s="2527"/>
      <c r="X453" s="2527"/>
      <c r="Y453" s="2527"/>
      <c r="Z453" s="2527"/>
      <c r="AA453" s="2527"/>
      <c r="AB453" s="2527"/>
      <c r="AC453" s="2527"/>
      <c r="AD453" s="2527"/>
      <c r="AE453" s="2527"/>
      <c r="AF453" s="2527"/>
      <c r="AL453" s="1409"/>
      <c r="AM453" s="1213"/>
      <c r="AN453" s="1265"/>
    </row>
    <row r="454" spans="1:49" s="1226" customFormat="1" ht="12.75" customHeight="1">
      <c r="A454" s="1213"/>
      <c r="B454" s="1211"/>
      <c r="C454" s="1417"/>
      <c r="F454" s="2527"/>
      <c r="G454" s="2527"/>
      <c r="H454" s="2527"/>
      <c r="I454" s="2527"/>
      <c r="J454" s="2527"/>
      <c r="K454" s="2527"/>
      <c r="L454" s="2527"/>
      <c r="M454" s="2527"/>
      <c r="N454" s="2527"/>
      <c r="O454" s="2527"/>
      <c r="P454" s="2527"/>
      <c r="Q454" s="2527"/>
      <c r="R454" s="2527"/>
      <c r="S454" s="2527"/>
      <c r="T454" s="2527"/>
      <c r="U454" s="2527"/>
      <c r="V454" s="2527"/>
      <c r="W454" s="2527"/>
      <c r="X454" s="2527"/>
      <c r="Y454" s="2527"/>
      <c r="Z454" s="2527"/>
      <c r="AA454" s="2527"/>
      <c r="AB454" s="2527"/>
      <c r="AC454" s="2527"/>
      <c r="AD454" s="2527"/>
      <c r="AE454" s="2527"/>
      <c r="AF454" s="2527"/>
      <c r="AL454" s="1409"/>
      <c r="AM454" s="1213"/>
      <c r="AN454" s="1265"/>
    </row>
    <row r="455" spans="1:49" s="1226" customFormat="1" ht="12.75" customHeight="1">
      <c r="A455" s="1213"/>
      <c r="B455" s="1211"/>
      <c r="C455" s="2539" t="s">
        <v>615</v>
      </c>
      <c r="D455" s="2481"/>
      <c r="E455" s="1396"/>
      <c r="F455" s="1397" t="s">
        <v>1677</v>
      </c>
      <c r="G455" s="1264"/>
      <c r="H455" s="1264"/>
      <c r="I455" s="1264"/>
      <c r="J455" s="1264"/>
      <c r="K455" s="1264"/>
      <c r="L455" s="1264"/>
      <c r="M455" s="1264"/>
      <c r="N455" s="1264"/>
      <c r="O455" s="1264"/>
      <c r="P455" s="1264"/>
      <c r="Q455" s="1264"/>
      <c r="R455" s="1264"/>
      <c r="S455" s="1264"/>
      <c r="T455" s="1264"/>
      <c r="U455" s="1264"/>
      <c r="V455" s="1264"/>
      <c r="W455" s="1264"/>
      <c r="X455" s="1264"/>
      <c r="Y455" s="1264"/>
      <c r="Z455" s="1264"/>
      <c r="AA455" s="1264"/>
      <c r="AB455" s="1264"/>
      <c r="AC455" s="1264"/>
      <c r="AD455" s="1264"/>
      <c r="AF455" s="2467" t="s">
        <v>1660</v>
      </c>
      <c r="AG455" s="2467"/>
      <c r="AH455" s="2467"/>
      <c r="AI455" s="2467"/>
      <c r="AJ455" s="2467"/>
      <c r="AK455" s="2467"/>
      <c r="AL455" s="2543"/>
      <c r="AM455" s="1213"/>
      <c r="AN455" s="1265"/>
    </row>
    <row r="456" spans="1:49" s="1226" customFormat="1" ht="12.75" customHeight="1">
      <c r="A456" s="1213"/>
      <c r="B456" s="1211"/>
      <c r="C456" s="1410"/>
      <c r="D456" s="1411"/>
      <c r="E456" s="1412"/>
      <c r="F456" s="1404"/>
      <c r="G456" s="1404"/>
      <c r="H456" s="1404"/>
      <c r="I456" s="1404"/>
      <c r="J456" s="1404"/>
      <c r="K456" s="1404"/>
      <c r="L456" s="1404"/>
      <c r="M456" s="1404"/>
      <c r="N456" s="1404"/>
      <c r="O456" s="1404"/>
      <c r="P456" s="1404"/>
      <c r="Q456" s="1404"/>
      <c r="R456" s="1404"/>
      <c r="S456" s="1404"/>
      <c r="T456" s="1404"/>
      <c r="U456" s="1404"/>
      <c r="V456" s="1404"/>
      <c r="W456" s="1404"/>
      <c r="X456" s="1404"/>
      <c r="Y456" s="1404"/>
      <c r="Z456" s="1404"/>
      <c r="AA456" s="1404"/>
      <c r="AB456" s="1404"/>
      <c r="AC456" s="1404"/>
      <c r="AD456" s="1404"/>
      <c r="AE456" s="1404"/>
      <c r="AF456" s="1404"/>
      <c r="AG456" s="1404"/>
      <c r="AH456" s="1404"/>
      <c r="AI456" s="1404"/>
      <c r="AJ456" s="1404"/>
      <c r="AK456" s="1404"/>
      <c r="AL456" s="1415"/>
      <c r="AN456" s="1265"/>
    </row>
    <row r="457" spans="1:49" s="1226" customFormat="1" ht="12.75" customHeight="1">
      <c r="A457" s="1213"/>
      <c r="B457" s="1211"/>
      <c r="C457" s="1433"/>
      <c r="D457" s="1213"/>
      <c r="F457" s="1397"/>
      <c r="G457" s="1264"/>
      <c r="H457" s="1264"/>
      <c r="I457" s="1264"/>
      <c r="J457" s="1264"/>
      <c r="K457" s="1264"/>
      <c r="L457" s="1264"/>
      <c r="M457" s="1264"/>
      <c r="N457" s="1264"/>
      <c r="O457" s="1264"/>
      <c r="P457" s="1264"/>
      <c r="Q457" s="1264"/>
      <c r="R457" s="1264"/>
      <c r="S457" s="1264"/>
      <c r="T457" s="1264"/>
      <c r="U457" s="1264"/>
      <c r="V457" s="1264"/>
      <c r="W457" s="1264"/>
      <c r="X457" s="1264"/>
      <c r="Y457" s="1264"/>
      <c r="Z457" s="1264"/>
      <c r="AA457" s="1264"/>
      <c r="AB457" s="1264"/>
      <c r="AC457" s="1264"/>
      <c r="AD457" s="1264"/>
      <c r="AF457" s="1276"/>
      <c r="AG457" s="1276"/>
      <c r="AH457" s="1276"/>
      <c r="AI457" s="1276"/>
      <c r="AJ457" s="1276"/>
      <c r="AK457" s="1276"/>
      <c r="AL457" s="1276"/>
      <c r="AN457" s="1265"/>
    </row>
    <row r="458" spans="1:49" s="1226" customFormat="1" ht="12.75" customHeight="1">
      <c r="A458" s="1260"/>
      <c r="B458" s="1434" t="s">
        <v>1707</v>
      </c>
      <c r="D458" s="1435"/>
      <c r="E458" s="1261"/>
      <c r="F458" s="1261"/>
      <c r="G458" s="1261"/>
      <c r="H458" s="1261"/>
      <c r="I458" s="1261"/>
      <c r="J458" s="1261"/>
      <c r="K458" s="1261"/>
      <c r="L458" s="1261"/>
      <c r="M458" s="1261"/>
      <c r="N458" s="1261"/>
      <c r="O458" s="1261"/>
      <c r="P458" s="1261"/>
      <c r="Q458" s="1261"/>
      <c r="R458" s="1261"/>
      <c r="S458" s="1261"/>
      <c r="T458" s="1261"/>
      <c r="U458" s="1261"/>
      <c r="V458" s="1261"/>
      <c r="W458" s="1261"/>
      <c r="X458" s="1261"/>
      <c r="Y458" s="1261"/>
      <c r="Z458" s="1261"/>
      <c r="AA458" s="1261"/>
      <c r="AB458" s="1261"/>
      <c r="AC458" s="1261"/>
      <c r="AD458" s="1261"/>
      <c r="AE458" s="1232"/>
      <c r="AF458" s="1232"/>
      <c r="AG458" s="1232"/>
      <c r="AH458" s="1232"/>
      <c r="AI458" s="1233"/>
      <c r="AJ458" s="1233" t="s">
        <v>1708</v>
      </c>
      <c r="AK458" s="2454">
        <f>IF(Application!D213="N/A",AS347,AS349)</f>
        <v>10</v>
      </c>
      <c r="AL458" s="2455"/>
      <c r="AM458" s="2456"/>
      <c r="AN458" s="1265"/>
    </row>
    <row r="459" spans="1:49" s="1226" customFormat="1" ht="12.75" customHeight="1" thickBot="1">
      <c r="A459" s="1436"/>
      <c r="B459" s="1436"/>
      <c r="C459" s="1436"/>
      <c r="D459" s="1436"/>
      <c r="E459" s="1436"/>
      <c r="F459" s="1436"/>
      <c r="G459" s="1436"/>
      <c r="H459" s="1436"/>
      <c r="I459" s="1436"/>
      <c r="J459" s="1436"/>
      <c r="K459" s="1436"/>
      <c r="L459" s="1436"/>
      <c r="M459" s="1436"/>
      <c r="N459" s="1436"/>
      <c r="O459" s="1436"/>
      <c r="P459" s="1436"/>
      <c r="Q459" s="1436"/>
      <c r="R459" s="1436"/>
      <c r="S459" s="1436"/>
      <c r="T459" s="1436"/>
      <c r="U459" s="1436"/>
      <c r="V459" s="1436"/>
      <c r="W459" s="1436"/>
      <c r="X459" s="1436"/>
      <c r="Y459" s="1436"/>
      <c r="Z459" s="1436"/>
      <c r="AA459" s="1436"/>
      <c r="AB459" s="1436"/>
      <c r="AC459" s="1436"/>
      <c r="AD459" s="1436"/>
      <c r="AE459" s="1436"/>
      <c r="AF459" s="1436"/>
      <c r="AG459" s="1436"/>
      <c r="AH459" s="1436"/>
      <c r="AI459" s="1436"/>
      <c r="AJ459" s="1436"/>
      <c r="AK459" s="1436"/>
      <c r="AL459" s="1436"/>
      <c r="AM459" s="1437"/>
      <c r="AN459" s="1265"/>
    </row>
    <row r="460" spans="1:49" s="1226" customFormat="1" ht="12.75" hidden="1" customHeight="1" thickTop="1">
      <c r="A460" s="1438"/>
      <c r="B460" s="914"/>
      <c r="C460" s="915"/>
      <c r="D460" s="915"/>
      <c r="E460" s="915"/>
      <c r="F460" s="915"/>
      <c r="G460" s="915"/>
      <c r="H460" s="915"/>
      <c r="I460" s="1567"/>
      <c r="J460" s="1567"/>
      <c r="K460" s="1567"/>
      <c r="L460" s="1567"/>
      <c r="M460" s="1567"/>
      <c r="N460" s="1567"/>
      <c r="O460" s="1567"/>
      <c r="P460" s="1567"/>
      <c r="Q460" s="1567"/>
      <c r="R460" s="1213"/>
      <c r="S460" s="1575"/>
      <c r="T460" s="1575"/>
      <c r="U460" s="1575"/>
      <c r="V460" s="1575"/>
      <c r="W460" s="1575"/>
      <c r="X460" s="1575"/>
      <c r="Y460" s="1575"/>
      <c r="Z460" s="1575"/>
      <c r="AA460" s="1575"/>
      <c r="AB460" s="1575"/>
      <c r="AC460" s="1575"/>
      <c r="AD460" s="1575"/>
      <c r="AE460" s="1575"/>
      <c r="AF460" s="1213"/>
      <c r="AG460" s="1575"/>
      <c r="AH460" s="1575"/>
      <c r="AI460" s="1575"/>
      <c r="AJ460" s="1575"/>
      <c r="AM460" s="1211"/>
      <c r="AN460" s="1265"/>
      <c r="AO460" s="1226" t="s">
        <v>615</v>
      </c>
      <c r="AP460" s="1226">
        <v>0</v>
      </c>
    </row>
    <row r="461" spans="1:49" s="1226" customFormat="1" ht="12.75" hidden="1" customHeight="1">
      <c r="A461" s="1575" t="s">
        <v>1709</v>
      </c>
      <c r="C461" s="1575"/>
      <c r="E461" s="1336"/>
      <c r="AE461" s="2467" t="s">
        <v>1710</v>
      </c>
      <c r="AF461" s="2467"/>
      <c r="AG461" s="2467"/>
      <c r="AH461" s="2467"/>
      <c r="AI461" s="2467"/>
      <c r="AJ461" s="2467"/>
      <c r="AK461" s="2467"/>
      <c r="AL461" s="1555"/>
      <c r="AN461" s="1265"/>
      <c r="AO461" s="1226" t="s">
        <v>1688</v>
      </c>
      <c r="AP461" s="1226">
        <v>5</v>
      </c>
    </row>
    <row r="462" spans="1:49" s="1226" customFormat="1" ht="12.75" hidden="1" customHeight="1">
      <c r="A462" s="1575"/>
      <c r="B462" s="1213" t="s">
        <v>1711</v>
      </c>
      <c r="C462" s="1575"/>
      <c r="E462" s="1336"/>
      <c r="AE462" s="1555"/>
      <c r="AF462" s="1555"/>
      <c r="AG462" s="1555"/>
      <c r="AH462" s="1555"/>
      <c r="AI462" s="1555"/>
      <c r="AJ462" s="1555"/>
      <c r="AK462" s="1555"/>
      <c r="AL462" s="1555"/>
      <c r="AN462" s="1265"/>
      <c r="AO462" s="1226" t="s">
        <v>1712</v>
      </c>
      <c r="AP462" s="1226">
        <v>5</v>
      </c>
    </row>
    <row r="463" spans="1:49" s="1226" customFormat="1" ht="12.75" hidden="1" customHeight="1">
      <c r="A463" s="1575"/>
      <c r="B463" s="1575" t="s">
        <v>1713</v>
      </c>
      <c r="C463" s="1575"/>
      <c r="E463" s="1336"/>
      <c r="AE463" s="1555"/>
      <c r="AF463" s="1555"/>
      <c r="AG463" s="1555"/>
      <c r="AH463" s="1555"/>
      <c r="AI463" s="1555"/>
      <c r="AJ463" s="1555"/>
      <c r="AK463" s="1555"/>
      <c r="AL463" s="1555"/>
      <c r="AN463" s="1265"/>
      <c r="AO463" s="1226" t="s">
        <v>1690</v>
      </c>
      <c r="AP463" s="1226">
        <v>5</v>
      </c>
      <c r="AQ463" s="1575"/>
      <c r="AR463" s="1575"/>
      <c r="AS463" s="1429"/>
      <c r="AW463" s="1429"/>
    </row>
    <row r="464" spans="1:49" s="1226" customFormat="1" ht="12.75" hidden="1" customHeight="1">
      <c r="A464" s="1575"/>
      <c r="B464" s="1575" t="s">
        <v>1714</v>
      </c>
      <c r="C464" s="1575"/>
      <c r="E464" s="1336"/>
      <c r="AE464" s="1555"/>
      <c r="AF464" s="1555"/>
      <c r="AG464" s="1555"/>
      <c r="AH464" s="1555"/>
      <c r="AI464" s="1555"/>
      <c r="AJ464" s="1555"/>
      <c r="AK464" s="1555"/>
      <c r="AL464" s="1555"/>
      <c r="AN464" s="1265"/>
      <c r="AO464" s="1226" t="s">
        <v>1692</v>
      </c>
      <c r="AP464" s="1226">
        <v>5</v>
      </c>
      <c r="AQ464" s="1575"/>
      <c r="AR464" s="1575"/>
      <c r="AW464" s="1561"/>
    </row>
    <row r="465" spans="1:50" s="1226" customFormat="1" ht="12.75" hidden="1" customHeight="1">
      <c r="A465" s="1575"/>
      <c r="C465" s="1575"/>
      <c r="E465" s="1336"/>
      <c r="AE465" s="1555"/>
      <c r="AF465" s="1555"/>
      <c r="AG465" s="1555"/>
      <c r="AH465" s="1555"/>
      <c r="AI465" s="1555"/>
      <c r="AJ465" s="1555"/>
      <c r="AK465" s="1555"/>
      <c r="AL465" s="1555"/>
      <c r="AN465" s="1265"/>
      <c r="AO465" s="1226" t="s">
        <v>1693</v>
      </c>
      <c r="AP465" s="1226">
        <v>5</v>
      </c>
      <c r="AQ465" s="1575"/>
      <c r="AR465" s="1575"/>
      <c r="AW465" s="1561"/>
    </row>
    <row r="466" spans="1:50" s="1226" customFormat="1" ht="12.75" hidden="1" customHeight="1">
      <c r="A466" s="1575"/>
      <c r="C466" s="1389" t="s">
        <v>1715</v>
      </c>
      <c r="D466" s="1213"/>
      <c r="AE466" s="1555"/>
      <c r="AF466" s="1555"/>
      <c r="AG466" s="1336"/>
      <c r="AH466" s="1336"/>
      <c r="AI466" s="1336"/>
      <c r="AJ466" s="1336"/>
      <c r="AK466" s="1336"/>
      <c r="AL466" s="1336"/>
      <c r="AN466" s="1265"/>
      <c r="AO466" s="1226" t="s">
        <v>1694</v>
      </c>
      <c r="AP466" s="1226">
        <v>5</v>
      </c>
      <c r="AW466" s="1561"/>
    </row>
    <row r="467" spans="1:50" s="1226" customFormat="1" ht="12.75" hidden="1" customHeight="1">
      <c r="A467" s="1575"/>
      <c r="C467" s="2520" t="s">
        <v>615</v>
      </c>
      <c r="D467" s="2521"/>
      <c r="E467" s="1439" t="s">
        <v>530</v>
      </c>
      <c r="F467" s="2529" t="s">
        <v>1716</v>
      </c>
      <c r="G467" s="2529"/>
      <c r="H467" s="2529"/>
      <c r="I467" s="2529"/>
      <c r="J467" s="2529"/>
      <c r="K467" s="2529"/>
      <c r="L467" s="2529"/>
      <c r="M467" s="2529"/>
      <c r="N467" s="2529"/>
      <c r="O467" s="2529"/>
      <c r="P467" s="2529"/>
      <c r="Q467" s="2529"/>
      <c r="R467" s="2529"/>
      <c r="S467" s="2529"/>
      <c r="T467" s="2529"/>
      <c r="U467" s="2529"/>
      <c r="V467" s="2529"/>
      <c r="W467" s="2529"/>
      <c r="X467" s="2529"/>
      <c r="Y467" s="2529"/>
      <c r="Z467" s="2529"/>
      <c r="AA467" s="2529"/>
      <c r="AB467" s="2529"/>
      <c r="AC467" s="2529"/>
      <c r="AD467" s="2529"/>
      <c r="AE467" s="2529"/>
      <c r="AF467" s="1391"/>
      <c r="AG467" s="1391"/>
      <c r="AH467" s="1391"/>
      <c r="AI467" s="1391"/>
      <c r="AJ467" s="1391"/>
      <c r="AK467" s="1420"/>
      <c r="AN467" s="1265"/>
      <c r="AO467" s="1226" t="s">
        <v>1717</v>
      </c>
      <c r="AP467" s="1226">
        <v>5</v>
      </c>
      <c r="AS467" s="1432"/>
      <c r="AT467" s="1431"/>
      <c r="AW467" s="1561"/>
      <c r="AX467" s="1339"/>
    </row>
    <row r="468" spans="1:50" s="1226" customFormat="1" ht="12.75" hidden="1" customHeight="1">
      <c r="C468" s="1440"/>
      <c r="E468" s="1441"/>
      <c r="F468" s="2530"/>
      <c r="G468" s="2530"/>
      <c r="H468" s="2530"/>
      <c r="I468" s="2530"/>
      <c r="J468" s="2530"/>
      <c r="K468" s="2530"/>
      <c r="L468" s="2530"/>
      <c r="M468" s="2530"/>
      <c r="N468" s="2530"/>
      <c r="O468" s="2530"/>
      <c r="P468" s="2530"/>
      <c r="Q468" s="2530"/>
      <c r="R468" s="2530"/>
      <c r="S468" s="2530"/>
      <c r="T468" s="2530"/>
      <c r="U468" s="2530"/>
      <c r="V468" s="2530"/>
      <c r="W468" s="2530"/>
      <c r="X468" s="2530"/>
      <c r="Y468" s="2530"/>
      <c r="Z468" s="2530"/>
      <c r="AA468" s="2530"/>
      <c r="AB468" s="2530"/>
      <c r="AC468" s="2530"/>
      <c r="AD468" s="2530"/>
      <c r="AE468" s="2530"/>
      <c r="AG468" s="1227"/>
      <c r="AH468" s="1227"/>
      <c r="AI468" s="1227"/>
      <c r="AJ468" s="1227"/>
      <c r="AK468" s="1409"/>
      <c r="AN468" s="1265"/>
      <c r="AO468" s="1226" t="s">
        <v>1698</v>
      </c>
      <c r="AP468" s="1226">
        <v>1</v>
      </c>
    </row>
    <row r="469" spans="1:50" s="1226" customFormat="1" ht="12.75" hidden="1" customHeight="1">
      <c r="C469" s="1442"/>
      <c r="D469" s="1404"/>
      <c r="E469" s="1443"/>
      <c r="F469" s="2536" t="s">
        <v>615</v>
      </c>
      <c r="G469" s="2536"/>
      <c r="H469" s="2536"/>
      <c r="I469" s="2536"/>
      <c r="J469" s="2536"/>
      <c r="K469" s="2536"/>
      <c r="L469" s="2536"/>
      <c r="M469" s="2536"/>
      <c r="N469" s="2536"/>
      <c r="O469" s="2536"/>
      <c r="P469" s="2536"/>
      <c r="Q469" s="2536"/>
      <c r="R469" s="2536"/>
      <c r="S469" s="2536"/>
      <c r="T469" s="2536"/>
      <c r="U469" s="2536"/>
      <c r="V469" s="2536"/>
      <c r="W469" s="2536"/>
      <c r="X469" s="2536"/>
      <c r="Y469" s="2536"/>
      <c r="Z469" s="2536"/>
      <c r="AA469" s="1309"/>
      <c r="AB469" s="1361"/>
      <c r="AC469" s="1361"/>
      <c r="AD469" s="1404"/>
      <c r="AE469" s="1404"/>
      <c r="AF469" s="1404"/>
      <c r="AG469" s="1444">
        <f>IF($C$467="Yes",(VLOOKUP($F$469,$AO$434:$AP$442,2,FALSE)),0)</f>
        <v>0</v>
      </c>
      <c r="AH469" s="1445" t="s">
        <v>1518</v>
      </c>
      <c r="AI469" s="1444"/>
      <c r="AJ469" s="1444"/>
      <c r="AK469" s="1415"/>
      <c r="AN469" s="1265"/>
      <c r="AS469" s="1429"/>
      <c r="AW469" s="1429"/>
    </row>
    <row r="470" spans="1:50" s="1226" customFormat="1" ht="12.75" hidden="1" customHeight="1">
      <c r="C470" s="1227"/>
      <c r="E470" s="1441"/>
      <c r="F470" s="1431"/>
      <c r="G470" s="1431"/>
      <c r="H470" s="1431"/>
      <c r="I470" s="1431"/>
      <c r="J470" s="1431"/>
      <c r="K470" s="1431"/>
      <c r="L470" s="1431"/>
      <c r="M470" s="1431"/>
      <c r="N470" s="1431"/>
      <c r="O470" s="1431"/>
      <c r="P470" s="1431"/>
      <c r="Q470" s="1431"/>
      <c r="R470" s="1431"/>
      <c r="S470" s="1431"/>
      <c r="T470" s="1431"/>
      <c r="U470" s="1431"/>
      <c r="V470" s="1431"/>
      <c r="W470" s="1431"/>
      <c r="X470" s="1431"/>
      <c r="Y470" s="1431"/>
      <c r="Z470" s="1431"/>
      <c r="AA470" s="1213"/>
      <c r="AB470" s="1227"/>
      <c r="AC470" s="1227"/>
      <c r="AG470" s="1227"/>
      <c r="AH470" s="1227"/>
      <c r="AI470" s="1227"/>
      <c r="AJ470" s="1227"/>
      <c r="AN470" s="1265"/>
      <c r="AO470" s="1226" t="s">
        <v>615</v>
      </c>
      <c r="AP470" s="1339">
        <v>0</v>
      </c>
    </row>
    <row r="471" spans="1:50" s="1226" customFormat="1" ht="12.75" hidden="1" customHeight="1">
      <c r="C471" s="2537" t="s">
        <v>568</v>
      </c>
      <c r="D471" s="2538"/>
      <c r="E471" s="1439" t="s">
        <v>785</v>
      </c>
      <c r="F471" s="1446" t="s">
        <v>1718</v>
      </c>
      <c r="G471" s="1352"/>
      <c r="H471" s="1352"/>
      <c r="I471" s="1352"/>
      <c r="J471" s="1352"/>
      <c r="K471" s="1352"/>
      <c r="L471" s="1352"/>
      <c r="M471" s="1352"/>
      <c r="N471" s="1352"/>
      <c r="O471" s="1352"/>
      <c r="P471" s="1352"/>
      <c r="Q471" s="1352"/>
      <c r="R471" s="1352"/>
      <c r="S471" s="1352"/>
      <c r="T471" s="1352"/>
      <c r="U471" s="1352"/>
      <c r="V471" s="1352"/>
      <c r="W471" s="1352"/>
      <c r="X471" s="1352"/>
      <c r="Y471" s="1352"/>
      <c r="Z471" s="1352"/>
      <c r="AA471" s="1352"/>
      <c r="AB471" s="1352"/>
      <c r="AC471" s="1352"/>
      <c r="AD471" s="1391"/>
      <c r="AE471" s="1391"/>
      <c r="AF471" s="1391"/>
      <c r="AG471" s="1352"/>
      <c r="AH471" s="1352"/>
      <c r="AI471" s="1352"/>
      <c r="AJ471" s="1352"/>
      <c r="AK471" s="1420"/>
      <c r="AN471" s="1265"/>
      <c r="AO471" s="1432">
        <v>0.15</v>
      </c>
      <c r="AP471" s="1339">
        <v>3</v>
      </c>
    </row>
    <row r="472" spans="1:50" s="1226" customFormat="1" ht="12.75" hidden="1" customHeight="1">
      <c r="C472" s="1447" t="s">
        <v>1719</v>
      </c>
      <c r="F472" s="1448" t="s">
        <v>1720</v>
      </c>
      <c r="G472" s="1227"/>
      <c r="H472" s="1227"/>
      <c r="I472" s="1227"/>
      <c r="J472" s="1227"/>
      <c r="K472" s="1227"/>
      <c r="L472" s="1227"/>
      <c r="M472" s="1227"/>
      <c r="N472" s="1227"/>
      <c r="O472" s="1227"/>
      <c r="P472" s="1227"/>
      <c r="Q472" s="1227"/>
      <c r="R472" s="1227"/>
      <c r="S472" s="1227"/>
      <c r="T472" s="1227"/>
      <c r="U472" s="1227"/>
      <c r="V472" s="1227"/>
      <c r="W472" s="1227"/>
      <c r="X472" s="1227"/>
      <c r="Y472" s="1227"/>
      <c r="Z472" s="1227"/>
      <c r="AA472" s="1227"/>
      <c r="AB472" s="1227"/>
      <c r="AC472" s="1555"/>
      <c r="AG472" s="1276"/>
      <c r="AH472" s="1276"/>
      <c r="AI472" s="1276"/>
      <c r="AJ472" s="1276"/>
      <c r="AK472" s="1409"/>
      <c r="AN472" s="1265"/>
      <c r="AO472" s="1432">
        <v>0.2</v>
      </c>
      <c r="AP472" s="1339">
        <v>5</v>
      </c>
    </row>
    <row r="473" spans="1:50" s="1226" customFormat="1" ht="12.75" hidden="1" customHeight="1">
      <c r="C473" s="1565"/>
      <c r="D473" s="1566"/>
      <c r="E473" s="1449"/>
      <c r="F473" s="1448" t="s">
        <v>1721</v>
      </c>
      <c r="G473" s="1448"/>
      <c r="H473" s="1448"/>
      <c r="I473" s="1448"/>
      <c r="J473" s="1448"/>
      <c r="K473" s="1448"/>
      <c r="L473" s="1448"/>
      <c r="M473" s="1448"/>
      <c r="N473" s="1448"/>
      <c r="O473" s="1448"/>
      <c r="P473" s="1448"/>
      <c r="Q473" s="1448"/>
      <c r="R473" s="1448"/>
      <c r="S473" s="1448"/>
      <c r="T473" s="1448"/>
      <c r="U473" s="1448"/>
      <c r="V473" s="1448"/>
      <c r="W473" s="1448"/>
      <c r="X473" s="1448"/>
      <c r="Y473" s="1448"/>
      <c r="Z473" s="1448"/>
      <c r="AA473" s="1448"/>
      <c r="AB473" s="1448"/>
      <c r="AC473" s="1450"/>
      <c r="AD473" s="1272"/>
      <c r="AE473" s="1272"/>
      <c r="AF473" s="1272"/>
      <c r="AG473" s="1451"/>
      <c r="AH473" s="1276"/>
      <c r="AI473" s="1276"/>
      <c r="AJ473" s="1276"/>
      <c r="AK473" s="1409"/>
      <c r="AN473" s="1452"/>
      <c r="AO473" s="1432"/>
      <c r="AP473" s="1431"/>
    </row>
    <row r="474" spans="1:50" s="1336" customFormat="1" ht="12.75" hidden="1" customHeight="1">
      <c r="A474" s="1339"/>
      <c r="B474" s="1226"/>
      <c r="C474" s="1440"/>
      <c r="D474" s="1226"/>
      <c r="E474" s="1441"/>
      <c r="F474" s="1453" t="s">
        <v>1722</v>
      </c>
      <c r="G474" s="1226"/>
      <c r="H474" s="1226"/>
      <c r="I474" s="1448"/>
      <c r="J474" s="1448"/>
      <c r="K474" s="1448"/>
      <c r="L474" s="1448"/>
      <c r="M474" s="1448"/>
      <c r="N474" s="1448"/>
      <c r="O474" s="1448"/>
      <c r="P474" s="1448"/>
      <c r="Q474" s="1448"/>
      <c r="R474" s="1448"/>
      <c r="S474" s="1448"/>
      <c r="T474" s="1448"/>
      <c r="U474" s="1448"/>
      <c r="V474" s="2535" t="s">
        <v>615</v>
      </c>
      <c r="W474" s="2535"/>
      <c r="X474" s="2535"/>
      <c r="Y474" s="1448"/>
      <c r="Z474" s="1448"/>
      <c r="AA474" s="1448"/>
      <c r="AB474" s="1448"/>
      <c r="AC474" s="1448"/>
      <c r="AD474" s="1272"/>
      <c r="AE474" s="1272"/>
      <c r="AF474" s="1272"/>
      <c r="AG474" s="1276">
        <f>IF(AND($C$471="Yes",$V$476="N/A",$V$481="N/A",$V$485="N/A",$V$487="N/A"),(VLOOKUP(V474,$AR$444:$AS$446,2,FALSE)),0)</f>
        <v>0</v>
      </c>
      <c r="AH474" s="1576" t="s">
        <v>1518</v>
      </c>
      <c r="AI474" s="1227"/>
      <c r="AJ474" s="1227"/>
      <c r="AK474" s="1409"/>
      <c r="AL474" s="1226"/>
      <c r="AM474" s="1226"/>
      <c r="AN474" s="1265"/>
    </row>
    <row r="475" spans="1:50" s="1336" customFormat="1" ht="12.75" hidden="1" customHeight="1">
      <c r="A475" s="1339"/>
      <c r="B475" s="1226"/>
      <c r="C475" s="1440"/>
      <c r="D475" s="1226"/>
      <c r="E475" s="1441"/>
      <c r="F475" s="1453"/>
      <c r="G475" s="1226"/>
      <c r="H475" s="1226"/>
      <c r="I475" s="1448"/>
      <c r="J475" s="1448"/>
      <c r="K475" s="1448"/>
      <c r="L475" s="1448"/>
      <c r="M475" s="1448"/>
      <c r="N475" s="1448"/>
      <c r="O475" s="1448"/>
      <c r="P475" s="1448"/>
      <c r="Q475" s="1448"/>
      <c r="R475" s="1448"/>
      <c r="S475" s="1448"/>
      <c r="T475" s="1448"/>
      <c r="U475" s="1448"/>
      <c r="V475" s="1448"/>
      <c r="W475" s="1448"/>
      <c r="X475" s="1448"/>
      <c r="Y475" s="1448"/>
      <c r="Z475" s="1448"/>
      <c r="AA475" s="1448"/>
      <c r="AB475" s="1448"/>
      <c r="AC475" s="1448"/>
      <c r="AD475" s="1272"/>
      <c r="AE475" s="1272"/>
      <c r="AF475" s="1272"/>
      <c r="AG475" s="1276"/>
      <c r="AH475" s="1576"/>
      <c r="AI475" s="1227"/>
      <c r="AJ475" s="1227"/>
      <c r="AK475" s="1409"/>
      <c r="AL475" s="1226"/>
      <c r="AM475" s="1226"/>
      <c r="AN475" s="1265"/>
    </row>
    <row r="476" spans="1:50" s="1336" customFormat="1" ht="12.75" hidden="1" customHeight="1">
      <c r="A476" s="1339"/>
      <c r="B476" s="1226"/>
      <c r="C476" s="1440"/>
      <c r="D476" s="1226"/>
      <c r="E476" s="1441"/>
      <c r="F476" s="1453" t="s">
        <v>1723</v>
      </c>
      <c r="G476" s="1226"/>
      <c r="H476" s="1226"/>
      <c r="I476" s="1448"/>
      <c r="J476" s="1448"/>
      <c r="K476" s="1448"/>
      <c r="L476" s="1448"/>
      <c r="M476" s="1448"/>
      <c r="N476" s="1448"/>
      <c r="O476" s="1448"/>
      <c r="P476" s="1448"/>
      <c r="Q476" s="1448"/>
      <c r="R476" s="1448"/>
      <c r="S476" s="1448"/>
      <c r="T476" s="1448"/>
      <c r="U476" s="1448"/>
      <c r="V476" s="2535" t="s">
        <v>615</v>
      </c>
      <c r="W476" s="2535"/>
      <c r="X476" s="2535"/>
      <c r="Y476" s="1448"/>
      <c r="Z476" s="1448"/>
      <c r="AA476" s="1448"/>
      <c r="AB476" s="1448"/>
      <c r="AC476" s="1448"/>
      <c r="AD476" s="1272"/>
      <c r="AE476" s="1272"/>
      <c r="AF476" s="1272"/>
      <c r="AG476" s="1276">
        <f>IF(AND($C$471="Yes",$V$474="N/A", $V$481="N/A",$V$485="N/A",$V$487="N/A"),(VLOOKUP(V476,$AO$444:$AP$446,2,FALSE)),0)</f>
        <v>0</v>
      </c>
      <c r="AH476" s="1576" t="s">
        <v>1518</v>
      </c>
      <c r="AI476" s="1227"/>
      <c r="AJ476" s="1227"/>
      <c r="AK476" s="1409"/>
      <c r="AL476" s="1226"/>
      <c r="AM476" s="1226"/>
      <c r="AN476" s="1265"/>
    </row>
    <row r="477" spans="1:50" s="1226" customFormat="1" ht="12.75" hidden="1" customHeight="1">
      <c r="C477" s="1440"/>
      <c r="E477" s="1441"/>
      <c r="F477" s="1336"/>
      <c r="G477" s="1454"/>
      <c r="H477" s="1454"/>
      <c r="I477" s="1454"/>
      <c r="J477" s="1454"/>
      <c r="K477" s="1454"/>
      <c r="L477" s="1454"/>
      <c r="M477" s="1454"/>
      <c r="N477" s="1454"/>
      <c r="O477" s="1454"/>
      <c r="P477" s="1454"/>
      <c r="Q477" s="1227"/>
      <c r="R477" s="1227"/>
      <c r="S477" s="1227"/>
      <c r="T477" s="1227"/>
      <c r="U477" s="1227"/>
      <c r="V477" s="1227"/>
      <c r="W477" s="1227"/>
      <c r="X477" s="1227"/>
      <c r="Y477" s="1227"/>
      <c r="Z477" s="1227"/>
      <c r="AA477" s="1227"/>
      <c r="AB477" s="1227"/>
      <c r="AC477" s="1227"/>
      <c r="AG477" s="1336"/>
      <c r="AH477" s="1336"/>
      <c r="AI477" s="1336"/>
      <c r="AJ477" s="1336"/>
      <c r="AK477" s="1409"/>
      <c r="AN477" s="1265"/>
      <c r="AO477" s="1226" t="s">
        <v>615</v>
      </c>
      <c r="AP477" s="1226">
        <v>0</v>
      </c>
    </row>
    <row r="478" spans="1:50" s="1226" customFormat="1" ht="12.75" hidden="1" customHeight="1">
      <c r="C478" s="1440"/>
      <c r="E478" s="1441"/>
      <c r="F478" s="1454" t="s">
        <v>1724</v>
      </c>
      <c r="I478" s="1441"/>
      <c r="J478" s="1441"/>
      <c r="K478" s="1441"/>
      <c r="L478" s="1441"/>
      <c r="M478" s="1441"/>
      <c r="N478" s="1441"/>
      <c r="O478" s="1441"/>
      <c r="P478" s="1441"/>
      <c r="Q478" s="1227"/>
      <c r="R478" s="1227"/>
      <c r="S478" s="1227"/>
      <c r="T478" s="1227"/>
      <c r="U478" s="1227"/>
      <c r="V478" s="1227"/>
      <c r="W478" s="1227"/>
      <c r="X478" s="1227"/>
      <c r="Y478" s="1227"/>
      <c r="Z478" s="1227"/>
      <c r="AA478" s="1227"/>
      <c r="AB478" s="1227"/>
      <c r="AC478" s="1227"/>
      <c r="AJ478" s="1227"/>
      <c r="AK478" s="1409"/>
      <c r="AN478" s="1265"/>
      <c r="AO478" s="1226" t="s">
        <v>1725</v>
      </c>
      <c r="AP478" s="1339">
        <v>2</v>
      </c>
    </row>
    <row r="479" spans="1:50" s="1226" customFormat="1" ht="12.75" hidden="1" customHeight="1">
      <c r="C479" s="1440"/>
      <c r="F479" s="1272" t="s">
        <v>1726</v>
      </c>
      <c r="M479" s="1441"/>
      <c r="N479" s="1441"/>
      <c r="O479" s="1441"/>
      <c r="P479" s="1441"/>
      <c r="Q479" s="1227"/>
      <c r="R479" s="1227"/>
      <c r="S479" s="1227"/>
      <c r="T479" s="1227"/>
      <c r="U479" s="1227"/>
      <c r="V479" s="1227"/>
      <c r="W479" s="1227"/>
      <c r="X479" s="1227"/>
      <c r="Y479" s="1227"/>
      <c r="Z479" s="1227"/>
      <c r="AA479" s="1227"/>
      <c r="AB479" s="1227"/>
      <c r="AC479" s="1227"/>
      <c r="AG479" s="1276"/>
      <c r="AH479" s="1576"/>
      <c r="AI479" s="1227"/>
      <c r="AJ479" s="1227"/>
      <c r="AK479" s="1409"/>
      <c r="AN479" s="1265"/>
      <c r="AO479" s="1226" t="s">
        <v>1727</v>
      </c>
      <c r="AP479" s="1226">
        <v>2</v>
      </c>
    </row>
    <row r="480" spans="1:50" s="1336" customFormat="1" ht="12.75" hidden="1" customHeight="1">
      <c r="A480" s="1226"/>
      <c r="B480" s="1226"/>
      <c r="C480" s="1417"/>
      <c r="D480" s="1213"/>
      <c r="E480" s="1213"/>
      <c r="F480" s="1272" t="s">
        <v>1728</v>
      </c>
      <c r="G480" s="1226"/>
      <c r="H480" s="1226"/>
      <c r="I480" s="1226"/>
      <c r="J480" s="1226"/>
      <c r="K480" s="1226"/>
      <c r="L480" s="1226"/>
      <c r="M480" s="1441"/>
      <c r="N480" s="1441"/>
      <c r="O480" s="1441"/>
      <c r="P480" s="1441"/>
      <c r="Q480" s="1227"/>
      <c r="R480" s="1227"/>
      <c r="S480" s="1227"/>
      <c r="T480" s="1227"/>
      <c r="U480" s="1227"/>
      <c r="V480" s="1227"/>
      <c r="W480" s="1227"/>
      <c r="X480" s="1227"/>
      <c r="Y480" s="1227"/>
      <c r="Z480" s="1227"/>
      <c r="AA480" s="1227"/>
      <c r="AB480" s="1227"/>
      <c r="AC480" s="1227"/>
      <c r="AD480" s="1226"/>
      <c r="AE480" s="1226"/>
      <c r="AF480" s="1226"/>
      <c r="AG480" s="1276"/>
      <c r="AH480" s="1576"/>
      <c r="AI480" s="1227"/>
      <c r="AJ480" s="1227"/>
      <c r="AK480" s="1409"/>
      <c r="AL480" s="1226"/>
      <c r="AM480" s="1226"/>
      <c r="AN480" s="1452"/>
      <c r="AO480" s="1226" t="s">
        <v>1729</v>
      </c>
      <c r="AP480" s="1226">
        <v>2</v>
      </c>
    </row>
    <row r="481" spans="1:81" s="1226" customFormat="1" ht="12.75" hidden="1" customHeight="1">
      <c r="C481" s="1455"/>
      <c r="F481" s="1453" t="s">
        <v>1730</v>
      </c>
      <c r="M481" s="1441"/>
      <c r="N481" s="1441"/>
      <c r="O481" s="1441"/>
      <c r="P481" s="1441"/>
      <c r="Q481" s="1227"/>
      <c r="R481" s="1227"/>
      <c r="S481" s="1227"/>
      <c r="T481" s="1227"/>
      <c r="U481" s="1227"/>
      <c r="V481" s="2535" t="s">
        <v>615</v>
      </c>
      <c r="W481" s="2535"/>
      <c r="X481" s="2535"/>
      <c r="Y481" s="1227"/>
      <c r="Z481" s="1227"/>
      <c r="AA481" s="1227"/>
      <c r="AB481" s="1227"/>
      <c r="AC481" s="1227"/>
      <c r="AG481" s="1276">
        <f>IF(AND($C$471="Yes",$V$474="N/A",$V$476="N/A", $V$485="N/A",$V$487="N/A"),(VLOOKUP($V$481,$AO$448:$AP$450,2,FALSE)),0)</f>
        <v>0</v>
      </c>
      <c r="AH481" s="1576" t="s">
        <v>1518</v>
      </c>
      <c r="AI481" s="1227"/>
      <c r="AJ481" s="1227"/>
      <c r="AK481" s="1409"/>
      <c r="AN481" s="1212"/>
    </row>
    <row r="482" spans="1:81" s="1226" customFormat="1" ht="12.75" hidden="1" customHeight="1">
      <c r="C482" s="1440"/>
      <c r="M482" s="1441"/>
      <c r="N482" s="1441"/>
      <c r="O482" s="1441"/>
      <c r="P482" s="1441"/>
      <c r="Q482" s="1227"/>
      <c r="R482" s="1227"/>
      <c r="S482" s="1227"/>
      <c r="T482" s="1227"/>
      <c r="U482" s="1227"/>
      <c r="V482" s="1227"/>
      <c r="W482" s="1227"/>
      <c r="X482" s="1227"/>
      <c r="Y482" s="1227"/>
      <c r="Z482" s="1227"/>
      <c r="AA482" s="1227"/>
      <c r="AB482" s="1227"/>
      <c r="AC482" s="1227"/>
      <c r="AJ482" s="1227"/>
      <c r="AK482" s="1409"/>
      <c r="AN482" s="1456"/>
    </row>
    <row r="483" spans="1:81" s="1336" customFormat="1" ht="12.75" hidden="1" customHeight="1">
      <c r="A483" s="1226"/>
      <c r="B483" s="1226"/>
      <c r="C483" s="1457" t="s">
        <v>1731</v>
      </c>
      <c r="D483" s="1391"/>
      <c r="E483" s="1391"/>
      <c r="F483" s="1458" t="s">
        <v>1732</v>
      </c>
      <c r="G483" s="1391"/>
      <c r="H483" s="1391"/>
      <c r="I483" s="1391"/>
      <c r="J483" s="1391"/>
      <c r="K483" s="1391"/>
      <c r="L483" s="1391"/>
      <c r="M483" s="1391"/>
      <c r="N483" s="1391"/>
      <c r="O483" s="1391"/>
      <c r="P483" s="1391"/>
      <c r="Q483" s="1391"/>
      <c r="R483" s="1391"/>
      <c r="S483" s="1391"/>
      <c r="T483" s="1391"/>
      <c r="U483" s="1391"/>
      <c r="V483" s="1391"/>
      <c r="W483" s="1391"/>
      <c r="X483" s="1391"/>
      <c r="Y483" s="1391"/>
      <c r="Z483" s="1391"/>
      <c r="AA483" s="1391"/>
      <c r="AB483" s="1391"/>
      <c r="AC483" s="1391"/>
      <c r="AD483" s="1391"/>
      <c r="AE483" s="1391"/>
      <c r="AF483" s="1391"/>
      <c r="AG483" s="1391"/>
      <c r="AH483" s="1391"/>
      <c r="AI483" s="1391"/>
      <c r="AJ483" s="1391"/>
      <c r="AK483" s="1420"/>
      <c r="AL483" s="1226"/>
      <c r="AM483" s="1226"/>
      <c r="AN483" s="1258"/>
      <c r="AO483" s="1226" t="s">
        <v>615</v>
      </c>
      <c r="AP483" s="1226">
        <v>0</v>
      </c>
      <c r="AQ483" s="1575"/>
    </row>
    <row r="484" spans="1:81" s="1336" customFormat="1" ht="12.75" hidden="1" customHeight="1">
      <c r="A484" s="1226"/>
      <c r="B484" s="1226"/>
      <c r="C484" s="1395"/>
      <c r="D484" s="2523"/>
      <c r="E484" s="2523"/>
      <c r="F484" s="1448" t="s">
        <v>1733</v>
      </c>
      <c r="I484" s="1226"/>
      <c r="J484" s="1226"/>
      <c r="K484" s="1226"/>
      <c r="L484" s="1226"/>
      <c r="M484" s="1226"/>
      <c r="N484" s="1226"/>
      <c r="O484" s="1226"/>
      <c r="P484" s="1226"/>
      <c r="Q484" s="1226"/>
      <c r="R484" s="1226"/>
      <c r="S484" s="1226"/>
      <c r="T484" s="1226"/>
      <c r="U484" s="1226"/>
      <c r="Y484" s="1226"/>
      <c r="Z484" s="1226"/>
      <c r="AA484" s="1226"/>
      <c r="AB484" s="1226"/>
      <c r="AC484" s="1226"/>
      <c r="AD484" s="1226"/>
      <c r="AE484" s="1226"/>
      <c r="AF484" s="1226"/>
      <c r="AK484" s="1409"/>
      <c r="AL484" s="1226"/>
      <c r="AM484" s="1226"/>
      <c r="AN484" s="1258"/>
      <c r="AO484" s="1226" t="s">
        <v>1734</v>
      </c>
      <c r="AP484" s="1339">
        <v>5</v>
      </c>
      <c r="AQ484" s="1575"/>
    </row>
    <row r="485" spans="1:81" s="1213" customFormat="1" ht="12.75" hidden="1" customHeight="1">
      <c r="A485" s="1561"/>
      <c r="B485" s="1226"/>
      <c r="C485" s="1440"/>
      <c r="D485" s="1226"/>
      <c r="E485" s="1226"/>
      <c r="F485" s="1459" t="s">
        <v>1722</v>
      </c>
      <c r="G485" s="1226"/>
      <c r="H485" s="1226"/>
      <c r="I485" s="1226"/>
      <c r="J485" s="1226"/>
      <c r="K485" s="1226"/>
      <c r="L485" s="1226"/>
      <c r="M485" s="1226"/>
      <c r="N485" s="1226"/>
      <c r="O485" s="1226"/>
      <c r="P485" s="1226"/>
      <c r="Q485" s="1226"/>
      <c r="R485" s="1226"/>
      <c r="S485" s="1226"/>
      <c r="T485" s="1226"/>
      <c r="U485" s="1226"/>
      <c r="V485" s="2535" t="s">
        <v>615</v>
      </c>
      <c r="W485" s="2535"/>
      <c r="X485" s="2535"/>
      <c r="Y485" s="1226"/>
      <c r="Z485" s="1226"/>
      <c r="AA485" s="1226"/>
      <c r="AB485" s="1226"/>
      <c r="AC485" s="1226"/>
      <c r="AD485" s="1226"/>
      <c r="AE485" s="1226"/>
      <c r="AF485" s="1226"/>
      <c r="AG485" s="1276">
        <f>IF(AND($C$471="Yes",$V$474="N/A",V476="N/A",$V$481="N/A",$V$487="N/A"),(VLOOKUP($V$485,$AW$444:$AX$447,2,FALSE)),0)</f>
        <v>0</v>
      </c>
      <c r="AH485" s="1576" t="s">
        <v>1518</v>
      </c>
      <c r="AI485" s="1227"/>
      <c r="AJ485" s="1226"/>
      <c r="AK485" s="1409"/>
      <c r="AL485" s="1226"/>
      <c r="AM485" s="1226"/>
      <c r="AN485" s="1212"/>
      <c r="AO485" s="1226" t="s">
        <v>1735</v>
      </c>
      <c r="AP485" s="1226">
        <v>5</v>
      </c>
      <c r="AS485" s="1226"/>
      <c r="AT485" s="1226"/>
      <c r="AU485" s="1226"/>
      <c r="AV485" s="1226"/>
      <c r="AW485" s="1226"/>
      <c r="AX485" s="1226"/>
      <c r="AY485" s="1226"/>
      <c r="AZ485" s="1226"/>
      <c r="BA485" s="1226"/>
      <c r="BB485" s="1226"/>
      <c r="BO485" s="1226"/>
      <c r="BP485" s="1226"/>
      <c r="BQ485" s="1226"/>
      <c r="BR485" s="1226"/>
      <c r="BS485" s="1226"/>
      <c r="BT485" s="1226"/>
      <c r="BU485" s="1226"/>
      <c r="BV485" s="1226"/>
      <c r="BW485" s="1226"/>
      <c r="BX485" s="1226"/>
      <c r="BY485" s="1226"/>
      <c r="BZ485" s="1226"/>
      <c r="CA485" s="1226"/>
      <c r="CB485" s="1226"/>
      <c r="CC485" s="1226"/>
    </row>
    <row r="486" spans="1:81" s="1213" customFormat="1" ht="12.75" hidden="1" customHeight="1">
      <c r="A486" s="1561"/>
      <c r="B486" s="1226"/>
      <c r="C486" s="1440"/>
      <c r="D486" s="1226"/>
      <c r="E486" s="1226"/>
      <c r="I486" s="1226"/>
      <c r="J486" s="1226"/>
      <c r="K486" s="1226"/>
      <c r="L486" s="1226"/>
      <c r="M486" s="1226"/>
      <c r="N486" s="1226"/>
      <c r="O486" s="1226"/>
      <c r="P486" s="1226"/>
      <c r="Q486" s="1226"/>
      <c r="R486" s="1226"/>
      <c r="S486" s="1226"/>
      <c r="T486" s="1226"/>
      <c r="U486" s="1226"/>
      <c r="V486" s="1226"/>
      <c r="W486" s="1226"/>
      <c r="X486" s="1226"/>
      <c r="Y486" s="1226"/>
      <c r="Z486" s="1226"/>
      <c r="AA486" s="1226"/>
      <c r="AB486" s="1226"/>
      <c r="AC486" s="1226"/>
      <c r="AD486" s="1226"/>
      <c r="AE486" s="1226"/>
      <c r="AF486" s="1226"/>
      <c r="AK486" s="1409"/>
      <c r="AL486" s="1226"/>
      <c r="AM486" s="1226"/>
      <c r="AN486" s="1212"/>
      <c r="AO486" s="1226" t="s">
        <v>1736</v>
      </c>
      <c r="AP486" s="1226">
        <v>5</v>
      </c>
      <c r="AS486" s="1226"/>
      <c r="AT486" s="1226"/>
      <c r="AU486" s="1226"/>
      <c r="AV486" s="1226"/>
      <c r="AW486" s="1226"/>
      <c r="AX486" s="1226"/>
      <c r="AY486" s="1226"/>
      <c r="AZ486" s="1226"/>
      <c r="BA486" s="1226"/>
      <c r="BB486" s="1226"/>
      <c r="BC486" s="1226"/>
      <c r="BD486" s="1226"/>
      <c r="BE486" s="1226"/>
      <c r="BF486" s="1226"/>
      <c r="BG486" s="1226"/>
      <c r="BH486" s="1226"/>
      <c r="BI486" s="1226"/>
      <c r="BJ486" s="1226"/>
      <c r="BK486" s="1226"/>
      <c r="BL486" s="1226"/>
      <c r="BM486" s="1226"/>
      <c r="BN486" s="1226"/>
      <c r="BO486" s="1226"/>
      <c r="BP486" s="1226"/>
      <c r="BQ486" s="1226"/>
      <c r="BR486" s="1226"/>
      <c r="BS486" s="1226"/>
      <c r="BT486" s="1226"/>
      <c r="BU486" s="1226"/>
      <c r="BV486" s="1226"/>
      <c r="BW486" s="1226"/>
      <c r="BX486" s="1226"/>
      <c r="BY486" s="1226"/>
      <c r="BZ486" s="1226"/>
      <c r="CA486" s="1226"/>
      <c r="CB486" s="1226"/>
      <c r="CC486" s="1226"/>
    </row>
    <row r="487" spans="1:81" s="1575" customFormat="1" ht="12.75" hidden="1" customHeight="1">
      <c r="A487" s="1561"/>
      <c r="B487" s="1226"/>
      <c r="C487" s="1442"/>
      <c r="D487" s="1404"/>
      <c r="E487" s="1404"/>
      <c r="F487" s="1453" t="s">
        <v>1723</v>
      </c>
      <c r="G487" s="1309"/>
      <c r="H487" s="1309"/>
      <c r="I487" s="1404"/>
      <c r="J487" s="1404"/>
      <c r="K487" s="1404"/>
      <c r="L487" s="1404"/>
      <c r="M487" s="1404"/>
      <c r="N487" s="1404"/>
      <c r="O487" s="1404"/>
      <c r="P487" s="1404"/>
      <c r="Q487" s="1404"/>
      <c r="R487" s="1404"/>
      <c r="S487" s="1404"/>
      <c r="T487" s="1404"/>
      <c r="U487" s="1404"/>
      <c r="V487" s="2535" t="s">
        <v>615</v>
      </c>
      <c r="W487" s="2535"/>
      <c r="X487" s="2535"/>
      <c r="Y487" s="1404"/>
      <c r="Z487" s="1404"/>
      <c r="AA487" s="1404"/>
      <c r="AB487" s="1404"/>
      <c r="AC487" s="1404"/>
      <c r="AD487" s="1404"/>
      <c r="AE487" s="1404"/>
      <c r="AF487" s="1404"/>
      <c r="AG487" s="1460">
        <f>IF(AND($C$471="Yes",$V$474="N/A",$V$476="N/A",$V$481="N/A",$V$485="N/A"),(VLOOKUP($V$487,$BA$444:$BB$446,2,FALSE)),0)</f>
        <v>0</v>
      </c>
      <c r="AH487" s="1445" t="s">
        <v>1518</v>
      </c>
      <c r="AI487" s="1404"/>
      <c r="AJ487" s="1404"/>
      <c r="AK487" s="1415"/>
      <c r="AL487" s="1226"/>
      <c r="AM487" s="1226"/>
      <c r="AN487" s="1461"/>
      <c r="AP487" s="1336"/>
      <c r="AQ487" s="1336"/>
      <c r="AR487" s="1336"/>
      <c r="AS487" s="1336"/>
      <c r="AT487" s="1336"/>
      <c r="AU487" s="1336"/>
      <c r="AV487" s="1336"/>
      <c r="AW487" s="1336"/>
      <c r="AX487" s="1336"/>
      <c r="AY487" s="1336"/>
      <c r="AZ487" s="1336"/>
      <c r="BA487" s="1336"/>
      <c r="BB487" s="1336"/>
      <c r="BC487" s="1336"/>
      <c r="BE487" s="1336"/>
      <c r="BF487" s="1336"/>
      <c r="BG487" s="1336"/>
      <c r="BH487" s="1336"/>
      <c r="BI487" s="1336"/>
      <c r="BJ487" s="1336"/>
      <c r="BK487" s="1336"/>
      <c r="BL487" s="1336"/>
      <c r="BM487" s="1336"/>
      <c r="BN487" s="1336"/>
      <c r="BO487" s="1336"/>
      <c r="BP487" s="1336"/>
      <c r="BQ487" s="1336"/>
      <c r="BR487" s="1336"/>
    </row>
    <row r="488" spans="1:81" s="1575" customFormat="1" ht="12.75" hidden="1" customHeight="1">
      <c r="A488" s="1561"/>
      <c r="B488" s="1226"/>
      <c r="C488" s="1227"/>
      <c r="D488" s="1226"/>
      <c r="E488" s="1441"/>
      <c r="F488" s="1226"/>
      <c r="G488" s="1226"/>
      <c r="H488" s="1226"/>
      <c r="I488" s="1226"/>
      <c r="J488" s="1226"/>
      <c r="K488" s="1226"/>
      <c r="L488" s="1226"/>
      <c r="M488" s="1226"/>
      <c r="N488" s="1226"/>
      <c r="O488" s="1226"/>
      <c r="P488" s="1226"/>
      <c r="Q488" s="1226"/>
      <c r="R488" s="1226"/>
      <c r="S488" s="1226"/>
      <c r="T488" s="1226"/>
      <c r="U488" s="1226"/>
      <c r="V488" s="1226"/>
      <c r="W488" s="1226"/>
      <c r="X488" s="1226"/>
      <c r="Y488" s="1226"/>
      <c r="Z488" s="1226"/>
      <c r="AA488" s="1226"/>
      <c r="AB488" s="1226"/>
      <c r="AC488" s="1226"/>
      <c r="AD488" s="1226"/>
      <c r="AE488" s="1226"/>
      <c r="AF488" s="1226"/>
      <c r="AG488" s="1226"/>
      <c r="AH488" s="1226"/>
      <c r="AI488" s="1226"/>
      <c r="AJ488" s="1226"/>
      <c r="AK488" s="1226"/>
      <c r="AL488" s="1226"/>
      <c r="AM488" s="1226"/>
      <c r="AN488" s="1461"/>
      <c r="AO488" s="1462"/>
      <c r="AP488" s="1226"/>
      <c r="AQ488" s="1226"/>
      <c r="AR488" s="1226"/>
      <c r="AS488" s="1226"/>
      <c r="AT488" s="1226"/>
      <c r="AU488" s="1463"/>
      <c r="AV488" s="1463"/>
      <c r="AW488" s="1463"/>
      <c r="AX488" s="1463"/>
      <c r="AY488" s="1463"/>
      <c r="AZ488" s="1463"/>
      <c r="BA488" s="1463"/>
      <c r="BB488" s="1336"/>
      <c r="BC488" s="1336"/>
      <c r="BE488" s="1226"/>
      <c r="BF488" s="1226"/>
      <c r="BG488" s="1226"/>
      <c r="BH488" s="1226"/>
      <c r="BI488" s="1226"/>
      <c r="BJ488" s="1463"/>
      <c r="BK488" s="1463"/>
      <c r="BL488" s="1463"/>
      <c r="BM488" s="1463"/>
      <c r="BN488" s="1463"/>
      <c r="BO488" s="1463"/>
      <c r="BP488" s="1463"/>
      <c r="BQ488" s="1336"/>
      <c r="BR488" s="1226"/>
    </row>
    <row r="489" spans="1:81" s="1575" customFormat="1" ht="12.75" hidden="1" customHeight="1">
      <c r="A489" s="1561"/>
      <c r="B489" s="1226"/>
      <c r="C489" s="1389" t="s">
        <v>1737</v>
      </c>
      <c r="D489" s="1226"/>
      <c r="E489" s="1441"/>
      <c r="F489" s="1227"/>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226"/>
      <c r="AE489" s="1226"/>
      <c r="AF489" s="1226"/>
      <c r="AG489" s="1227"/>
      <c r="AH489" s="1227"/>
      <c r="AI489" s="1227"/>
      <c r="AJ489" s="1227"/>
      <c r="AK489" s="1226"/>
      <c r="AL489" s="1226"/>
      <c r="AM489" s="1226"/>
      <c r="AN489" s="1461"/>
      <c r="AO489" s="1462"/>
      <c r="AP489" s="1226"/>
      <c r="AQ489" s="1226"/>
      <c r="AR489" s="1226"/>
      <c r="AS489" s="1226"/>
      <c r="AT489" s="1226"/>
      <c r="AU489" s="1463"/>
      <c r="AV489" s="1463"/>
      <c r="AW489" s="1463"/>
      <c r="AX489" s="1463"/>
      <c r="AY489" s="1463"/>
      <c r="AZ489" s="1463"/>
      <c r="BA489" s="1463"/>
      <c r="BB489" s="1336"/>
      <c r="BC489" s="1336"/>
      <c r="BE489" s="1226"/>
      <c r="BF489" s="1226"/>
      <c r="BG489" s="1226"/>
      <c r="BH489" s="1226"/>
      <c r="BI489" s="1226"/>
      <c r="BJ489" s="1463"/>
      <c r="BK489" s="1463"/>
      <c r="BL489" s="1463"/>
      <c r="BM489" s="1463"/>
      <c r="BN489" s="1463"/>
      <c r="BO489" s="1463"/>
      <c r="BP489" s="1463"/>
      <c r="BQ489" s="1336"/>
      <c r="BR489" s="1226"/>
    </row>
    <row r="490" spans="1:81" s="1213" customFormat="1" ht="12.75" hidden="1" customHeight="1">
      <c r="A490" s="1561"/>
      <c r="B490" s="1226"/>
      <c r="C490" s="2520" t="s">
        <v>615</v>
      </c>
      <c r="D490" s="2521"/>
      <c r="E490" s="1439" t="s">
        <v>530</v>
      </c>
      <c r="F490" s="2529" t="s">
        <v>1716</v>
      </c>
      <c r="G490" s="2529"/>
      <c r="H490" s="2529"/>
      <c r="I490" s="2529"/>
      <c r="J490" s="2529"/>
      <c r="K490" s="2529"/>
      <c r="L490" s="2529"/>
      <c r="M490" s="2529"/>
      <c r="N490" s="2529"/>
      <c r="O490" s="2529"/>
      <c r="P490" s="2529"/>
      <c r="Q490" s="2529"/>
      <c r="R490" s="2529"/>
      <c r="S490" s="2529"/>
      <c r="T490" s="2529"/>
      <c r="U490" s="2529"/>
      <c r="V490" s="2529"/>
      <c r="W490" s="2529"/>
      <c r="X490" s="2529"/>
      <c r="Y490" s="2529"/>
      <c r="Z490" s="2529"/>
      <c r="AA490" s="2529"/>
      <c r="AB490" s="2529"/>
      <c r="AC490" s="2529"/>
      <c r="AD490" s="2529"/>
      <c r="AE490" s="2529"/>
      <c r="AF490" s="1391"/>
      <c r="AG490" s="1393"/>
      <c r="AH490" s="1393"/>
      <c r="AI490" s="1393"/>
      <c r="AJ490" s="1393"/>
      <c r="AK490" s="1420"/>
      <c r="AL490" s="1226"/>
      <c r="AM490" s="1226"/>
      <c r="AN490" s="1209"/>
      <c r="AO490" s="1210"/>
      <c r="AP490" s="1226"/>
      <c r="AQ490" s="1226"/>
      <c r="AR490" s="1226"/>
      <c r="AS490" s="1226"/>
      <c r="AT490" s="1226"/>
      <c r="AU490" s="1386"/>
      <c r="AV490" s="1386"/>
      <c r="AW490" s="1386"/>
      <c r="AX490" s="1386"/>
      <c r="AY490" s="1386"/>
      <c r="AZ490" s="1386"/>
      <c r="BA490" s="1386"/>
      <c r="BB490" s="1226"/>
      <c r="BC490" s="1226"/>
      <c r="BE490" s="1226"/>
      <c r="BF490" s="1226"/>
      <c r="BG490" s="1226"/>
      <c r="BH490" s="1226"/>
      <c r="BI490" s="1226"/>
      <c r="BJ490" s="1386"/>
      <c r="BK490" s="1386"/>
      <c r="BL490" s="1386"/>
      <c r="BM490" s="1386"/>
      <c r="BN490" s="1386"/>
      <c r="BO490" s="1386"/>
      <c r="BP490" s="1386"/>
      <c r="BQ490" s="1226"/>
      <c r="BR490" s="1226"/>
    </row>
    <row r="491" spans="1:81" s="1213" customFormat="1" ht="12.75" hidden="1" customHeight="1">
      <c r="A491" s="1561"/>
      <c r="B491" s="1226"/>
      <c r="C491" s="1440"/>
      <c r="D491" s="1226"/>
      <c r="E491" s="1441"/>
      <c r="F491" s="2530"/>
      <c r="G491" s="2530"/>
      <c r="H491" s="2530"/>
      <c r="I491" s="2530"/>
      <c r="J491" s="2530"/>
      <c r="K491" s="2530"/>
      <c r="L491" s="2530"/>
      <c r="M491" s="2530"/>
      <c r="N491" s="2530"/>
      <c r="O491" s="2530"/>
      <c r="P491" s="2530"/>
      <c r="Q491" s="2530"/>
      <c r="R491" s="2530"/>
      <c r="S491" s="2530"/>
      <c r="T491" s="2530"/>
      <c r="U491" s="2530"/>
      <c r="V491" s="2530"/>
      <c r="W491" s="2530"/>
      <c r="X491" s="2530"/>
      <c r="Y491" s="2530"/>
      <c r="Z491" s="2530"/>
      <c r="AA491" s="2530"/>
      <c r="AB491" s="2530"/>
      <c r="AC491" s="2530"/>
      <c r="AD491" s="2530"/>
      <c r="AE491" s="2530"/>
      <c r="AF491" s="1226"/>
      <c r="AG491" s="1227"/>
      <c r="AH491" s="1227"/>
      <c r="AI491" s="1227"/>
      <c r="AJ491" s="1227"/>
      <c r="AK491" s="1409"/>
      <c r="AL491" s="1226"/>
      <c r="AM491" s="1226"/>
      <c r="AN491" s="1209"/>
      <c r="AO491" s="1210"/>
      <c r="AP491" s="1464"/>
      <c r="AQ491" s="1464"/>
      <c r="AR491" s="1464"/>
      <c r="AS491" s="1561"/>
      <c r="AT491" s="1226"/>
      <c r="AU491" s="1465"/>
      <c r="AV491" s="1465"/>
      <c r="AW491" s="1465"/>
      <c r="AX491" s="1465"/>
      <c r="AY491" s="1465"/>
      <c r="AZ491" s="1465"/>
      <c r="BA491" s="1465"/>
      <c r="BB491" s="1211"/>
      <c r="BC491" s="1211"/>
      <c r="BE491" s="1464"/>
      <c r="BF491" s="1464"/>
      <c r="BG491" s="1464"/>
      <c r="BH491" s="1561"/>
      <c r="BI491" s="1226"/>
      <c r="BJ491" s="1466"/>
      <c r="BK491" s="1465"/>
      <c r="BL491" s="1465"/>
      <c r="BM491" s="1465"/>
      <c r="BN491" s="1465"/>
      <c r="BO491" s="1465"/>
      <c r="BP491" s="1465"/>
      <c r="BQ491" s="1211"/>
      <c r="BR491" s="1226"/>
    </row>
    <row r="492" spans="1:81" s="1213" customFormat="1" ht="12.75" hidden="1" customHeight="1">
      <c r="A492" s="1561"/>
      <c r="B492" s="1226"/>
      <c r="C492" s="1442"/>
      <c r="D492" s="1404"/>
      <c r="E492" s="1443"/>
      <c r="F492" s="2531" t="s">
        <v>615</v>
      </c>
      <c r="G492" s="2531"/>
      <c r="H492" s="2531"/>
      <c r="I492" s="2531"/>
      <c r="J492" s="2531"/>
      <c r="K492" s="2531"/>
      <c r="L492" s="2531"/>
      <c r="M492" s="2531"/>
      <c r="N492" s="2531"/>
      <c r="O492" s="2531"/>
      <c r="P492" s="2531"/>
      <c r="Q492" s="2531"/>
      <c r="R492" s="2531"/>
      <c r="S492" s="2531"/>
      <c r="T492" s="2531"/>
      <c r="U492" s="2531"/>
      <c r="V492" s="2531"/>
      <c r="W492" s="2531"/>
      <c r="X492" s="2531"/>
      <c r="Y492" s="2531"/>
      <c r="Z492" s="2531"/>
      <c r="AA492" s="1309"/>
      <c r="AB492" s="1361"/>
      <c r="AC492" s="1361"/>
      <c r="AD492" s="1404"/>
      <c r="AE492" s="1404"/>
      <c r="AF492" s="1404"/>
      <c r="AG492" s="1444">
        <f>IF($C$490="Yes",(VLOOKUP($F$492,$AO$460:$AP$468,2,FALSE)),0)</f>
        <v>0</v>
      </c>
      <c r="AH492" s="1445" t="s">
        <v>1518</v>
      </c>
      <c r="AI492" s="1444"/>
      <c r="AJ492" s="1361"/>
      <c r="AK492" s="1415"/>
      <c r="AL492" s="1226"/>
      <c r="AM492" s="1226"/>
      <c r="AN492" s="1209"/>
      <c r="AO492" s="1210"/>
      <c r="AP492" s="1464"/>
      <c r="AQ492" s="1464"/>
      <c r="AR492" s="1464"/>
      <c r="AS492" s="1561"/>
      <c r="AT492" s="1226"/>
      <c r="AU492" s="1465"/>
      <c r="AV492" s="1465"/>
      <c r="AW492" s="1465"/>
      <c r="AX492" s="1465"/>
      <c r="AY492" s="1465"/>
      <c r="AZ492" s="1465"/>
      <c r="BA492" s="1465"/>
      <c r="BB492" s="1211"/>
      <c r="BC492" s="1211"/>
      <c r="BE492" s="1464"/>
      <c r="BF492" s="1464"/>
      <c r="BG492" s="1464"/>
      <c r="BH492" s="1561"/>
      <c r="BI492" s="1226"/>
      <c r="BJ492" s="1466"/>
      <c r="BK492" s="1465"/>
      <c r="BL492" s="1465"/>
      <c r="BM492" s="1465"/>
      <c r="BN492" s="1465"/>
      <c r="BO492" s="1465"/>
      <c r="BP492" s="1465"/>
      <c r="BQ492" s="1211"/>
      <c r="BR492" s="1226"/>
    </row>
    <row r="493" spans="1:81" s="1213" customFormat="1" ht="12.75" hidden="1" customHeight="1">
      <c r="A493" s="1561"/>
      <c r="B493" s="1226"/>
      <c r="C493" s="1389"/>
      <c r="D493" s="1226"/>
      <c r="E493" s="1441"/>
      <c r="F493" s="1227"/>
      <c r="G493" s="1227"/>
      <c r="H493" s="1227"/>
      <c r="I493" s="1227"/>
      <c r="J493" s="1227"/>
      <c r="K493" s="1227"/>
      <c r="L493" s="1227"/>
      <c r="M493" s="1227"/>
      <c r="N493" s="1227"/>
      <c r="O493" s="1227"/>
      <c r="P493" s="1227"/>
      <c r="Q493" s="1227"/>
      <c r="R493" s="1227"/>
      <c r="S493" s="1227"/>
      <c r="T493" s="1227"/>
      <c r="U493" s="1227"/>
      <c r="V493" s="1227"/>
      <c r="W493" s="1227"/>
      <c r="X493" s="1227"/>
      <c r="Y493" s="1227"/>
      <c r="Z493" s="1227"/>
      <c r="AA493" s="1227"/>
      <c r="AB493" s="1227"/>
      <c r="AC493" s="1227"/>
      <c r="AD493" s="1226"/>
      <c r="AE493" s="1226"/>
      <c r="AF493" s="1226"/>
      <c r="AG493" s="1227"/>
      <c r="AH493" s="1227"/>
      <c r="AI493" s="1227"/>
      <c r="AJ493" s="1227"/>
      <c r="AK493" s="1226"/>
      <c r="AL493" s="1226"/>
      <c r="AM493" s="1226"/>
      <c r="AN493" s="1209"/>
      <c r="AO493" s="1210"/>
      <c r="AP493" s="1464"/>
      <c r="AQ493" s="1464"/>
      <c r="AR493" s="1464"/>
      <c r="AS493" s="1561"/>
      <c r="AT493" s="1226"/>
      <c r="AU493" s="1465"/>
      <c r="AV493" s="1465"/>
      <c r="AW493" s="1465"/>
      <c r="AX493" s="1465"/>
      <c r="AY493" s="1465"/>
      <c r="AZ493" s="1465"/>
      <c r="BA493" s="1465"/>
      <c r="BB493" s="1211"/>
      <c r="BC493" s="1211"/>
      <c r="BE493" s="1464"/>
      <c r="BF493" s="1464"/>
      <c r="BG493" s="1464"/>
      <c r="BH493" s="1561"/>
      <c r="BI493" s="1226"/>
      <c r="BJ493" s="1466"/>
      <c r="BK493" s="1465"/>
      <c r="BL493" s="1465"/>
      <c r="BM493" s="1465"/>
      <c r="BN493" s="1465"/>
      <c r="BO493" s="1465"/>
      <c r="BP493" s="1465"/>
      <c r="BQ493" s="1211"/>
      <c r="BR493" s="1226"/>
    </row>
    <row r="494" spans="1:81" s="1213" customFormat="1" ht="12.75" hidden="1" customHeight="1">
      <c r="A494" s="1226"/>
      <c r="B494" s="1226"/>
      <c r="C494" s="2520" t="s">
        <v>615</v>
      </c>
      <c r="D494" s="2521"/>
      <c r="E494" s="1439" t="s">
        <v>785</v>
      </c>
      <c r="F494" s="2532" t="s">
        <v>1738</v>
      </c>
      <c r="G494" s="2532"/>
      <c r="H494" s="2532"/>
      <c r="I494" s="2532"/>
      <c r="J494" s="2532"/>
      <c r="K494" s="2532"/>
      <c r="L494" s="2532"/>
      <c r="M494" s="2532"/>
      <c r="N494" s="2532"/>
      <c r="O494" s="2532"/>
      <c r="P494" s="2532"/>
      <c r="Q494" s="2532"/>
      <c r="R494" s="2532"/>
      <c r="S494" s="2532"/>
      <c r="T494" s="2532"/>
      <c r="U494" s="2532"/>
      <c r="V494" s="2532"/>
      <c r="W494" s="2532"/>
      <c r="X494" s="2532"/>
      <c r="Y494" s="2532"/>
      <c r="Z494" s="2532"/>
      <c r="AA494" s="2532"/>
      <c r="AB494" s="2532"/>
      <c r="AC494" s="2532"/>
      <c r="AD494" s="2532"/>
      <c r="AE494" s="2532"/>
      <c r="AF494" s="1391"/>
      <c r="AG494" s="1352"/>
      <c r="AH494" s="1352"/>
      <c r="AI494" s="1352"/>
      <c r="AJ494" s="1352"/>
      <c r="AK494" s="1420"/>
      <c r="AL494" s="1226"/>
      <c r="AM494" s="1226"/>
      <c r="AN494" s="1209"/>
      <c r="AO494" s="1210"/>
      <c r="AP494" s="1464"/>
      <c r="AQ494" s="1464"/>
      <c r="AR494" s="1464"/>
      <c r="AS494" s="1561"/>
      <c r="AT494" s="1226"/>
      <c r="AU494" s="1465"/>
      <c r="AV494" s="1465"/>
      <c r="AW494" s="1465"/>
      <c r="AX494" s="1465"/>
      <c r="AY494" s="1465"/>
      <c r="AZ494" s="1465"/>
      <c r="BA494" s="1465"/>
      <c r="BB494" s="1211"/>
      <c r="BC494" s="1211"/>
      <c r="BE494" s="1464"/>
      <c r="BF494" s="1464"/>
      <c r="BG494" s="1464"/>
      <c r="BH494" s="1561"/>
      <c r="BI494" s="1226"/>
      <c r="BJ494" s="1466"/>
      <c r="BK494" s="1465"/>
      <c r="BL494" s="1465"/>
      <c r="BM494" s="1465"/>
      <c r="BN494" s="1465"/>
      <c r="BO494" s="1465"/>
      <c r="BP494" s="1465"/>
      <c r="BQ494" s="1211"/>
      <c r="BR494" s="1226"/>
    </row>
    <row r="495" spans="1:81" s="1213" customFormat="1" ht="12.75" hidden="1" customHeight="1">
      <c r="A495" s="1226"/>
      <c r="B495" s="1226"/>
      <c r="C495" s="1440"/>
      <c r="D495" s="1226"/>
      <c r="E495" s="1441"/>
      <c r="F495" s="2533"/>
      <c r="G495" s="2533"/>
      <c r="H495" s="2533"/>
      <c r="I495" s="2533"/>
      <c r="J495" s="2533"/>
      <c r="K495" s="2533"/>
      <c r="L495" s="2533"/>
      <c r="M495" s="2533"/>
      <c r="N495" s="2533"/>
      <c r="O495" s="2533"/>
      <c r="P495" s="2533"/>
      <c r="Q495" s="2533"/>
      <c r="R495" s="2533"/>
      <c r="S495" s="2533"/>
      <c r="T495" s="2533"/>
      <c r="U495" s="2533"/>
      <c r="V495" s="2533"/>
      <c r="W495" s="2533"/>
      <c r="X495" s="2533"/>
      <c r="Y495" s="2533"/>
      <c r="Z495" s="2533"/>
      <c r="AA495" s="2533"/>
      <c r="AB495" s="2533"/>
      <c r="AC495" s="2533"/>
      <c r="AD495" s="2533"/>
      <c r="AE495" s="2533"/>
      <c r="AF495" s="1226"/>
      <c r="AG495" s="1227"/>
      <c r="AH495" s="1227"/>
      <c r="AI495" s="1227"/>
      <c r="AJ495" s="1227"/>
      <c r="AK495" s="1409"/>
      <c r="AL495" s="1226"/>
      <c r="AM495" s="1226"/>
      <c r="AN495" s="1209"/>
      <c r="AO495" s="1210"/>
      <c r="AP495" s="1464"/>
      <c r="AQ495" s="1464"/>
      <c r="AR495" s="1464"/>
      <c r="AS495" s="1561"/>
      <c r="AT495" s="1226"/>
      <c r="AU495" s="1465"/>
      <c r="AV495" s="1465"/>
      <c r="AW495" s="1465"/>
      <c r="AX495" s="1465"/>
      <c r="AY495" s="1465"/>
      <c r="AZ495" s="1465"/>
      <c r="BA495" s="1465"/>
      <c r="BB495" s="1211"/>
      <c r="BC495" s="1211"/>
      <c r="BE495" s="1464"/>
      <c r="BF495" s="1464"/>
      <c r="BG495" s="1464"/>
      <c r="BH495" s="1561"/>
      <c r="BI495" s="1226"/>
      <c r="BJ495" s="1466"/>
      <c r="BK495" s="1465"/>
      <c r="BL495" s="1465"/>
      <c r="BM495" s="1465"/>
      <c r="BN495" s="1465"/>
      <c r="BO495" s="1465"/>
      <c r="BP495" s="1465"/>
      <c r="BQ495" s="1211"/>
      <c r="BR495" s="1226"/>
    </row>
    <row r="496" spans="1:81" s="1213" customFormat="1" ht="12.75" hidden="1" customHeight="1">
      <c r="A496" s="1226"/>
      <c r="B496" s="1226"/>
      <c r="C496" s="1417"/>
      <c r="D496" s="1226"/>
      <c r="E496" s="1226"/>
      <c r="F496" s="1459" t="s">
        <v>1739</v>
      </c>
      <c r="G496" s="1227"/>
      <c r="H496" s="1227"/>
      <c r="I496" s="1227"/>
      <c r="J496" s="1227"/>
      <c r="K496" s="1227"/>
      <c r="L496" s="1227"/>
      <c r="M496" s="1227"/>
      <c r="N496" s="1227"/>
      <c r="O496" s="1227"/>
      <c r="P496" s="1227"/>
      <c r="Q496" s="1227"/>
      <c r="R496" s="1227"/>
      <c r="S496" s="1227"/>
      <c r="T496" s="1227"/>
      <c r="U496" s="1227"/>
      <c r="V496" s="1227"/>
      <c r="W496" s="1227"/>
      <c r="X496" s="1227"/>
      <c r="Y496" s="1227"/>
      <c r="Z496" s="1227"/>
      <c r="AA496" s="1227"/>
      <c r="AB496" s="1227"/>
      <c r="AC496" s="1555"/>
      <c r="AD496" s="1226"/>
      <c r="AE496" s="1226"/>
      <c r="AF496" s="1226"/>
      <c r="AG496" s="1276"/>
      <c r="AH496" s="1276"/>
      <c r="AI496" s="1276"/>
      <c r="AJ496" s="1276"/>
      <c r="AK496" s="1409"/>
      <c r="AL496" s="1226"/>
      <c r="AM496" s="1226"/>
      <c r="AN496" s="1209"/>
      <c r="AP496" s="1464"/>
      <c r="AQ496" s="1464"/>
      <c r="AR496" s="1464"/>
      <c r="AS496" s="1561"/>
      <c r="AT496" s="1226"/>
      <c r="AU496" s="1465"/>
      <c r="AV496" s="1465"/>
      <c r="AW496" s="1465"/>
      <c r="AX496" s="1465"/>
      <c r="AY496" s="1465"/>
      <c r="AZ496" s="1465"/>
      <c r="BA496" s="1465"/>
      <c r="BE496" s="1464"/>
      <c r="BF496" s="1464"/>
      <c r="BG496" s="1464"/>
      <c r="BH496" s="1561"/>
      <c r="BI496" s="1226"/>
      <c r="BJ496" s="1466"/>
      <c r="BK496" s="1465"/>
      <c r="BL496" s="1465"/>
      <c r="BM496" s="1465"/>
      <c r="BN496" s="1465"/>
      <c r="BO496" s="1465"/>
      <c r="BP496" s="1465"/>
      <c r="BR496" s="1226"/>
    </row>
    <row r="497" spans="1:81" s="1213" customFormat="1" ht="13.8" hidden="1" thickTop="1">
      <c r="A497" s="1226"/>
      <c r="B497" s="1226"/>
      <c r="C497" s="1442"/>
      <c r="D497" s="1404"/>
      <c r="E497" s="1443"/>
      <c r="F497" s="2534" t="s">
        <v>615</v>
      </c>
      <c r="G497" s="2534"/>
      <c r="H497" s="2534"/>
      <c r="I497" s="1361"/>
      <c r="J497" s="1361"/>
      <c r="K497" s="1361"/>
      <c r="L497" s="1361"/>
      <c r="M497" s="1361"/>
      <c r="N497" s="1361"/>
      <c r="O497" s="1361"/>
      <c r="P497" s="1361"/>
      <c r="Q497" s="1361"/>
      <c r="R497" s="1361"/>
      <c r="S497" s="1361"/>
      <c r="T497" s="1361"/>
      <c r="U497" s="1361"/>
      <c r="V497" s="1361"/>
      <c r="W497" s="1361"/>
      <c r="X497" s="1361"/>
      <c r="Y497" s="1361"/>
      <c r="Z497" s="1361"/>
      <c r="AA497" s="1361"/>
      <c r="AB497" s="1361"/>
      <c r="AC497" s="1361"/>
      <c r="AD497" s="1404"/>
      <c r="AE497" s="1404"/>
      <c r="AF497" s="1404"/>
      <c r="AG497" s="1444">
        <f>IF($C$494="Yes",(VLOOKUP($F$497,$AO$470:$AP$472,2,FALSE)),0)</f>
        <v>0</v>
      </c>
      <c r="AH497" s="1445" t="s">
        <v>1518</v>
      </c>
      <c r="AI497" s="1361"/>
      <c r="AJ497" s="1361"/>
      <c r="AK497" s="1415"/>
      <c r="AL497" s="1226"/>
      <c r="AM497" s="1226"/>
      <c r="AN497" s="1209"/>
      <c r="AP497" s="1464"/>
      <c r="AQ497" s="1464"/>
      <c r="AR497" s="1464"/>
      <c r="AS497" s="1386"/>
      <c r="AT497" s="1226"/>
      <c r="AU497" s="1465"/>
      <c r="AV497" s="1465"/>
      <c r="AW497" s="1465"/>
      <c r="AX497" s="1465"/>
      <c r="AY497" s="1465"/>
      <c r="AZ497" s="1465"/>
      <c r="BA497" s="1465"/>
      <c r="BE497" s="1464"/>
      <c r="BF497" s="1464"/>
      <c r="BG497" s="1464"/>
      <c r="BH497" s="1386"/>
      <c r="BI497" s="1226"/>
      <c r="BJ497" s="1466"/>
      <c r="BK497" s="1465"/>
      <c r="BL497" s="1465"/>
      <c r="BM497" s="1465"/>
      <c r="BN497" s="1465"/>
      <c r="BO497" s="1465"/>
      <c r="BP497" s="1465"/>
      <c r="BR497" s="1226"/>
    </row>
    <row r="498" spans="1:81" s="1213" customFormat="1" ht="13.8" hidden="1" thickTop="1">
      <c r="A498" s="1227"/>
      <c r="B498" s="1227"/>
      <c r="C498" s="1227"/>
      <c r="D498" s="1227"/>
      <c r="E498" s="1227"/>
      <c r="F498" s="1227"/>
      <c r="G498" s="1227"/>
      <c r="H498" s="1227"/>
      <c r="I498" s="1227"/>
      <c r="J498" s="1227"/>
      <c r="K498" s="1227"/>
      <c r="L498" s="1227"/>
      <c r="M498" s="1227"/>
      <c r="N498" s="1227"/>
      <c r="O498" s="1227"/>
      <c r="P498" s="1227"/>
      <c r="Q498" s="1227"/>
      <c r="R498" s="1227"/>
      <c r="S498" s="1227"/>
      <c r="T498" s="1227"/>
      <c r="U498" s="1227"/>
      <c r="V498" s="1227"/>
      <c r="W498" s="1227"/>
      <c r="X498" s="1227"/>
      <c r="Y498" s="1227"/>
      <c r="Z498" s="1227"/>
      <c r="AA498" s="1227"/>
      <c r="AB498" s="1227"/>
      <c r="AC498" s="1227"/>
      <c r="AD498" s="1227"/>
      <c r="AE498" s="1226"/>
      <c r="AF498" s="1226"/>
      <c r="AG498" s="1276"/>
      <c r="AH498" s="1576"/>
      <c r="AI498" s="1227"/>
      <c r="AJ498" s="1227"/>
      <c r="AK498" s="1226"/>
      <c r="AL498" s="1226"/>
      <c r="AM498" s="1226"/>
      <c r="AN498" s="1209"/>
      <c r="AP498" s="1464"/>
      <c r="AQ498" s="1464"/>
      <c r="AR498" s="1464"/>
      <c r="AS498" s="1386"/>
      <c r="AT498" s="1226"/>
      <c r="AU498" s="1465"/>
      <c r="AV498" s="1465"/>
      <c r="AW498" s="1465"/>
      <c r="AX498" s="1465"/>
      <c r="AY498" s="1465"/>
      <c r="AZ498" s="1465"/>
      <c r="BA498" s="1465"/>
      <c r="BE498" s="1464"/>
      <c r="BF498" s="1464"/>
      <c r="BG498" s="1464"/>
      <c r="BH498" s="1386"/>
      <c r="BI498" s="1226"/>
      <c r="BJ498" s="1466"/>
      <c r="BK498" s="1465"/>
      <c r="BL498" s="1465"/>
      <c r="BM498" s="1465"/>
      <c r="BN498" s="1465"/>
      <c r="BO498" s="1465"/>
      <c r="BP498" s="1465"/>
      <c r="BR498" s="1226"/>
    </row>
    <row r="499" spans="1:81" s="1213" customFormat="1" ht="13.8" hidden="1" thickTop="1">
      <c r="A499" s="1226"/>
      <c r="B499" s="1226"/>
      <c r="C499" s="2520" t="s">
        <v>615</v>
      </c>
      <c r="D499" s="2521"/>
      <c r="E499" s="1439" t="s">
        <v>1740</v>
      </c>
      <c r="F499" s="1458" t="s">
        <v>1741</v>
      </c>
      <c r="G499" s="1352"/>
      <c r="H499" s="1352"/>
      <c r="I499" s="1352"/>
      <c r="J499" s="1352"/>
      <c r="K499" s="1352"/>
      <c r="L499" s="1352"/>
      <c r="M499" s="1352"/>
      <c r="N499" s="1352"/>
      <c r="O499" s="1352"/>
      <c r="P499" s="1352"/>
      <c r="Q499" s="1352"/>
      <c r="R499" s="1352"/>
      <c r="S499" s="1352"/>
      <c r="T499" s="1352"/>
      <c r="U499" s="1352"/>
      <c r="V499" s="1352"/>
      <c r="W499" s="1352"/>
      <c r="X499" s="1352"/>
      <c r="Y499" s="1352"/>
      <c r="Z499" s="1352"/>
      <c r="AA499" s="1352"/>
      <c r="AB499" s="1352"/>
      <c r="AC499" s="1467"/>
      <c r="AD499" s="1391"/>
      <c r="AE499" s="1391"/>
      <c r="AF499" s="1391"/>
      <c r="AG499" s="1468"/>
      <c r="AH499" s="1468"/>
      <c r="AI499" s="1468"/>
      <c r="AJ499" s="1468"/>
      <c r="AK499" s="1420"/>
      <c r="AL499" s="1226"/>
      <c r="AM499" s="1226"/>
      <c r="AN499" s="1209"/>
      <c r="AP499" s="1464"/>
      <c r="AQ499" s="1464"/>
      <c r="AR499" s="1464"/>
      <c r="AS499" s="1386"/>
      <c r="AT499" s="1226"/>
      <c r="AU499" s="1465"/>
      <c r="AV499" s="1465"/>
      <c r="AW499" s="1465"/>
      <c r="AX499" s="1465"/>
      <c r="AY499" s="1465"/>
      <c r="AZ499" s="1465"/>
      <c r="BA499" s="1465"/>
      <c r="BE499" s="1464"/>
      <c r="BF499" s="1464"/>
      <c r="BG499" s="1464"/>
      <c r="BH499" s="1386"/>
      <c r="BI499" s="1226"/>
      <c r="BJ499" s="1466"/>
      <c r="BK499" s="1465"/>
      <c r="BL499" s="1465"/>
      <c r="BM499" s="1465"/>
      <c r="BN499" s="1465"/>
      <c r="BO499" s="1465"/>
      <c r="BP499" s="1465"/>
      <c r="BR499" s="1226"/>
    </row>
    <row r="500" spans="1:81" s="1213" customFormat="1" ht="13.8" hidden="1" thickTop="1">
      <c r="A500" s="1226"/>
      <c r="B500" s="1226"/>
      <c r="C500" s="1440"/>
      <c r="D500" s="1226"/>
      <c r="E500" s="1441"/>
      <c r="F500" s="1227"/>
      <c r="G500" s="1227"/>
      <c r="H500" s="1227"/>
      <c r="I500" s="1227"/>
      <c r="J500" s="1227"/>
      <c r="K500" s="1227"/>
      <c r="L500" s="1227"/>
      <c r="M500" s="1227"/>
      <c r="N500" s="1227"/>
      <c r="O500" s="1227"/>
      <c r="P500" s="1227"/>
      <c r="Q500" s="1227"/>
      <c r="R500" s="1227"/>
      <c r="S500" s="1227"/>
      <c r="T500" s="1227"/>
      <c r="U500" s="1227"/>
      <c r="V500" s="1227"/>
      <c r="W500" s="1227"/>
      <c r="X500" s="1227"/>
      <c r="Y500" s="1227"/>
      <c r="Z500" s="1227"/>
      <c r="AA500" s="1227"/>
      <c r="AB500" s="1227"/>
      <c r="AC500" s="1227"/>
      <c r="AD500" s="1226"/>
      <c r="AE500" s="1226"/>
      <c r="AF500" s="1226"/>
      <c r="AG500" s="1227"/>
      <c r="AH500" s="1227"/>
      <c r="AI500" s="1227"/>
      <c r="AJ500" s="1227"/>
      <c r="AK500" s="1409"/>
      <c r="AL500" s="1226"/>
      <c r="AM500" s="1226"/>
      <c r="AN500" s="1209"/>
      <c r="AP500" s="1464"/>
      <c r="AQ500" s="1464"/>
      <c r="AR500" s="1464"/>
      <c r="AS500" s="1386"/>
      <c r="AT500" s="1226"/>
      <c r="AU500" s="1465"/>
      <c r="AV500" s="1465"/>
      <c r="AW500" s="1465"/>
      <c r="AX500" s="1465"/>
      <c r="AY500" s="1465"/>
      <c r="AZ500" s="1465"/>
      <c r="BA500" s="1465"/>
      <c r="BE500" s="1464"/>
      <c r="BF500" s="1464"/>
      <c r="BG500" s="1464"/>
      <c r="BH500" s="1386"/>
      <c r="BI500" s="1226"/>
      <c r="BJ500" s="1466"/>
      <c r="BK500" s="1465"/>
      <c r="BL500" s="1465"/>
      <c r="BM500" s="1465"/>
      <c r="BN500" s="1465"/>
      <c r="BO500" s="1465"/>
      <c r="BP500" s="1465"/>
      <c r="BR500" s="1211"/>
    </row>
    <row r="501" spans="1:81" s="1213" customFormat="1" ht="13.8" hidden="1" thickTop="1">
      <c r="A501" s="1226"/>
      <c r="B501" s="1226"/>
      <c r="C501" s="2522"/>
      <c r="D501" s="2523"/>
      <c r="E501" s="1449"/>
      <c r="F501" s="1227" t="s">
        <v>1742</v>
      </c>
      <c r="G501" s="1227"/>
      <c r="H501" s="1227"/>
      <c r="I501" s="1227"/>
      <c r="J501" s="1227"/>
      <c r="K501" s="1227"/>
      <c r="L501" s="1227"/>
      <c r="M501" s="1227"/>
      <c r="N501" s="1227"/>
      <c r="O501" s="1227"/>
      <c r="P501" s="1227"/>
      <c r="Q501" s="1227"/>
      <c r="R501" s="1227"/>
      <c r="S501" s="1227"/>
      <c r="T501" s="1227"/>
      <c r="U501" s="1227"/>
      <c r="V501" s="1227"/>
      <c r="W501" s="1227"/>
      <c r="X501" s="1227"/>
      <c r="Y501" s="1227"/>
      <c r="Z501" s="1227"/>
      <c r="AA501" s="1227"/>
      <c r="AB501" s="1227"/>
      <c r="AC501" s="1555"/>
      <c r="AD501" s="1226"/>
      <c r="AE501" s="1226"/>
      <c r="AF501" s="1226"/>
      <c r="AG501" s="1276">
        <f>IF($C$499="Yes",(VLOOKUP($G$502,$AO$477:$AP$480,2,FALSE)),0)</f>
        <v>0</v>
      </c>
      <c r="AH501" s="1576" t="s">
        <v>1518</v>
      </c>
      <c r="AI501" s="1227"/>
      <c r="AJ501" s="1276"/>
      <c r="AK501" s="1409"/>
      <c r="AL501" s="1226"/>
      <c r="AM501" s="1226"/>
      <c r="AN501" s="1209"/>
      <c r="AP501" s="1464"/>
      <c r="AQ501" s="1464"/>
      <c r="AR501" s="1464"/>
      <c r="AS501" s="1386"/>
      <c r="AT501" s="1226"/>
      <c r="AU501" s="1465"/>
      <c r="AV501" s="1465"/>
      <c r="AW501" s="1465"/>
      <c r="AX501" s="1465"/>
      <c r="AY501" s="1465"/>
      <c r="AZ501" s="1465"/>
      <c r="BA501" s="1465"/>
      <c r="BE501" s="1464"/>
      <c r="BF501" s="1464"/>
      <c r="BG501" s="1464"/>
      <c r="BH501" s="1386"/>
      <c r="BI501" s="1226"/>
      <c r="BJ501" s="1466"/>
      <c r="BK501" s="1465"/>
      <c r="BL501" s="1465"/>
      <c r="BM501" s="1465"/>
      <c r="BN501" s="1465"/>
      <c r="BO501" s="1465"/>
      <c r="BP501" s="1465"/>
      <c r="BR501" s="1226"/>
    </row>
    <row r="502" spans="1:81" s="1213" customFormat="1" ht="13.8" hidden="1" thickTop="1">
      <c r="A502" s="1226"/>
      <c r="B502" s="1226"/>
      <c r="C502" s="1440"/>
      <c r="D502" s="1226"/>
      <c r="E502" s="1441"/>
      <c r="F502" s="1227"/>
      <c r="G502" s="2524" t="s">
        <v>615</v>
      </c>
      <c r="H502" s="2524"/>
      <c r="I502" s="2524"/>
      <c r="J502" s="2524"/>
      <c r="K502" s="2524"/>
      <c r="L502" s="2524"/>
      <c r="M502" s="2524"/>
      <c r="N502" s="2524"/>
      <c r="O502" s="2524"/>
      <c r="P502" s="2524"/>
      <c r="Q502" s="2524"/>
      <c r="R502" s="2524"/>
      <c r="S502" s="2524"/>
      <c r="T502" s="2524"/>
      <c r="U502" s="2524"/>
      <c r="V502" s="2524"/>
      <c r="W502" s="2524"/>
      <c r="X502" s="2524"/>
      <c r="Y502" s="2524"/>
      <c r="Z502" s="2524"/>
      <c r="AA502" s="2524"/>
      <c r="AB502" s="2524"/>
      <c r="AC502" s="2524"/>
      <c r="AD502" s="2524"/>
      <c r="AE502" s="2524"/>
      <c r="AF502" s="2524"/>
      <c r="AG502" s="1226"/>
      <c r="AH502" s="1226"/>
      <c r="AI502" s="1226"/>
      <c r="AJ502" s="1227"/>
      <c r="AK502" s="1409"/>
      <c r="AL502" s="1226"/>
      <c r="AM502" s="1226"/>
      <c r="AN502" s="1209"/>
      <c r="AP502" s="1464"/>
      <c r="AQ502" s="1464"/>
      <c r="AR502" s="1464"/>
      <c r="AS502" s="1386"/>
      <c r="AT502" s="1226"/>
      <c r="AU502" s="1465"/>
      <c r="AV502" s="1465"/>
      <c r="AW502" s="1465"/>
      <c r="AX502" s="1465"/>
      <c r="AY502" s="1465"/>
      <c r="AZ502" s="1465"/>
      <c r="BA502" s="1465"/>
      <c r="BE502" s="1464"/>
      <c r="BF502" s="1464"/>
      <c r="BG502" s="1464"/>
      <c r="BH502" s="1386"/>
      <c r="BI502" s="1226"/>
      <c r="BJ502" s="1466"/>
      <c r="BK502" s="1465"/>
      <c r="BL502" s="1465"/>
      <c r="BM502" s="1465"/>
      <c r="BN502" s="1465"/>
      <c r="BO502" s="1465"/>
      <c r="BP502" s="1465"/>
      <c r="BR502" s="1226"/>
    </row>
    <row r="503" spans="1:81" s="1213" customFormat="1" ht="13.8" hidden="1" thickTop="1">
      <c r="A503" s="1226"/>
      <c r="B503" s="1226"/>
      <c r="C503" s="1407"/>
      <c r="F503" s="1211"/>
      <c r="G503" s="1211"/>
      <c r="H503" s="1211"/>
      <c r="I503" s="1211"/>
      <c r="J503" s="1211"/>
      <c r="K503" s="1211"/>
      <c r="L503" s="1211"/>
      <c r="M503" s="1211"/>
      <c r="N503" s="1211"/>
      <c r="O503" s="1211"/>
      <c r="P503" s="1211"/>
      <c r="Q503" s="1211"/>
      <c r="R503" s="1211"/>
      <c r="S503" s="1211"/>
      <c r="T503" s="1211"/>
      <c r="U503" s="1211"/>
      <c r="V503" s="1211"/>
      <c r="W503" s="1211"/>
      <c r="X503" s="1211"/>
      <c r="Y503" s="1211"/>
      <c r="Z503" s="1211"/>
      <c r="AA503" s="1211"/>
      <c r="AB503" s="1211"/>
      <c r="AC503" s="1211"/>
      <c r="AD503" s="1226"/>
      <c r="AE503" s="1226"/>
      <c r="AF503" s="1226"/>
      <c r="AG503" s="1211"/>
      <c r="AH503" s="1211"/>
      <c r="AI503" s="1211"/>
      <c r="AJ503" s="1211"/>
      <c r="AK503" s="1409"/>
      <c r="AL503" s="1226"/>
      <c r="AM503" s="1226"/>
      <c r="AN503" s="1209"/>
      <c r="AP503" s="1464"/>
      <c r="AQ503" s="1464"/>
      <c r="AR503" s="1464"/>
      <c r="AS503" s="1386"/>
      <c r="AT503" s="1226"/>
      <c r="AU503" s="1465"/>
      <c r="AV503" s="1465"/>
      <c r="AW503" s="1465"/>
      <c r="AX503" s="1465"/>
      <c r="AY503" s="1465"/>
      <c r="AZ503" s="1465"/>
      <c r="BA503" s="1465"/>
      <c r="BE503" s="1464"/>
      <c r="BF503" s="1464"/>
      <c r="BG503" s="1464"/>
      <c r="BH503" s="1386"/>
      <c r="BI503" s="1226"/>
      <c r="BJ503" s="1466"/>
      <c r="BK503" s="1465"/>
      <c r="BL503" s="1465"/>
      <c r="BM503" s="1465"/>
      <c r="BN503" s="1465"/>
      <c r="BO503" s="1465"/>
      <c r="BP503" s="1465"/>
      <c r="BR503" s="1226"/>
    </row>
    <row r="504" spans="1:81" s="1213" customFormat="1" ht="12.75" hidden="1" customHeight="1">
      <c r="A504" s="1211"/>
      <c r="B504" s="1226"/>
      <c r="C504" s="2525" t="s">
        <v>615</v>
      </c>
      <c r="D504" s="2526"/>
      <c r="F504" s="1227" t="s">
        <v>1743</v>
      </c>
      <c r="G504" s="1227"/>
      <c r="H504" s="1227"/>
      <c r="I504" s="1227"/>
      <c r="J504" s="1227"/>
      <c r="K504" s="1227"/>
      <c r="L504" s="1227"/>
      <c r="M504" s="1227"/>
      <c r="N504" s="1227"/>
      <c r="O504" s="1227"/>
      <c r="P504" s="1227"/>
      <c r="Q504" s="1227"/>
      <c r="R504" s="1227"/>
      <c r="S504" s="1227"/>
      <c r="T504" s="1227"/>
      <c r="U504" s="1227"/>
      <c r="V504" s="1227"/>
      <c r="W504" s="1227"/>
      <c r="X504" s="1227"/>
      <c r="Y504" s="1227"/>
      <c r="Z504" s="1227"/>
      <c r="AA504" s="1227"/>
      <c r="AB504" s="1227"/>
      <c r="AC504" s="1555"/>
      <c r="AD504" s="1226"/>
      <c r="AE504" s="1226"/>
      <c r="AF504" s="1226"/>
      <c r="AG504" s="1276">
        <f>IF(AND($C$504="Yes",$C$499="Yes"),2,0)</f>
        <v>0</v>
      </c>
      <c r="AH504" s="1576" t="s">
        <v>1518</v>
      </c>
      <c r="AI504" s="1227"/>
      <c r="AJ504" s="1557"/>
      <c r="AK504" s="1409"/>
      <c r="AL504" s="1226"/>
      <c r="AM504" s="1226"/>
      <c r="AN504" s="1209"/>
      <c r="AP504" s="1464"/>
      <c r="AQ504" s="1464"/>
      <c r="AR504" s="1464"/>
      <c r="AS504" s="1386"/>
      <c r="AT504" s="1226"/>
      <c r="AU504" s="1465"/>
      <c r="AV504" s="1465"/>
      <c r="AW504" s="1465"/>
      <c r="AX504" s="1465"/>
      <c r="AY504" s="1465"/>
      <c r="AZ504" s="1465"/>
      <c r="BA504" s="1465"/>
      <c r="BE504" s="1464"/>
      <c r="BF504" s="1464"/>
      <c r="BG504" s="1464"/>
      <c r="BH504" s="1386"/>
      <c r="BI504" s="1226"/>
      <c r="BJ504" s="1466"/>
      <c r="BK504" s="1465"/>
      <c r="BL504" s="1465"/>
      <c r="BM504" s="1465"/>
      <c r="BN504" s="1465"/>
      <c r="BO504" s="1465"/>
      <c r="BP504" s="1465"/>
      <c r="BR504" s="1226"/>
    </row>
    <row r="505" spans="1:81" s="1213" customFormat="1" ht="13.8" hidden="1" thickTop="1">
      <c r="A505" s="1211"/>
      <c r="B505" s="1226"/>
      <c r="C505" s="1395"/>
      <c r="D505" s="1566"/>
      <c r="E505" s="1566"/>
      <c r="F505" s="1227"/>
      <c r="G505" s="1227" t="s">
        <v>1744</v>
      </c>
      <c r="H505" s="1227"/>
      <c r="I505" s="1227"/>
      <c r="J505" s="1227"/>
      <c r="K505" s="1227"/>
      <c r="L505" s="1227"/>
      <c r="M505" s="1227"/>
      <c r="N505" s="1227"/>
      <c r="O505" s="1227"/>
      <c r="P505" s="1227"/>
      <c r="Q505" s="1227"/>
      <c r="R505" s="1227"/>
      <c r="S505" s="1227"/>
      <c r="T505" s="1227"/>
      <c r="U505" s="1227"/>
      <c r="V505" s="1227"/>
      <c r="W505" s="1227"/>
      <c r="X505" s="1227"/>
      <c r="Y505" s="1227"/>
      <c r="Z505" s="1227"/>
      <c r="AA505" s="1227"/>
      <c r="AB505" s="1227"/>
      <c r="AC505" s="1555"/>
      <c r="AD505" s="1226"/>
      <c r="AE505" s="1226"/>
      <c r="AF505" s="1226"/>
      <c r="AG505" s="1557"/>
      <c r="AH505" s="1557"/>
      <c r="AI505" s="1557"/>
      <c r="AJ505" s="1557"/>
      <c r="AK505" s="1409"/>
      <c r="AL505" s="1226"/>
      <c r="AM505" s="1226"/>
      <c r="AN505" s="1265"/>
      <c r="AP505" s="1464"/>
      <c r="AQ505" s="1464"/>
      <c r="AR505" s="1464"/>
      <c r="AS505" s="1386"/>
      <c r="AT505" s="1226"/>
      <c r="AU505" s="1465"/>
      <c r="AV505" s="1465"/>
      <c r="AW505" s="1465"/>
      <c r="AX505" s="1465"/>
      <c r="AY505" s="1465"/>
      <c r="AZ505" s="1465"/>
      <c r="BA505" s="1465"/>
      <c r="BE505" s="1464"/>
      <c r="BF505" s="1464"/>
      <c r="BG505" s="1464"/>
      <c r="BH505" s="1386"/>
      <c r="BI505" s="1226"/>
      <c r="BJ505" s="1466"/>
      <c r="BK505" s="1465"/>
      <c r="BL505" s="1465"/>
      <c r="BM505" s="1465"/>
      <c r="BN505" s="1465"/>
      <c r="BO505" s="1465"/>
      <c r="BP505" s="1465"/>
      <c r="BR505" s="1226"/>
    </row>
    <row r="506" spans="1:81" s="1226" customFormat="1" ht="12.75" hidden="1" customHeight="1">
      <c r="A506" s="1211"/>
      <c r="C506" s="1395"/>
      <c r="D506" s="1566"/>
      <c r="E506" s="1566"/>
      <c r="F506" s="1227"/>
      <c r="G506" s="1227" t="s">
        <v>1745</v>
      </c>
      <c r="H506" s="1227"/>
      <c r="I506" s="1227"/>
      <c r="J506" s="1227"/>
      <c r="K506" s="1227"/>
      <c r="L506" s="1227"/>
      <c r="M506" s="1227"/>
      <c r="N506" s="1227"/>
      <c r="O506" s="1227"/>
      <c r="P506" s="1227"/>
      <c r="Q506" s="1227"/>
      <c r="R506" s="1227"/>
      <c r="S506" s="1227"/>
      <c r="T506" s="1227"/>
      <c r="U506" s="1227"/>
      <c r="V506" s="1227"/>
      <c r="W506" s="1227"/>
      <c r="X506" s="1227"/>
      <c r="Y506" s="1227"/>
      <c r="Z506" s="1227"/>
      <c r="AA506" s="1227"/>
      <c r="AB506" s="1227"/>
      <c r="AC506" s="1555"/>
      <c r="AG506" s="1557"/>
      <c r="AH506" s="1557"/>
      <c r="AI506" s="1557"/>
      <c r="AJ506" s="1557"/>
      <c r="AK506" s="1409"/>
      <c r="AN506" s="1212"/>
      <c r="AP506" s="1213"/>
      <c r="AQ506" s="1213"/>
      <c r="AR506" s="1213"/>
    </row>
    <row r="507" spans="1:81" s="1226" customFormat="1" ht="12.75" hidden="1" customHeight="1">
      <c r="A507" s="1339"/>
      <c r="B507" s="1211"/>
      <c r="C507" s="1469"/>
      <c r="D507" s="1211"/>
      <c r="G507" s="1274"/>
      <c r="H507" s="1274"/>
      <c r="I507" s="1274"/>
      <c r="J507" s="1274"/>
      <c r="K507" s="1274"/>
      <c r="L507" s="1274"/>
      <c r="M507" s="1274"/>
      <c r="N507" s="1274"/>
      <c r="O507" s="1274"/>
      <c r="P507" s="1274"/>
      <c r="Q507" s="1274"/>
      <c r="R507" s="1274"/>
      <c r="S507" s="1274"/>
      <c r="T507" s="1274"/>
      <c r="U507" s="1274"/>
      <c r="V507" s="1274"/>
      <c r="W507" s="1274"/>
      <c r="X507" s="1274"/>
      <c r="Y507" s="1274"/>
      <c r="Z507" s="1274"/>
      <c r="AA507" s="1274"/>
      <c r="AB507" s="1274"/>
      <c r="AC507" s="1274"/>
      <c r="AD507" s="1274"/>
      <c r="AE507" s="1274"/>
      <c r="AF507" s="1274"/>
      <c r="AG507" s="1555"/>
      <c r="AH507" s="1555"/>
      <c r="AI507" s="1555"/>
      <c r="AJ507" s="1555"/>
      <c r="AK507" s="1470"/>
      <c r="AL507" s="1211"/>
      <c r="AM507" s="1211"/>
      <c r="AN507" s="1212"/>
      <c r="AO507" s="1213"/>
      <c r="AP507" s="1213"/>
      <c r="AQ507" s="1213"/>
      <c r="AR507" s="1213"/>
    </row>
    <row r="508" spans="1:81" s="1226" customFormat="1" ht="12.75" hidden="1" customHeight="1">
      <c r="A508" s="1339"/>
      <c r="C508" s="2525" t="s">
        <v>615</v>
      </c>
      <c r="D508" s="2526"/>
      <c r="F508" s="1471" t="s">
        <v>1746</v>
      </c>
      <c r="G508" s="2527" t="s">
        <v>1747</v>
      </c>
      <c r="H508" s="2527"/>
      <c r="I508" s="2527"/>
      <c r="J508" s="2527"/>
      <c r="K508" s="2527"/>
      <c r="L508" s="2527"/>
      <c r="M508" s="2527"/>
      <c r="N508" s="2527"/>
      <c r="O508" s="2527"/>
      <c r="P508" s="2527"/>
      <c r="Q508" s="2527"/>
      <c r="R508" s="2527"/>
      <c r="S508" s="2527"/>
      <c r="T508" s="2527"/>
      <c r="U508" s="2527"/>
      <c r="V508" s="2527"/>
      <c r="W508" s="2527"/>
      <c r="X508" s="2527"/>
      <c r="Y508" s="2527"/>
      <c r="Z508" s="2527"/>
      <c r="AA508" s="2527"/>
      <c r="AB508" s="2527"/>
      <c r="AC508" s="2527"/>
      <c r="AD508" s="2527"/>
      <c r="AE508" s="2527"/>
      <c r="AF508" s="2527"/>
      <c r="AG508" s="1276">
        <f>IF(AND($C$508="Yes",$C$499="Yes"),2,0)</f>
        <v>0</v>
      </c>
      <c r="AH508" s="1576" t="s">
        <v>1518</v>
      </c>
      <c r="AI508" s="1227"/>
      <c r="AJ508" s="1557"/>
      <c r="AK508" s="1409"/>
      <c r="AN508" s="1212"/>
      <c r="AZ508" s="1575"/>
      <c r="BC508" s="1563"/>
      <c r="BD508" s="1575"/>
      <c r="BE508" s="1575"/>
      <c r="BF508" s="1575"/>
      <c r="BM508" s="1213"/>
      <c r="BN508" s="1575"/>
      <c r="BO508" s="1213"/>
      <c r="BP508" s="1575"/>
      <c r="BQ508" s="1575"/>
      <c r="BR508" s="1575"/>
      <c r="BS508" s="1575"/>
      <c r="BT508" s="1575"/>
      <c r="BU508" s="1575"/>
      <c r="BV508" s="1213"/>
      <c r="BW508" s="1213"/>
      <c r="BX508" s="1213"/>
      <c r="BY508" s="1213"/>
      <c r="BZ508" s="1213"/>
      <c r="CA508" s="1213"/>
      <c r="CB508" s="1213"/>
      <c r="CC508" s="1213"/>
    </row>
    <row r="509" spans="1:81" s="1226" customFormat="1" ht="12.75" hidden="1" customHeight="1">
      <c r="C509" s="1472"/>
      <c r="D509" s="1404"/>
      <c r="E509" s="1443"/>
      <c r="F509" s="1403"/>
      <c r="G509" s="2528"/>
      <c r="H509" s="2528"/>
      <c r="I509" s="2528"/>
      <c r="J509" s="2528"/>
      <c r="K509" s="2528"/>
      <c r="L509" s="2528"/>
      <c r="M509" s="2528"/>
      <c r="N509" s="2528"/>
      <c r="O509" s="2528"/>
      <c r="P509" s="2528"/>
      <c r="Q509" s="2528"/>
      <c r="R509" s="2528"/>
      <c r="S509" s="2528"/>
      <c r="T509" s="2528"/>
      <c r="U509" s="2528"/>
      <c r="V509" s="2528"/>
      <c r="W509" s="2528"/>
      <c r="X509" s="2528"/>
      <c r="Y509" s="2528"/>
      <c r="Z509" s="2528"/>
      <c r="AA509" s="2528"/>
      <c r="AB509" s="2528"/>
      <c r="AC509" s="2528"/>
      <c r="AD509" s="2528"/>
      <c r="AE509" s="2528"/>
      <c r="AF509" s="2528"/>
      <c r="AG509" s="1361"/>
      <c r="AH509" s="1361"/>
      <c r="AI509" s="1361"/>
      <c r="AJ509" s="1361"/>
      <c r="AK509" s="1415"/>
      <c r="AN509" s="1212"/>
      <c r="AZ509" s="1575"/>
      <c r="BC509" s="1563"/>
      <c r="BD509" s="1575"/>
      <c r="BE509" s="1575"/>
      <c r="BF509" s="1575"/>
      <c r="BM509" s="1566"/>
      <c r="BN509" s="1566"/>
      <c r="BO509" s="1566"/>
      <c r="BP509" s="1566"/>
      <c r="BQ509" s="1566"/>
      <c r="BR509" s="1566"/>
      <c r="BS509" s="1566"/>
      <c r="BT509" s="1566"/>
      <c r="BU509" s="1566"/>
      <c r="BV509" s="1566"/>
      <c r="BW509" s="1566"/>
      <c r="BX509" s="1566"/>
      <c r="BY509" s="1566"/>
      <c r="BZ509" s="1566"/>
      <c r="CA509" s="1566"/>
      <c r="CB509" s="1566"/>
      <c r="CC509" s="1566"/>
    </row>
    <row r="510" spans="1:81" s="1226" customFormat="1" ht="12.75" hidden="1" customHeight="1">
      <c r="C510" s="1213"/>
      <c r="E510" s="1441"/>
      <c r="F510" s="1264"/>
      <c r="G510" s="1567"/>
      <c r="H510" s="1567"/>
      <c r="I510" s="1567"/>
      <c r="J510" s="1567"/>
      <c r="K510" s="1567"/>
      <c r="L510" s="1567"/>
      <c r="M510" s="1567"/>
      <c r="N510" s="1567"/>
      <c r="O510" s="1567"/>
      <c r="P510" s="1567"/>
      <c r="Q510" s="1567"/>
      <c r="R510" s="1567"/>
      <c r="S510" s="1567"/>
      <c r="T510" s="1567"/>
      <c r="U510" s="1567"/>
      <c r="V510" s="1567"/>
      <c r="W510" s="1567"/>
      <c r="X510" s="1567"/>
      <c r="Y510" s="1567"/>
      <c r="Z510" s="1567"/>
      <c r="AA510" s="1567"/>
      <c r="AB510" s="1567"/>
      <c r="AC510" s="1567"/>
      <c r="AD510" s="1567"/>
      <c r="AE510" s="1567"/>
      <c r="AF510" s="1567"/>
      <c r="AG510" s="1227"/>
      <c r="AH510" s="1227"/>
      <c r="AI510" s="1227"/>
      <c r="AJ510" s="1227"/>
      <c r="AN510" s="1212"/>
      <c r="AP510" s="1575"/>
      <c r="AQ510" s="1575"/>
      <c r="AR510" s="1575"/>
      <c r="AS510" s="1575"/>
      <c r="AT510" s="1575"/>
      <c r="AU510" s="1575"/>
      <c r="AV510" s="1575"/>
      <c r="AW510" s="1575"/>
      <c r="AX510" s="1575"/>
      <c r="AY510" s="1575"/>
      <c r="AZ510" s="1575"/>
      <c r="BA510" s="1575"/>
      <c r="BB510" s="1575"/>
      <c r="BC510" s="1575"/>
      <c r="BD510" s="1575"/>
      <c r="BE510" s="1575"/>
      <c r="BF510" s="1575"/>
      <c r="BG510" s="1575"/>
      <c r="BH510" s="1575"/>
      <c r="BI510" s="1563"/>
      <c r="BJ510" s="1473"/>
      <c r="BK510" s="1473"/>
      <c r="BM510" s="1566"/>
      <c r="BN510" s="1566"/>
      <c r="BO510" s="1566"/>
      <c r="BP510" s="1566"/>
      <c r="BQ510" s="1566"/>
      <c r="BR510" s="1566"/>
      <c r="BS510" s="1566"/>
      <c r="BT510" s="1566"/>
      <c r="BU510" s="1566"/>
      <c r="BV510" s="1566"/>
      <c r="BW510" s="1566"/>
      <c r="BX510" s="1566"/>
      <c r="BY510" s="1566"/>
      <c r="BZ510" s="1566"/>
      <c r="CA510" s="1566"/>
      <c r="CB510" s="1566"/>
      <c r="CC510" s="1566"/>
    </row>
    <row r="511" spans="1:81" s="1226" customFormat="1" ht="12.75" hidden="1" customHeight="1">
      <c r="C511" s="1474" t="s">
        <v>1748</v>
      </c>
      <c r="D511" s="1391"/>
      <c r="E511" s="1475"/>
      <c r="F511" s="1476"/>
      <c r="G511" s="1568"/>
      <c r="H511" s="1568"/>
      <c r="I511" s="1568"/>
      <c r="J511" s="1568"/>
      <c r="K511" s="1568"/>
      <c r="L511" s="1568"/>
      <c r="M511" s="1568"/>
      <c r="N511" s="1568"/>
      <c r="O511" s="1568"/>
      <c r="P511" s="1568"/>
      <c r="Q511" s="1568"/>
      <c r="R511" s="1568"/>
      <c r="S511" s="1568"/>
      <c r="T511" s="1568"/>
      <c r="U511" s="1568"/>
      <c r="V511" s="1568"/>
      <c r="W511" s="1568"/>
      <c r="X511" s="1568"/>
      <c r="Y511" s="1568"/>
      <c r="Z511" s="1568"/>
      <c r="AA511" s="1568"/>
      <c r="AB511" s="1568"/>
      <c r="AC511" s="1568"/>
      <c r="AD511" s="1568"/>
      <c r="AE511" s="1568"/>
      <c r="AF511" s="1568"/>
      <c r="AG511" s="1352"/>
      <c r="AH511" s="1352"/>
      <c r="AI511" s="1352"/>
      <c r="AJ511" s="1352"/>
      <c r="AK511" s="1420"/>
      <c r="AN511" s="1265"/>
      <c r="AP511" s="1575"/>
      <c r="AQ511" s="1575"/>
      <c r="AR511" s="1575"/>
      <c r="AS511" s="1575"/>
      <c r="AT511" s="1575"/>
      <c r="AU511" s="1575"/>
      <c r="AV511" s="1575"/>
      <c r="AW511" s="1575"/>
      <c r="AX511" s="1575"/>
      <c r="AY511" s="1575"/>
      <c r="AZ511" s="1575"/>
      <c r="BA511" s="1575"/>
      <c r="BB511" s="1575"/>
      <c r="BC511" s="1575"/>
      <c r="BD511" s="1575"/>
      <c r="BE511" s="1575"/>
      <c r="BF511" s="1575"/>
      <c r="BG511" s="1575"/>
      <c r="BH511" s="1575"/>
      <c r="BI511" s="1339"/>
      <c r="BJ511" s="1473"/>
      <c r="BK511" s="1473"/>
      <c r="BM511" s="1566"/>
      <c r="BN511" s="1566"/>
      <c r="BO511" s="1566"/>
      <c r="BP511" s="1566"/>
      <c r="BQ511" s="1566"/>
      <c r="BR511" s="1566"/>
      <c r="BS511" s="1566"/>
      <c r="BT511" s="1566"/>
      <c r="BU511" s="1566"/>
      <c r="BV511" s="1566"/>
      <c r="BW511" s="1566"/>
      <c r="BX511" s="1566"/>
      <c r="BY511" s="1566"/>
      <c r="BZ511" s="1566"/>
      <c r="CA511" s="1566"/>
      <c r="CB511" s="1566"/>
      <c r="CC511" s="1566"/>
    </row>
    <row r="512" spans="1:81" s="1226" customFormat="1" ht="12.75" hidden="1" customHeight="1">
      <c r="C512" s="2510" t="s">
        <v>615</v>
      </c>
      <c r="D512" s="2511"/>
      <c r="E512" s="1477" t="s">
        <v>1749</v>
      </c>
      <c r="F512" s="1448" t="s">
        <v>1750</v>
      </c>
      <c r="G512" s="1567"/>
      <c r="H512" s="1567"/>
      <c r="I512" s="1567"/>
      <c r="J512" s="1567"/>
      <c r="K512" s="1567"/>
      <c r="L512" s="1567"/>
      <c r="M512" s="1567"/>
      <c r="N512" s="1567"/>
      <c r="O512" s="1567"/>
      <c r="P512" s="1567"/>
      <c r="Q512" s="1567"/>
      <c r="R512" s="1567"/>
      <c r="S512" s="1567"/>
      <c r="T512" s="1567"/>
      <c r="U512" s="1567"/>
      <c r="V512" s="1567"/>
      <c r="W512" s="1567"/>
      <c r="X512" s="1567"/>
      <c r="Y512" s="1567"/>
      <c r="Z512" s="1567"/>
      <c r="AA512" s="1567"/>
      <c r="AB512" s="1567"/>
      <c r="AC512" s="1567"/>
      <c r="AD512" s="1567"/>
      <c r="AE512" s="1567"/>
      <c r="AF512" s="1567"/>
      <c r="AG512" s="1276">
        <f>IF(C$512="Yes",(VLOOKUP(F$513,$AO$483:$AP$486,2,FALSE)),0)</f>
        <v>0</v>
      </c>
      <c r="AH512" s="1576" t="s">
        <v>1518</v>
      </c>
      <c r="AI512" s="1227"/>
      <c r="AJ512" s="1227"/>
      <c r="AK512" s="1409"/>
      <c r="AN512" s="1265"/>
      <c r="AP512" s="1575"/>
      <c r="AQ512" s="1575"/>
      <c r="AR512" s="1575"/>
      <c r="AS512" s="1575"/>
      <c r="AT512" s="1575"/>
      <c r="AU512" s="1575"/>
      <c r="AV512" s="1575"/>
      <c r="AW512" s="1575"/>
      <c r="AX512" s="1575"/>
      <c r="AY512" s="1575"/>
      <c r="AZ512" s="1575"/>
      <c r="BA512" s="1575"/>
      <c r="BB512" s="1575"/>
      <c r="BC512" s="1575"/>
      <c r="BD512" s="1575"/>
      <c r="BE512" s="1575"/>
      <c r="BF512" s="1575"/>
      <c r="BG512" s="1575"/>
      <c r="BH512" s="1575"/>
      <c r="BI512" s="1339"/>
      <c r="BJ512" s="1473"/>
      <c r="BK512" s="1473"/>
      <c r="BM512" s="1213"/>
      <c r="BN512" s="1213"/>
      <c r="BO512" s="1213"/>
      <c r="BP512" s="1213"/>
      <c r="BQ512" s="1213"/>
      <c r="BR512" s="1213"/>
      <c r="BS512" s="1213"/>
      <c r="BT512" s="1213"/>
      <c r="BU512" s="1213"/>
      <c r="BV512" s="1213"/>
      <c r="BW512" s="1213"/>
      <c r="BX512" s="1213"/>
      <c r="BY512" s="1213"/>
      <c r="BZ512" s="1213"/>
      <c r="CA512" s="1213"/>
      <c r="CB512" s="1213"/>
      <c r="CC512" s="1213"/>
    </row>
    <row r="513" spans="1:81" s="1226" customFormat="1" ht="12.75" hidden="1" customHeight="1">
      <c r="C513" s="1395"/>
      <c r="E513" s="1441"/>
      <c r="F513" s="2512" t="s">
        <v>615</v>
      </c>
      <c r="G513" s="2512"/>
      <c r="H513" s="2512"/>
      <c r="I513" s="2512"/>
      <c r="J513" s="2512"/>
      <c r="K513" s="2512"/>
      <c r="L513" s="2512"/>
      <c r="M513" s="2512"/>
      <c r="N513" s="2512"/>
      <c r="O513" s="2512"/>
      <c r="P513" s="2512"/>
      <c r="Q513" s="2512"/>
      <c r="R513" s="2512"/>
      <c r="S513" s="2512"/>
      <c r="T513" s="2512"/>
      <c r="U513" s="2512"/>
      <c r="V513" s="2512"/>
      <c r="W513" s="2512"/>
      <c r="X513" s="2512"/>
      <c r="Y513" s="2512"/>
      <c r="Z513" s="2512"/>
      <c r="AA513" s="2512"/>
      <c r="AB513" s="2512"/>
      <c r="AC513" s="2512"/>
      <c r="AD513" s="2512"/>
      <c r="AE513" s="2512"/>
      <c r="AF513" s="2512"/>
      <c r="AG513" s="1227"/>
      <c r="AH513" s="1227"/>
      <c r="AI513" s="1227"/>
      <c r="AJ513" s="1227"/>
      <c r="AK513" s="1409"/>
      <c r="AN513" s="1265"/>
      <c r="BM513" s="1213"/>
      <c r="BN513" s="1213"/>
      <c r="BO513" s="1213"/>
      <c r="BP513" s="1213"/>
      <c r="BQ513" s="1213"/>
      <c r="BR513" s="1213"/>
      <c r="BS513" s="1213"/>
      <c r="BT513" s="1213"/>
      <c r="BU513" s="1213"/>
      <c r="BV513" s="1213"/>
      <c r="BW513" s="1213"/>
      <c r="BX513" s="1213"/>
      <c r="BY513" s="1213"/>
      <c r="BZ513" s="1213"/>
      <c r="CA513" s="1213"/>
      <c r="CB513" s="1213"/>
      <c r="CC513" s="1213"/>
    </row>
    <row r="514" spans="1:81" s="1226" customFormat="1" ht="12.75" hidden="1" customHeight="1">
      <c r="C514" s="1472"/>
      <c r="D514" s="1404"/>
      <c r="E514" s="1443"/>
      <c r="F514" s="2513"/>
      <c r="G514" s="2513"/>
      <c r="H514" s="2513"/>
      <c r="I514" s="2513"/>
      <c r="J514" s="2513"/>
      <c r="K514" s="2513"/>
      <c r="L514" s="2513"/>
      <c r="M514" s="2513"/>
      <c r="N514" s="2513"/>
      <c r="O514" s="2513"/>
      <c r="P514" s="2513"/>
      <c r="Q514" s="2513"/>
      <c r="R514" s="2513"/>
      <c r="S514" s="2513"/>
      <c r="T514" s="2513"/>
      <c r="U514" s="2513"/>
      <c r="V514" s="2513"/>
      <c r="W514" s="2513"/>
      <c r="X514" s="2513"/>
      <c r="Y514" s="2513"/>
      <c r="Z514" s="2513"/>
      <c r="AA514" s="2513"/>
      <c r="AB514" s="2513"/>
      <c r="AC514" s="2513"/>
      <c r="AD514" s="2513"/>
      <c r="AE514" s="2513"/>
      <c r="AF514" s="2513"/>
      <c r="AG514" s="1361"/>
      <c r="AH514" s="1361"/>
      <c r="AI514" s="1361"/>
      <c r="AJ514" s="1361"/>
      <c r="AK514" s="1415"/>
      <c r="AN514" s="1265"/>
      <c r="BM514" s="1213"/>
      <c r="BN514" s="1213"/>
      <c r="BO514" s="1213"/>
      <c r="BP514" s="1213"/>
      <c r="BQ514" s="1213"/>
      <c r="BR514" s="1213"/>
      <c r="BS514" s="1213"/>
      <c r="BT514" s="1213"/>
      <c r="BU514" s="1213"/>
      <c r="BV514" s="1213"/>
      <c r="BW514" s="1213"/>
      <c r="BX514" s="1213"/>
      <c r="BY514" s="1213"/>
      <c r="BZ514" s="1213"/>
      <c r="CA514" s="1213"/>
      <c r="CB514" s="1213"/>
      <c r="CC514" s="1213"/>
    </row>
    <row r="515" spans="1:81" s="1226" customFormat="1" ht="12.75" hidden="1" customHeight="1">
      <c r="A515" s="1339"/>
      <c r="C515" s="1227"/>
      <c r="E515" s="1227"/>
      <c r="F515" s="1448"/>
      <c r="G515" s="1227"/>
      <c r="H515" s="122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78"/>
      <c r="AE515" s="1227"/>
      <c r="AF515" s="1227"/>
      <c r="AG515" s="1227"/>
      <c r="AH515" s="1227"/>
      <c r="AN515" s="1265"/>
      <c r="BM515" s="1213"/>
      <c r="BN515" s="1213"/>
      <c r="BO515" s="1213"/>
      <c r="BP515" s="1213"/>
      <c r="BQ515" s="1213"/>
      <c r="BR515" s="1213"/>
      <c r="BS515" s="1213"/>
      <c r="BT515" s="1213"/>
      <c r="BU515" s="1213"/>
      <c r="BV515" s="1213"/>
      <c r="BW515" s="1213"/>
      <c r="BX515" s="1213"/>
      <c r="BY515" s="1213"/>
      <c r="BZ515" s="1213"/>
      <c r="CA515" s="1213"/>
      <c r="CB515" s="1213"/>
      <c r="CC515" s="1213"/>
    </row>
    <row r="516" spans="1:81" s="1226" customFormat="1" ht="12.75" hidden="1" customHeight="1">
      <c r="A516" s="1339"/>
      <c r="B516" s="1226" t="s">
        <v>1751</v>
      </c>
      <c r="C516" s="1227"/>
      <c r="E516" s="1227"/>
      <c r="F516" s="1227"/>
      <c r="G516" s="1227"/>
      <c r="H516" s="1227"/>
      <c r="I516" s="1227"/>
      <c r="J516" s="1227"/>
      <c r="K516" s="1227"/>
      <c r="L516" s="1227"/>
      <c r="M516" s="1227"/>
      <c r="N516" s="1227"/>
      <c r="O516" s="1227"/>
      <c r="P516" s="1227"/>
      <c r="Q516" s="1227"/>
      <c r="R516" s="1227"/>
      <c r="S516" s="1227"/>
      <c r="T516" s="1227"/>
      <c r="U516" s="1227"/>
      <c r="V516" s="1227"/>
      <c r="W516" s="1227"/>
      <c r="X516" s="1227"/>
      <c r="Y516" s="1227"/>
      <c r="Z516" s="1227"/>
      <c r="AA516" s="1227"/>
      <c r="AB516" s="1227"/>
      <c r="AC516" s="1227"/>
      <c r="AD516" s="1278"/>
      <c r="AE516" s="1227"/>
      <c r="AF516" s="1227"/>
      <c r="AG516" s="1227"/>
      <c r="AH516" s="1227"/>
      <c r="AN516" s="1265"/>
      <c r="AP516" s="1463"/>
      <c r="AQ516" s="1463"/>
      <c r="AR516" s="1463"/>
      <c r="AS516" s="1463"/>
      <c r="AT516" s="1463"/>
      <c r="AU516" s="1463"/>
      <c r="AV516" s="1463"/>
      <c r="AW516" s="1463"/>
      <c r="AX516" s="1463"/>
      <c r="AY516" s="1463"/>
      <c r="BM516" s="1213"/>
      <c r="BN516" s="1213"/>
      <c r="BO516" s="1213"/>
      <c r="BP516" s="1213"/>
      <c r="BQ516" s="1213"/>
      <c r="BR516" s="1213"/>
      <c r="BS516" s="1213"/>
      <c r="BT516" s="1213"/>
      <c r="BU516" s="1213"/>
      <c r="BV516" s="1213"/>
      <c r="BW516" s="1213"/>
      <c r="BX516" s="1213"/>
      <c r="BY516" s="1213"/>
      <c r="BZ516" s="1213"/>
      <c r="CA516" s="1213"/>
      <c r="CB516" s="1213"/>
      <c r="CC516" s="1213"/>
    </row>
    <row r="517" spans="1:81" s="1226" customFormat="1" ht="12.75" hidden="1" customHeight="1">
      <c r="A517" s="1339"/>
      <c r="B517" s="1226" t="s">
        <v>1752</v>
      </c>
      <c r="C517" s="1227"/>
      <c r="E517" s="1227"/>
      <c r="F517" s="1227"/>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27"/>
      <c r="AD517" s="1278"/>
      <c r="AE517" s="1227"/>
      <c r="AF517" s="1227"/>
      <c r="AG517" s="1227"/>
      <c r="AH517" s="1227"/>
      <c r="AN517" s="1265"/>
      <c r="AP517" s="1478"/>
      <c r="AQ517" s="1478"/>
      <c r="AR517" s="1478"/>
      <c r="AS517" s="1478"/>
      <c r="AT517" s="1478"/>
      <c r="AU517" s="1478"/>
      <c r="AV517" s="1478"/>
      <c r="AW517" s="1478"/>
      <c r="AX517" s="1478"/>
      <c r="AY517" s="1478"/>
      <c r="BM517" s="1213"/>
      <c r="BN517" s="1213"/>
      <c r="BO517" s="1213"/>
      <c r="BP517" s="1213"/>
      <c r="BQ517" s="1213"/>
      <c r="BR517" s="1213"/>
      <c r="BS517" s="1213"/>
      <c r="BT517" s="1213"/>
      <c r="BU517" s="1213"/>
      <c r="BV517" s="1213"/>
      <c r="BW517" s="1213"/>
      <c r="BX517" s="1213"/>
      <c r="BY517" s="1213"/>
      <c r="BZ517" s="1213"/>
      <c r="CA517" s="1213"/>
      <c r="CB517" s="1213"/>
      <c r="CC517" s="1213"/>
    </row>
    <row r="518" spans="1:81" s="1226" customFormat="1" ht="12.75" hidden="1" customHeight="1">
      <c r="A518" s="1339"/>
      <c r="B518" s="1226" t="s">
        <v>2727</v>
      </c>
      <c r="C518" s="1227"/>
      <c r="E518" s="1227"/>
      <c r="F518" s="1227"/>
      <c r="G518" s="1227"/>
      <c r="H518" s="1227"/>
      <c r="I518" s="1227"/>
      <c r="J518" s="1227"/>
      <c r="K518" s="1227"/>
      <c r="L518" s="1227"/>
      <c r="M518" s="1227"/>
      <c r="N518" s="1227"/>
      <c r="O518" s="1227"/>
      <c r="P518" s="1227"/>
      <c r="Q518" s="1227"/>
      <c r="R518" s="1227"/>
      <c r="S518" s="1227"/>
      <c r="T518" s="1227"/>
      <c r="U518" s="1227"/>
      <c r="V518" s="1227"/>
      <c r="W518" s="1227"/>
      <c r="X518" s="1227"/>
      <c r="Y518" s="1227"/>
      <c r="Z518" s="1227"/>
      <c r="AA518" s="1227"/>
      <c r="AB518" s="1227"/>
      <c r="AC518" s="1227"/>
      <c r="AD518" s="1278"/>
      <c r="AE518" s="1227"/>
      <c r="AF518" s="1227"/>
      <c r="AG518" s="1227"/>
      <c r="AH518" s="1227"/>
      <c r="AN518" s="1265"/>
      <c r="AP518" s="1478"/>
      <c r="AQ518" s="1478"/>
      <c r="AR518" s="1478"/>
      <c r="AS518" s="1478"/>
      <c r="AT518" s="1478"/>
      <c r="AU518" s="1478"/>
      <c r="AV518" s="1478"/>
      <c r="AW518" s="1478"/>
      <c r="AX518" s="1478"/>
      <c r="AY518" s="1478"/>
      <c r="BM518" s="1213"/>
      <c r="BN518" s="1213"/>
      <c r="BO518" s="1213"/>
      <c r="BP518" s="1213"/>
      <c r="BQ518" s="1213"/>
      <c r="BR518" s="1213"/>
      <c r="BS518" s="1213"/>
      <c r="BT518" s="1213"/>
      <c r="BU518" s="1213"/>
      <c r="BV518" s="1213"/>
      <c r="BW518" s="1213"/>
      <c r="BX518" s="1213"/>
      <c r="BY518" s="1213"/>
      <c r="BZ518" s="1213"/>
      <c r="CA518" s="1213"/>
      <c r="CB518" s="1213"/>
      <c r="CC518" s="1213"/>
    </row>
    <row r="519" spans="1:81" s="1226" customFormat="1" ht="12.75" hidden="1" customHeight="1">
      <c r="A519" s="1339"/>
      <c r="B519" s="1226" t="s">
        <v>1753</v>
      </c>
      <c r="C519" s="1227"/>
      <c r="E519" s="1227"/>
      <c r="F519" s="1227"/>
      <c r="G519" s="1227"/>
      <c r="H519" s="1227"/>
      <c r="I519" s="1227"/>
      <c r="J519" s="1227"/>
      <c r="K519" s="1227"/>
      <c r="L519" s="1227"/>
      <c r="M519" s="1227"/>
      <c r="N519" s="1227"/>
      <c r="O519" s="1227"/>
      <c r="P519" s="1227"/>
      <c r="Q519" s="1227"/>
      <c r="R519" s="1227"/>
      <c r="S519" s="1227"/>
      <c r="T519" s="1227"/>
      <c r="U519" s="1227"/>
      <c r="V519" s="1227"/>
      <c r="W519" s="1227"/>
      <c r="X519" s="1227"/>
      <c r="Y519" s="1227"/>
      <c r="Z519" s="1227"/>
      <c r="AA519" s="1227"/>
      <c r="AB519" s="1227"/>
      <c r="AC519" s="1227"/>
      <c r="AD519" s="1278"/>
      <c r="AE519" s="1227"/>
      <c r="AF519" s="1227"/>
      <c r="AG519" s="1227"/>
      <c r="AH519" s="1227"/>
      <c r="AN519" s="1265"/>
      <c r="AP519" s="1478"/>
      <c r="AQ519" s="1478"/>
      <c r="AR519" s="1478"/>
      <c r="AS519" s="1478"/>
      <c r="AT519" s="1478"/>
      <c r="AU519" s="1478"/>
      <c r="AV519" s="1478"/>
      <c r="AW519" s="1478"/>
      <c r="AX519" s="1478"/>
      <c r="AY519" s="1478"/>
      <c r="BM519" s="1213"/>
      <c r="BN519" s="1213"/>
      <c r="BO519" s="1213"/>
      <c r="BP519" s="1213"/>
      <c r="BQ519" s="1213"/>
      <c r="BR519" s="1213"/>
      <c r="BS519" s="1213"/>
      <c r="BT519" s="1213"/>
      <c r="BU519" s="1213"/>
      <c r="BV519" s="1213"/>
      <c r="BW519" s="1213"/>
      <c r="BX519" s="1213"/>
      <c r="BY519" s="1213"/>
      <c r="BZ519" s="1213"/>
      <c r="CA519" s="1213"/>
      <c r="CB519" s="1213"/>
      <c r="CC519" s="1213"/>
    </row>
    <row r="520" spans="1:81" s="1226" customFormat="1" ht="12.75" hidden="1" customHeight="1">
      <c r="A520" s="1339"/>
      <c r="B520" s="1226" t="s">
        <v>2728</v>
      </c>
      <c r="C520" s="1227"/>
      <c r="E520" s="1227"/>
      <c r="F520" s="1227"/>
      <c r="G520" s="1227"/>
      <c r="H520" s="1227"/>
      <c r="I520" s="1227"/>
      <c r="J520" s="1227"/>
      <c r="K520" s="1227"/>
      <c r="L520" s="1227"/>
      <c r="M520" s="1227"/>
      <c r="N520" s="1227"/>
      <c r="O520" s="1227"/>
      <c r="P520" s="1227"/>
      <c r="Q520" s="1227"/>
      <c r="R520" s="1227"/>
      <c r="S520" s="1227"/>
      <c r="T520" s="1227"/>
      <c r="U520" s="1227"/>
      <c r="V520" s="1227"/>
      <c r="W520" s="1227"/>
      <c r="X520" s="1227"/>
      <c r="Y520" s="1227"/>
      <c r="Z520" s="1227"/>
      <c r="AA520" s="1227"/>
      <c r="AB520" s="1227"/>
      <c r="AC520" s="1227"/>
      <c r="AD520" s="1278"/>
      <c r="AE520" s="1227"/>
      <c r="AF520" s="1227"/>
      <c r="AG520" s="1227"/>
      <c r="AH520" s="1227"/>
      <c r="AN520" s="1265"/>
      <c r="AP520" s="1478"/>
      <c r="AQ520" s="1478"/>
      <c r="AR520" s="1478"/>
      <c r="AS520" s="1478"/>
      <c r="AT520" s="1478"/>
      <c r="AU520" s="1478"/>
      <c r="AV520" s="1478"/>
      <c r="AW520" s="1478"/>
      <c r="AX520" s="1478"/>
      <c r="AY520" s="1478"/>
      <c r="BM520" s="1213"/>
      <c r="BN520" s="1213"/>
      <c r="BO520" s="1213"/>
      <c r="BP520" s="1213"/>
      <c r="BQ520" s="1213"/>
      <c r="BR520" s="1213"/>
      <c r="BS520" s="1213"/>
      <c r="BT520" s="1213"/>
      <c r="BU520" s="1213"/>
      <c r="BV520" s="1213"/>
      <c r="BW520" s="1213"/>
      <c r="BX520" s="1213"/>
      <c r="BY520" s="1213"/>
      <c r="BZ520" s="1213"/>
      <c r="CA520" s="1213"/>
      <c r="CB520" s="1213"/>
      <c r="CC520" s="1213"/>
    </row>
    <row r="521" spans="1:81" s="1226" customFormat="1" ht="12.75" hidden="1" customHeight="1">
      <c r="A521" s="1339"/>
      <c r="B521" s="1226" t="s">
        <v>1754</v>
      </c>
      <c r="C521" s="1227"/>
      <c r="E521" s="1227"/>
      <c r="F521" s="1227"/>
      <c r="G521" s="1227"/>
      <c r="H521" s="1227"/>
      <c r="I521" s="1227"/>
      <c r="J521" s="1227"/>
      <c r="K521" s="1227"/>
      <c r="L521" s="1227"/>
      <c r="M521" s="1227"/>
      <c r="N521" s="1227"/>
      <c r="O521" s="1227"/>
      <c r="P521" s="1227"/>
      <c r="Q521" s="1227"/>
      <c r="R521" s="1227"/>
      <c r="S521" s="1227"/>
      <c r="T521" s="1227"/>
      <c r="U521" s="1227"/>
      <c r="V521" s="1227"/>
      <c r="W521" s="1227"/>
      <c r="X521" s="1227"/>
      <c r="Y521" s="1227"/>
      <c r="Z521" s="1227"/>
      <c r="AA521" s="1227"/>
      <c r="AB521" s="1227"/>
      <c r="AC521" s="1227"/>
      <c r="AD521" s="1278"/>
      <c r="AE521" s="1227"/>
      <c r="AF521" s="1227"/>
      <c r="AG521" s="1227"/>
      <c r="AH521" s="1227"/>
      <c r="AN521" s="1265"/>
      <c r="AP521" s="1478"/>
      <c r="AQ521" s="1478"/>
      <c r="AR521" s="1478"/>
      <c r="AS521" s="1478"/>
      <c r="AT521" s="1478"/>
      <c r="AU521" s="1478"/>
      <c r="AV521" s="1478"/>
      <c r="AW521" s="1478"/>
      <c r="AX521" s="1478"/>
      <c r="AY521" s="1478"/>
      <c r="BM521" s="1213"/>
      <c r="BN521" s="1213"/>
      <c r="BO521" s="1213"/>
      <c r="BP521" s="1213"/>
      <c r="BQ521" s="1213"/>
      <c r="BR521" s="1213"/>
      <c r="BS521" s="1213"/>
      <c r="BT521" s="1213"/>
      <c r="BU521" s="1213"/>
      <c r="BV521" s="1213"/>
      <c r="BW521" s="1213"/>
      <c r="BX521" s="1213"/>
      <c r="BY521" s="1213"/>
      <c r="BZ521" s="1213"/>
      <c r="CA521" s="1213"/>
      <c r="CB521" s="1213"/>
      <c r="CC521" s="1213"/>
    </row>
    <row r="522" spans="1:81" s="1226" customFormat="1" ht="12.75" hidden="1" customHeight="1">
      <c r="A522" s="1339"/>
      <c r="B522" s="1226" t="s">
        <v>1755</v>
      </c>
      <c r="C522" s="1227"/>
      <c r="E522" s="1227"/>
      <c r="F522" s="1227"/>
      <c r="G522" s="1227"/>
      <c r="H522" s="1227"/>
      <c r="I522" s="1227"/>
      <c r="J522" s="1227"/>
      <c r="K522" s="1227"/>
      <c r="L522" s="1227"/>
      <c r="M522" s="1227"/>
      <c r="N522" s="1227"/>
      <c r="O522" s="1227"/>
      <c r="P522" s="1227"/>
      <c r="Q522" s="1227"/>
      <c r="R522" s="1227"/>
      <c r="S522" s="1227"/>
      <c r="T522" s="1227"/>
      <c r="U522" s="1227"/>
      <c r="V522" s="1227"/>
      <c r="W522" s="1227"/>
      <c r="X522" s="1227"/>
      <c r="Y522" s="1227"/>
      <c r="Z522" s="1227"/>
      <c r="AA522" s="1227"/>
      <c r="AB522" s="1227"/>
      <c r="AC522" s="1227"/>
      <c r="AD522" s="1278"/>
      <c r="AE522" s="1227"/>
      <c r="AF522" s="1227"/>
      <c r="AG522" s="1227"/>
      <c r="AH522" s="1227"/>
      <c r="AN522" s="1265"/>
    </row>
    <row r="523" spans="1:81" s="1226" customFormat="1" ht="12.75" hidden="1" customHeight="1">
      <c r="A523" s="1479"/>
      <c r="C523" s="1227"/>
      <c r="E523" s="1227"/>
      <c r="F523" s="1227"/>
      <c r="G523" s="1227"/>
      <c r="H523" s="1227"/>
      <c r="I523" s="1227"/>
      <c r="J523" s="1227"/>
      <c r="K523" s="1227"/>
      <c r="L523" s="1227"/>
      <c r="M523" s="1227"/>
      <c r="N523" s="1227"/>
      <c r="O523" s="1227"/>
      <c r="P523" s="1227"/>
      <c r="Q523" s="1227"/>
      <c r="R523" s="1227"/>
      <c r="S523" s="1227"/>
      <c r="T523" s="1227"/>
      <c r="U523" s="1227"/>
      <c r="V523" s="1227"/>
      <c r="W523" s="1227"/>
      <c r="X523" s="1227"/>
      <c r="Y523" s="1227"/>
      <c r="Z523" s="1227"/>
      <c r="AA523" s="1227"/>
      <c r="AB523" s="1227"/>
      <c r="AC523" s="1227"/>
      <c r="AD523" s="1278"/>
      <c r="AE523" s="1227"/>
      <c r="AF523" s="1227"/>
      <c r="AG523" s="1227"/>
      <c r="AH523" s="1227"/>
      <c r="AN523" s="1265"/>
    </row>
    <row r="524" spans="1:81" s="1226" customFormat="1" ht="12.75" hidden="1" customHeight="1">
      <c r="A524" s="1269"/>
      <c r="B524" s="1366"/>
      <c r="C524" s="1366"/>
      <c r="D524" s="1366"/>
      <c r="E524" s="1366"/>
      <c r="F524" s="1366"/>
      <c r="G524" s="1366"/>
      <c r="H524" s="1366"/>
      <c r="I524" s="1366"/>
      <c r="J524" s="1366"/>
      <c r="K524" s="1366"/>
      <c r="L524" s="1366"/>
      <c r="M524" s="1366"/>
      <c r="N524" s="1366"/>
      <c r="O524" s="1366"/>
      <c r="P524" s="1366"/>
      <c r="Q524" s="1366"/>
      <c r="R524" s="1366"/>
      <c r="S524" s="1366"/>
      <c r="T524" s="1366"/>
      <c r="U524" s="1366"/>
      <c r="V524" s="1366"/>
      <c r="W524" s="1366"/>
      <c r="X524" s="1366"/>
      <c r="Y524" s="1366"/>
      <c r="Z524" s="1366"/>
      <c r="AA524" s="1366"/>
      <c r="AB524" s="1366"/>
      <c r="AC524" s="1367"/>
      <c r="AD524" s="1366"/>
      <c r="AE524" s="1366"/>
      <c r="AF524" s="1366"/>
      <c r="AG524" s="1366"/>
      <c r="AH524" s="1232"/>
      <c r="AI524" s="1233"/>
      <c r="AJ524" s="1233" t="s">
        <v>1756</v>
      </c>
      <c r="AK524" s="2454">
        <f>SUM(AG468:AG513)</f>
        <v>0</v>
      </c>
      <c r="AL524" s="2455"/>
      <c r="AM524" s="2456"/>
      <c r="AN524" s="1265"/>
      <c r="AP524" s="1213"/>
      <c r="AQ524" s="1213"/>
      <c r="AR524" s="1213"/>
      <c r="AS524" s="1213"/>
      <c r="AT524" s="1213"/>
      <c r="AU524" s="1213"/>
      <c r="AV524" s="1213"/>
      <c r="AW524" s="1213"/>
      <c r="AX524" s="1213"/>
      <c r="AY524" s="1213"/>
      <c r="AZ524" s="1213"/>
    </row>
    <row r="525" spans="1:81" s="1226" customFormat="1" ht="12.75" hidden="1" customHeight="1" thickBot="1">
      <c r="B525" s="1227"/>
      <c r="C525" s="1227"/>
      <c r="D525" s="1227"/>
      <c r="E525" s="1227"/>
      <c r="F525" s="1227"/>
      <c r="G525" s="1227"/>
      <c r="H525" s="1227"/>
      <c r="I525" s="1227"/>
      <c r="J525" s="1227"/>
      <c r="K525" s="1227"/>
      <c r="L525" s="1227"/>
      <c r="M525" s="1227"/>
      <c r="N525" s="1227"/>
      <c r="O525" s="1227"/>
      <c r="P525" s="1227"/>
      <c r="Q525" s="1227"/>
      <c r="R525" s="1227"/>
      <c r="S525" s="1227"/>
      <c r="T525" s="1227"/>
      <c r="U525" s="1227"/>
      <c r="V525" s="1227"/>
      <c r="W525" s="1227"/>
      <c r="X525" s="1227"/>
      <c r="Y525" s="1227"/>
      <c r="Z525" s="1227"/>
      <c r="AA525" s="1227"/>
      <c r="AB525" s="1227"/>
      <c r="AC525" s="1278"/>
      <c r="AD525" s="1227"/>
      <c r="AE525" s="1227"/>
      <c r="AF525" s="1227"/>
      <c r="AG525" s="1227"/>
      <c r="AI525" s="1563"/>
      <c r="AJ525" s="1563"/>
      <c r="AK525" s="1566"/>
      <c r="AL525" s="1566"/>
      <c r="AM525" s="1566"/>
      <c r="AN525" s="1265"/>
      <c r="AP525" s="1213"/>
      <c r="AQ525" s="1213"/>
      <c r="AR525" s="1213"/>
      <c r="AS525" s="1213"/>
      <c r="AT525" s="1213"/>
      <c r="AU525" s="1213"/>
      <c r="AV525" s="1213"/>
      <c r="AW525" s="1213"/>
      <c r="AX525" s="1213"/>
      <c r="AY525" s="1213"/>
      <c r="AZ525" s="1213"/>
    </row>
    <row r="526" spans="1:81" ht="13.8" thickTop="1"/>
    <row r="527" spans="1:81" s="1226" customFormat="1" ht="12.75" customHeight="1">
      <c r="A527" s="1575" t="s">
        <v>1757</v>
      </c>
      <c r="B527" s="1575" t="s">
        <v>1758</v>
      </c>
      <c r="C527" s="1227"/>
      <c r="D527" s="1227"/>
      <c r="E527" s="1227"/>
      <c r="F527" s="1227"/>
      <c r="G527" s="1227"/>
      <c r="H527" s="1227"/>
      <c r="I527" s="1227"/>
      <c r="J527" s="1227"/>
      <c r="K527" s="1227"/>
      <c r="L527" s="1227"/>
      <c r="M527" s="1227"/>
      <c r="N527" s="1227"/>
      <c r="O527" s="1227"/>
      <c r="P527" s="1227"/>
      <c r="Q527" s="1227"/>
      <c r="R527" s="1227"/>
      <c r="S527" s="1227"/>
      <c r="T527" s="1227"/>
      <c r="U527" s="1227"/>
      <c r="V527" s="1227"/>
      <c r="W527" s="1227"/>
      <c r="X527" s="1227"/>
      <c r="Y527" s="1227"/>
      <c r="Z527" s="1227"/>
      <c r="AA527" s="1227"/>
      <c r="AB527" s="1227"/>
      <c r="AC527" s="1278"/>
      <c r="AD527" s="1227"/>
      <c r="AE527" s="2490" t="s">
        <v>1759</v>
      </c>
      <c r="AF527" s="2490"/>
      <c r="AG527" s="2490"/>
      <c r="AH527" s="2490"/>
      <c r="AI527" s="2490"/>
      <c r="AJ527" s="2490"/>
      <c r="AK527" s="2490"/>
      <c r="AL527" s="1566"/>
      <c r="AM527" s="1566"/>
      <c r="AN527" s="1265"/>
    </row>
    <row r="528" spans="1:81" s="1226" customFormat="1" ht="12.75" customHeight="1">
      <c r="A528" s="1575"/>
      <c r="B528" s="1575" t="s">
        <v>1514</v>
      </c>
      <c r="C528" s="1227"/>
      <c r="D528" s="1227"/>
      <c r="E528" s="1227"/>
      <c r="F528" s="1227"/>
      <c r="G528" s="1227"/>
      <c r="H528" s="1227"/>
      <c r="I528" s="1227"/>
      <c r="J528" s="1227"/>
      <c r="K528" s="1227"/>
      <c r="L528" s="1227"/>
      <c r="M528" s="1227"/>
      <c r="N528" s="1227"/>
      <c r="O528" s="1227"/>
      <c r="P528" s="1227"/>
      <c r="Q528" s="1227"/>
      <c r="R528" s="1227"/>
      <c r="S528" s="1227"/>
      <c r="T528" s="1227"/>
      <c r="U528" s="1227"/>
      <c r="V528" s="1227"/>
      <c r="W528" s="1227"/>
      <c r="X528" s="1227"/>
      <c r="Y528" s="1227"/>
      <c r="Z528" s="1227"/>
      <c r="AA528" s="1227"/>
      <c r="AB528" s="1227"/>
      <c r="AC528" s="1278"/>
      <c r="AD528" s="1227"/>
      <c r="AE528" s="1563"/>
      <c r="AF528" s="1563"/>
      <c r="AG528" s="1563"/>
      <c r="AH528" s="1563"/>
      <c r="AI528" s="1563"/>
      <c r="AJ528" s="1563"/>
      <c r="AK528" s="1563"/>
      <c r="AL528" s="1566"/>
      <c r="AM528" s="1566"/>
      <c r="AN528" s="1265"/>
    </row>
    <row r="529" spans="1:49" s="1226" customFormat="1" ht="12.75" customHeight="1">
      <c r="A529" s="1575"/>
      <c r="B529" s="1575"/>
      <c r="C529" s="1227"/>
      <c r="D529" s="1227"/>
      <c r="E529" s="1227"/>
      <c r="F529" s="1227"/>
      <c r="G529" s="1227"/>
      <c r="H529" s="1227"/>
      <c r="I529" s="1227"/>
      <c r="J529" s="1227"/>
      <c r="K529" s="1227"/>
      <c r="L529" s="1227"/>
      <c r="M529" s="1227"/>
      <c r="N529" s="1227"/>
      <c r="O529" s="1227"/>
      <c r="P529" s="1227"/>
      <c r="Q529" s="1227"/>
      <c r="R529" s="1227"/>
      <c r="S529" s="1227"/>
      <c r="T529" s="1227"/>
      <c r="U529" s="1227"/>
      <c r="V529" s="1227"/>
      <c r="W529" s="1227"/>
      <c r="X529" s="1227"/>
      <c r="Y529" s="1227"/>
      <c r="Z529" s="1227"/>
      <c r="AA529" s="1227"/>
      <c r="AB529" s="1227"/>
      <c r="AC529" s="1278"/>
      <c r="AD529" s="1227"/>
      <c r="AE529" s="1563"/>
      <c r="AF529" s="1563"/>
      <c r="AG529" s="1563"/>
      <c r="AH529" s="1563"/>
      <c r="AI529" s="1563"/>
      <c r="AJ529" s="1563"/>
      <c r="AK529" s="1563"/>
      <c r="AL529" s="1566"/>
      <c r="AM529" s="1566"/>
      <c r="AN529" s="1265"/>
    </row>
    <row r="530" spans="1:49" s="1226" customFormat="1" ht="12.75" customHeight="1">
      <c r="A530" s="1575"/>
      <c r="B530" s="1575"/>
      <c r="C530" s="2481" t="s">
        <v>568</v>
      </c>
      <c r="D530" s="2481"/>
      <c r="E530" s="1227"/>
      <c r="F530" s="2514" t="s">
        <v>1760</v>
      </c>
      <c r="G530" s="2515"/>
      <c r="H530" s="2515"/>
      <c r="I530" s="2515"/>
      <c r="J530" s="2515"/>
      <c r="K530" s="2515"/>
      <c r="L530" s="2515"/>
      <c r="M530" s="2515"/>
      <c r="N530" s="2515"/>
      <c r="O530" s="2515"/>
      <c r="P530" s="2515"/>
      <c r="Q530" s="2515"/>
      <c r="R530" s="2515"/>
      <c r="S530" s="2515"/>
      <c r="T530" s="2515"/>
      <c r="U530" s="2515"/>
      <c r="V530" s="2515"/>
      <c r="W530" s="2515"/>
      <c r="X530" s="2515"/>
      <c r="Y530" s="2515"/>
      <c r="Z530" s="2515"/>
      <c r="AA530" s="2515"/>
      <c r="AB530" s="2515"/>
      <c r="AC530" s="2515"/>
      <c r="AD530" s="2515"/>
      <c r="AE530" s="2515"/>
      <c r="AF530" s="2515"/>
      <c r="AG530" s="2515"/>
      <c r="AH530" s="2515"/>
      <c r="AI530" s="2515"/>
      <c r="AJ530" s="2515"/>
      <c r="AK530" s="2515"/>
      <c r="AL530" s="2516"/>
      <c r="AM530" s="1566"/>
      <c r="AN530" s="1265"/>
    </row>
    <row r="531" spans="1:49" s="1226" customFormat="1" ht="12.75" customHeight="1">
      <c r="A531" s="1575"/>
      <c r="B531" s="1575"/>
      <c r="C531" s="1227"/>
      <c r="D531" s="1227"/>
      <c r="E531" s="1227"/>
      <c r="F531" s="2517"/>
      <c r="G531" s="2518"/>
      <c r="H531" s="2518"/>
      <c r="I531" s="2518"/>
      <c r="J531" s="2518"/>
      <c r="K531" s="2518"/>
      <c r="L531" s="2518"/>
      <c r="M531" s="2518"/>
      <c r="N531" s="2518"/>
      <c r="O531" s="2518"/>
      <c r="P531" s="2518"/>
      <c r="Q531" s="2518"/>
      <c r="R531" s="2518"/>
      <c r="S531" s="2518"/>
      <c r="T531" s="2518"/>
      <c r="U531" s="2518"/>
      <c r="V531" s="2518"/>
      <c r="W531" s="2518"/>
      <c r="X531" s="2518"/>
      <c r="Y531" s="2518"/>
      <c r="Z531" s="2518"/>
      <c r="AA531" s="2518"/>
      <c r="AB531" s="2518"/>
      <c r="AC531" s="2518"/>
      <c r="AD531" s="2518"/>
      <c r="AE531" s="2518"/>
      <c r="AF531" s="2518"/>
      <c r="AG531" s="2518"/>
      <c r="AH531" s="2518"/>
      <c r="AI531" s="2518"/>
      <c r="AJ531" s="2518"/>
      <c r="AK531" s="2518"/>
      <c r="AL531" s="2519"/>
      <c r="AM531" s="1566"/>
      <c r="AN531" s="1265"/>
    </row>
    <row r="532" spans="1:49" s="1226" customFormat="1" ht="12.75" customHeight="1">
      <c r="A532" s="1575"/>
      <c r="B532" s="1575"/>
      <c r="C532" s="1227"/>
      <c r="D532" s="1227"/>
      <c r="E532" s="1227"/>
      <c r="F532" s="1619"/>
      <c r="G532" s="1619"/>
      <c r="H532" s="1619"/>
      <c r="I532" s="1619"/>
      <c r="J532" s="1619"/>
      <c r="K532" s="1619"/>
      <c r="L532" s="1619"/>
      <c r="M532" s="1619"/>
      <c r="N532" s="1619"/>
      <c r="O532" s="1619"/>
      <c r="P532" s="1619"/>
      <c r="Q532" s="1619"/>
      <c r="R532" s="1619"/>
      <c r="S532" s="1619"/>
      <c r="T532" s="1619"/>
      <c r="U532" s="1619"/>
      <c r="V532" s="1619"/>
      <c r="W532" s="1619"/>
      <c r="X532" s="1619"/>
      <c r="Y532" s="1619"/>
      <c r="Z532" s="1619"/>
      <c r="AA532" s="1619"/>
      <c r="AB532" s="1619"/>
      <c r="AC532" s="1619"/>
      <c r="AD532" s="1619"/>
      <c r="AE532" s="1619"/>
      <c r="AF532" s="1619"/>
      <c r="AG532" s="1619"/>
      <c r="AH532" s="1619"/>
      <c r="AI532" s="1619"/>
      <c r="AJ532" s="1619"/>
      <c r="AK532" s="1619"/>
      <c r="AL532" s="1619"/>
      <c r="AM532" s="1566"/>
      <c r="AN532" s="1265"/>
    </row>
    <row r="533" spans="1:49" s="1226" customFormat="1" ht="12.75" customHeight="1">
      <c r="A533" s="1575"/>
      <c r="B533" s="1620"/>
      <c r="C533" s="2481" t="s">
        <v>615</v>
      </c>
      <c r="D533" s="2481"/>
      <c r="E533" s="1620"/>
      <c r="F533" s="1347" t="s">
        <v>1761</v>
      </c>
      <c r="G533" s="1480"/>
      <c r="H533" s="1621"/>
      <c r="I533" s="1621"/>
      <c r="J533" s="1621"/>
      <c r="K533" s="1621"/>
      <c r="L533" s="1621"/>
      <c r="M533" s="1621"/>
      <c r="N533" s="1621"/>
      <c r="O533" s="1621"/>
      <c r="P533" s="1621"/>
      <c r="Q533" s="1621"/>
      <c r="R533" s="1621"/>
      <c r="S533" s="1621"/>
      <c r="T533" s="1621"/>
      <c r="U533" s="1621"/>
      <c r="V533" s="1621"/>
      <c r="W533" s="1621"/>
      <c r="X533" s="1621"/>
      <c r="Y533" s="1621"/>
      <c r="Z533" s="1621"/>
      <c r="AA533" s="1621"/>
      <c r="AB533" s="1621"/>
      <c r="AC533" s="1621"/>
      <c r="AD533" s="1621"/>
      <c r="AE533" s="1621"/>
      <c r="AF533" s="1621"/>
      <c r="AG533" s="1621"/>
      <c r="AH533" s="1621"/>
      <c r="AI533" s="1621"/>
      <c r="AJ533" s="1621"/>
      <c r="AK533" s="1481"/>
      <c r="AL533" s="1482"/>
      <c r="AM533" s="1566"/>
      <c r="AN533" s="1265"/>
    </row>
    <row r="534" spans="1:49" s="1226" customFormat="1" ht="12.75" customHeight="1">
      <c r="B534" s="1620"/>
      <c r="C534" s="1620"/>
      <c r="D534" s="1620"/>
      <c r="E534" s="1620"/>
      <c r="F534" s="2504" t="s">
        <v>1762</v>
      </c>
      <c r="G534" s="2474"/>
      <c r="H534" s="2474"/>
      <c r="I534" s="2474"/>
      <c r="J534" s="2474"/>
      <c r="K534" s="2474"/>
      <c r="L534" s="2474"/>
      <c r="M534" s="2474"/>
      <c r="N534" s="2474"/>
      <c r="O534" s="2474"/>
      <c r="P534" s="2474"/>
      <c r="Q534" s="2474"/>
      <c r="R534" s="2474"/>
      <c r="S534" s="2474"/>
      <c r="T534" s="2474"/>
      <c r="U534" s="2474"/>
      <c r="V534" s="2474"/>
      <c r="W534" s="2474"/>
      <c r="X534" s="2474"/>
      <c r="Y534" s="2474"/>
      <c r="Z534" s="2474"/>
      <c r="AA534" s="2474"/>
      <c r="AB534" s="2474"/>
      <c r="AC534" s="2474"/>
      <c r="AD534" s="2474"/>
      <c r="AE534" s="2474"/>
      <c r="AF534" s="2474"/>
      <c r="AG534" s="2474"/>
      <c r="AH534" s="2474"/>
      <c r="AI534" s="2474"/>
      <c r="AJ534" s="2474"/>
      <c r="AK534" s="2474"/>
      <c r="AL534" s="2505"/>
      <c r="AM534" s="1566"/>
      <c r="AN534" s="1265"/>
      <c r="AS534" s="1483"/>
      <c r="AT534" s="1483"/>
      <c r="AU534" s="1483"/>
      <c r="AV534" s="1483"/>
      <c r="AW534" s="1483"/>
    </row>
    <row r="535" spans="1:49" s="1226" customFormat="1" ht="12.75" customHeight="1">
      <c r="B535" s="1620"/>
      <c r="C535" s="1620"/>
      <c r="D535" s="1620"/>
      <c r="E535" s="1620"/>
      <c r="F535" s="2504"/>
      <c r="G535" s="2474"/>
      <c r="H535" s="2474"/>
      <c r="I535" s="2474"/>
      <c r="J535" s="2474"/>
      <c r="K535" s="2474"/>
      <c r="L535" s="2474"/>
      <c r="M535" s="2474"/>
      <c r="N535" s="2474"/>
      <c r="O535" s="2474"/>
      <c r="P535" s="2474"/>
      <c r="Q535" s="2474"/>
      <c r="R535" s="2474"/>
      <c r="S535" s="2474"/>
      <c r="T535" s="2474"/>
      <c r="U535" s="2474"/>
      <c r="V535" s="2474"/>
      <c r="W535" s="2474"/>
      <c r="X535" s="2474"/>
      <c r="Y535" s="2474"/>
      <c r="Z535" s="2474"/>
      <c r="AA535" s="2474"/>
      <c r="AB535" s="2474"/>
      <c r="AC535" s="2474"/>
      <c r="AD535" s="2474"/>
      <c r="AE535" s="2474"/>
      <c r="AF535" s="2474"/>
      <c r="AG535" s="2474"/>
      <c r="AH535" s="2474"/>
      <c r="AI535" s="2474"/>
      <c r="AJ535" s="2474"/>
      <c r="AK535" s="2474"/>
      <c r="AL535" s="2505"/>
      <c r="AM535" s="1566"/>
      <c r="AN535" s="1265"/>
    </row>
    <row r="536" spans="1:49" s="1226" customFormat="1" ht="12.75" customHeight="1">
      <c r="B536" s="1620"/>
      <c r="C536" s="1620"/>
      <c r="D536" s="1620"/>
      <c r="E536" s="1620"/>
      <c r="F536" s="1484" t="s">
        <v>2729</v>
      </c>
      <c r="G536" s="1278"/>
      <c r="H536" s="1278"/>
      <c r="I536" s="1278"/>
      <c r="J536" s="1278"/>
      <c r="K536" s="1278"/>
      <c r="L536" s="1278"/>
      <c r="M536" s="1278"/>
      <c r="N536" s="1278"/>
      <c r="O536" s="1278"/>
      <c r="P536" s="1278"/>
      <c r="Q536" s="1278"/>
      <c r="R536" s="1278"/>
      <c r="S536" s="1278"/>
      <c r="T536" s="1278"/>
      <c r="U536" s="1278"/>
      <c r="V536" s="1278"/>
      <c r="W536" s="1278"/>
      <c r="X536" s="1278"/>
      <c r="Y536" s="1278"/>
      <c r="Z536" s="1278"/>
      <c r="AA536" s="1278"/>
      <c r="AB536" s="1278"/>
      <c r="AC536" s="1278"/>
      <c r="AD536" s="1278"/>
      <c r="AE536" s="1278"/>
      <c r="AF536" s="1278"/>
      <c r="AG536" s="1278"/>
      <c r="AH536" s="1278"/>
      <c r="AI536" s="1278"/>
      <c r="AJ536" s="1278"/>
      <c r="AK536" s="1278"/>
      <c r="AL536" s="1485"/>
      <c r="AM536" s="1566"/>
      <c r="AN536" s="1265"/>
    </row>
    <row r="537" spans="1:49" s="1226" customFormat="1" ht="12.75" customHeight="1">
      <c r="B537" s="1620"/>
      <c r="C537" s="1620"/>
      <c r="D537" s="1620"/>
      <c r="E537" s="1620"/>
      <c r="F537" s="2504" t="s">
        <v>1763</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2474"/>
      <c r="AH537" s="2474"/>
      <c r="AI537" s="2474"/>
      <c r="AJ537" s="2474"/>
      <c r="AK537" s="2474"/>
      <c r="AL537" s="1486"/>
      <c r="AM537" s="1566"/>
      <c r="AN537" s="1265"/>
    </row>
    <row r="538" spans="1:49" s="1226" customFormat="1" ht="12.75" customHeight="1">
      <c r="B538" s="1620"/>
      <c r="C538" s="1620"/>
      <c r="D538" s="1620"/>
      <c r="E538" s="1620"/>
      <c r="F538" s="2506"/>
      <c r="G538" s="2507"/>
      <c r="H538" s="2507"/>
      <c r="I538" s="2507"/>
      <c r="J538" s="2507"/>
      <c r="K538" s="2507"/>
      <c r="L538" s="2507"/>
      <c r="M538" s="2507"/>
      <c r="N538" s="2507"/>
      <c r="O538" s="2507"/>
      <c r="P538" s="2507"/>
      <c r="Q538" s="2507"/>
      <c r="R538" s="2507"/>
      <c r="S538" s="2507"/>
      <c r="T538" s="2507"/>
      <c r="U538" s="2507"/>
      <c r="V538" s="2507"/>
      <c r="W538" s="2507"/>
      <c r="X538" s="2507"/>
      <c r="Y538" s="2507"/>
      <c r="Z538" s="2507"/>
      <c r="AA538" s="2507"/>
      <c r="AB538" s="2507"/>
      <c r="AC538" s="2507"/>
      <c r="AD538" s="2507"/>
      <c r="AE538" s="2507"/>
      <c r="AF538" s="2507"/>
      <c r="AG538" s="2507"/>
      <c r="AH538" s="2507"/>
      <c r="AI538" s="2507"/>
      <c r="AJ538" s="2507"/>
      <c r="AK538" s="2507"/>
      <c r="AL538" s="1487"/>
      <c r="AM538" s="1566"/>
      <c r="AN538" s="1265"/>
    </row>
    <row r="539" spans="1:49" s="1226" customFormat="1" ht="12.75" customHeight="1">
      <c r="B539" s="1620"/>
      <c r="C539" s="1620"/>
      <c r="D539" s="1620"/>
      <c r="E539" s="1620"/>
      <c r="F539" s="1263"/>
      <c r="G539" s="1263"/>
      <c r="H539" s="1263"/>
      <c r="I539" s="1263"/>
      <c r="J539" s="1263"/>
      <c r="K539" s="1263"/>
      <c r="L539" s="1263"/>
      <c r="M539" s="1263"/>
      <c r="N539" s="1263"/>
      <c r="O539" s="1263"/>
      <c r="P539" s="1263"/>
      <c r="Q539" s="1263"/>
      <c r="R539" s="1263"/>
      <c r="S539" s="1263"/>
      <c r="T539" s="1263"/>
      <c r="U539" s="1263"/>
      <c r="V539" s="1263"/>
      <c r="W539" s="1263"/>
      <c r="X539" s="1263"/>
      <c r="Y539" s="1263"/>
      <c r="Z539" s="1263"/>
      <c r="AA539" s="1263"/>
      <c r="AB539" s="1263"/>
      <c r="AC539" s="1263"/>
      <c r="AD539" s="1263"/>
      <c r="AE539" s="1263"/>
      <c r="AF539" s="1263"/>
      <c r="AG539" s="1263"/>
      <c r="AH539" s="1263"/>
      <c r="AI539" s="1263"/>
      <c r="AJ539" s="1263"/>
      <c r="AK539" s="1263"/>
      <c r="AL539" s="1566"/>
      <c r="AM539" s="1566"/>
      <c r="AN539" s="1265"/>
      <c r="AP539" s="2503">
        <f>Application!AJ975</f>
        <v>55052158</v>
      </c>
      <c r="AQ539" s="2503"/>
      <c r="AR539" s="2503"/>
    </row>
    <row r="540" spans="1:49" s="1226" customFormat="1" ht="12.75" customHeight="1">
      <c r="A540" s="1290"/>
      <c r="B540" s="1220" t="s">
        <v>1764</v>
      </c>
      <c r="C540" s="1289"/>
      <c r="D540" s="1289"/>
      <c r="E540" s="1289"/>
      <c r="F540" s="1211"/>
      <c r="G540" s="1612"/>
      <c r="H540" s="1612"/>
      <c r="I540" s="1612"/>
      <c r="J540" s="1612"/>
      <c r="K540" s="1612"/>
      <c r="L540" s="1612"/>
      <c r="M540" s="1612"/>
      <c r="N540" s="1612"/>
      <c r="O540" s="1612"/>
      <c r="P540" s="1612"/>
      <c r="Q540" s="1612"/>
      <c r="R540" s="1211"/>
      <c r="S540" s="1211"/>
      <c r="T540" s="1211"/>
      <c r="U540" s="1211"/>
      <c r="V540" s="1211"/>
      <c r="W540" s="1211"/>
      <c r="X540" s="1612"/>
      <c r="Y540" s="1612"/>
      <c r="Z540" s="1612"/>
      <c r="AA540" s="1611"/>
      <c r="AB540" s="1611"/>
      <c r="AC540" s="1611"/>
      <c r="AD540" s="1611"/>
      <c r="AE540" s="1211"/>
      <c r="AF540" s="2508">
        <f>'Sources and Uses Budget'!S107+'Sources and Uses Budget'!T107</f>
        <v>65666974.930457473</v>
      </c>
      <c r="AG540" s="2508"/>
      <c r="AH540" s="2508"/>
      <c r="AI540" s="2508"/>
      <c r="AJ540" s="2508"/>
      <c r="AK540" s="1566"/>
      <c r="AL540" s="1566"/>
      <c r="AM540" s="1566"/>
      <c r="AN540" s="1265"/>
    </row>
    <row r="541" spans="1:49" s="1226" customFormat="1" ht="12.75" customHeight="1">
      <c r="A541" s="1613"/>
      <c r="B541" s="1613" t="s">
        <v>1765</v>
      </c>
      <c r="C541" s="1612"/>
      <c r="D541" s="1612"/>
      <c r="E541" s="1614"/>
      <c r="F541" s="1614"/>
      <c r="G541" s="1614"/>
      <c r="H541" s="1614"/>
      <c r="I541" s="1614"/>
      <c r="J541" s="1614"/>
      <c r="K541" s="1614"/>
      <c r="L541" s="1612"/>
      <c r="M541" s="1614"/>
      <c r="N541" s="1614"/>
      <c r="O541" s="1614"/>
      <c r="P541" s="1614"/>
      <c r="Q541" s="1614"/>
      <c r="R541" s="1211"/>
      <c r="S541" s="1211"/>
      <c r="T541" s="1211"/>
      <c r="U541" s="1211"/>
      <c r="V541" s="1211"/>
      <c r="W541" s="1211"/>
      <c r="X541" s="1612"/>
      <c r="Y541" s="1612"/>
      <c r="Z541" s="1612"/>
      <c r="AA541" s="1611"/>
      <c r="AB541" s="1611"/>
      <c r="AC541" s="1611"/>
      <c r="AD541" s="1611"/>
      <c r="AE541" s="1211"/>
      <c r="AF541" s="2509">
        <f>AP548</f>
        <v>121114748.39999999</v>
      </c>
      <c r="AG541" s="2509"/>
      <c r="AH541" s="2509"/>
      <c r="AI541" s="2509"/>
      <c r="AJ541" s="2509"/>
      <c r="AK541" s="1566"/>
      <c r="AL541" s="1566"/>
      <c r="AM541" s="1566"/>
      <c r="AN541" s="1265"/>
      <c r="AP541" s="2503">
        <f>Application!AJ1024</f>
        <v>48445899.039999999</v>
      </c>
      <c r="AQ541" s="2503"/>
      <c r="AR541" s="2503"/>
    </row>
    <row r="542" spans="1:49" s="1226" customFormat="1" ht="12.75" customHeight="1">
      <c r="A542" s="1612"/>
      <c r="B542" s="1612" t="s">
        <v>13</v>
      </c>
      <c r="C542" s="1612"/>
      <c r="D542" s="1612"/>
      <c r="E542" s="1612"/>
      <c r="F542" s="1612"/>
      <c r="G542" s="1612"/>
      <c r="H542" s="1612"/>
      <c r="I542" s="1612"/>
      <c r="J542" s="1612"/>
      <c r="K542" s="1612"/>
      <c r="L542" s="1612"/>
      <c r="M542" s="1612"/>
      <c r="N542" s="1612"/>
      <c r="O542" s="1612"/>
      <c r="P542" s="1612"/>
      <c r="Q542" s="1612"/>
      <c r="R542" s="1211"/>
      <c r="S542" s="1211"/>
      <c r="T542" s="1211"/>
      <c r="U542" s="1211"/>
      <c r="V542" s="1211"/>
      <c r="W542" s="1211"/>
      <c r="X542" s="1612"/>
      <c r="Y542" s="1612"/>
      <c r="Z542" s="1612"/>
      <c r="AA542" s="1611"/>
      <c r="AB542" s="1611"/>
      <c r="AC542" s="1611"/>
      <c r="AD542" s="1611"/>
      <c r="AE542" s="1211"/>
      <c r="AF542" s="2491">
        <f>ROUNDDOWN(IF(C533="YES",((1-(AF540/AF541))*2),(1-(AF540/AF541))),2)</f>
        <v>0.45</v>
      </c>
      <c r="AG542" s="2491"/>
      <c r="AH542" s="2491"/>
      <c r="AI542" s="2491"/>
      <c r="AJ542" s="2491"/>
      <c r="AK542" s="1566"/>
      <c r="AL542" s="1566"/>
      <c r="AM542" s="1566"/>
      <c r="AN542" s="1265"/>
      <c r="AP542" s="2492">
        <f>Application!AJ1028</f>
        <v>12111474.76</v>
      </c>
      <c r="AQ542" s="2492"/>
      <c r="AR542" s="2492"/>
    </row>
    <row r="543" spans="1:49" s="1226" customFormat="1" ht="12.75" customHeight="1">
      <c r="A543" s="1612"/>
      <c r="B543" s="1612"/>
      <c r="C543" s="1612"/>
      <c r="D543" s="1612"/>
      <c r="E543" s="1612"/>
      <c r="F543" s="1612"/>
      <c r="G543" s="1612"/>
      <c r="H543" s="1612"/>
      <c r="I543" s="1612"/>
      <c r="J543" s="1612"/>
      <c r="K543" s="1612"/>
      <c r="L543" s="1612"/>
      <c r="M543" s="1612"/>
      <c r="N543" s="1612"/>
      <c r="O543" s="1612"/>
      <c r="P543" s="1612"/>
      <c r="Q543" s="1612"/>
      <c r="R543" s="1211"/>
      <c r="S543" s="1211"/>
      <c r="T543" s="1211"/>
      <c r="U543" s="1211"/>
      <c r="V543" s="1211"/>
      <c r="W543" s="1211"/>
      <c r="X543" s="1612"/>
      <c r="Y543" s="1612"/>
      <c r="Z543" s="1612"/>
      <c r="AA543" s="1611"/>
      <c r="AB543" s="1611"/>
      <c r="AC543" s="1611"/>
      <c r="AD543" s="1611"/>
      <c r="AE543" s="1211"/>
      <c r="AF543" s="1622"/>
      <c r="AG543" s="1622"/>
      <c r="AH543" s="1622"/>
      <c r="AI543" s="1622"/>
      <c r="AJ543" s="1622"/>
      <c r="AK543" s="1566"/>
      <c r="AL543" s="1566"/>
      <c r="AM543" s="1566"/>
      <c r="AN543" s="1265"/>
      <c r="AP543" s="2493">
        <f>IF(((AP541+AP542)/AP539)&gt;0.8,0.8,((AP541+AP542)/AP539))</f>
        <v>0.8</v>
      </c>
      <c r="AQ543" s="2493"/>
      <c r="AR543" s="2493"/>
    </row>
    <row r="544" spans="1:49" s="1226" customFormat="1" ht="12.75" customHeight="1">
      <c r="A544" s="1612"/>
      <c r="B544" s="2494" t="s">
        <v>2730</v>
      </c>
      <c r="C544" s="2495"/>
      <c r="D544" s="2495"/>
      <c r="E544" s="2495"/>
      <c r="F544" s="2495"/>
      <c r="G544" s="2495"/>
      <c r="H544" s="2495"/>
      <c r="I544" s="2495"/>
      <c r="J544" s="2495"/>
      <c r="K544" s="2495"/>
      <c r="L544" s="2495"/>
      <c r="M544" s="2495"/>
      <c r="N544" s="2495"/>
      <c r="O544" s="2495"/>
      <c r="P544" s="2495"/>
      <c r="Q544" s="2495"/>
      <c r="R544" s="2495"/>
      <c r="S544" s="2495"/>
      <c r="T544" s="2495"/>
      <c r="U544" s="2495"/>
      <c r="V544" s="2495"/>
      <c r="W544" s="2495"/>
      <c r="X544" s="2495"/>
      <c r="Y544" s="2495"/>
      <c r="Z544" s="2495"/>
      <c r="AA544" s="2495"/>
      <c r="AB544" s="2495"/>
      <c r="AC544" s="2495"/>
      <c r="AD544" s="2495"/>
      <c r="AE544" s="2495"/>
      <c r="AF544" s="2495"/>
      <c r="AG544" s="2495"/>
      <c r="AH544" s="2495"/>
      <c r="AI544" s="2495"/>
      <c r="AJ544" s="2496"/>
      <c r="AK544" s="1566"/>
      <c r="AL544" s="1566"/>
      <c r="AM544" s="1566"/>
      <c r="AN544" s="1265"/>
    </row>
    <row r="545" spans="1:44" s="1226" customFormat="1" ht="12.75" customHeight="1">
      <c r="A545" s="1612"/>
      <c r="B545" s="2497"/>
      <c r="C545" s="2498"/>
      <c r="D545" s="2498"/>
      <c r="E545" s="2498"/>
      <c r="F545" s="2498"/>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9"/>
      <c r="AK545" s="1566"/>
      <c r="AL545" s="1566"/>
      <c r="AM545" s="1566"/>
      <c r="AN545" s="1265"/>
      <c r="AP545" s="2503">
        <f>AP546-AP541-AP542</f>
        <v>77073021.999999985</v>
      </c>
      <c r="AQ545" s="2480"/>
      <c r="AR545" s="2480"/>
    </row>
    <row r="546" spans="1:44" s="1226" customFormat="1" ht="12.75" customHeight="1">
      <c r="A546" s="1612"/>
      <c r="B546" s="2500"/>
      <c r="C546" s="2501"/>
      <c r="D546" s="2501"/>
      <c r="E546" s="2501"/>
      <c r="F546" s="2501"/>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2"/>
      <c r="AK546" s="1566"/>
      <c r="AL546" s="1566"/>
      <c r="AM546" s="1566"/>
      <c r="AN546" s="1265"/>
      <c r="AP546" s="2503">
        <f>Application!AJ1032</f>
        <v>137630395.79999998</v>
      </c>
      <c r="AQ546" s="2503"/>
      <c r="AR546" s="2503"/>
    </row>
    <row r="547" spans="1:44" s="1226" customFormat="1" ht="12.75" customHeight="1">
      <c r="B547" s="1227"/>
      <c r="C547" s="1227"/>
      <c r="D547" s="1227"/>
      <c r="E547" s="1227"/>
      <c r="F547" s="1227"/>
      <c r="G547" s="1227"/>
      <c r="H547" s="1227"/>
      <c r="I547" s="1227"/>
      <c r="J547" s="1227"/>
      <c r="K547" s="1227"/>
      <c r="L547" s="1227"/>
      <c r="M547" s="1227"/>
      <c r="N547" s="1227"/>
      <c r="O547" s="1227"/>
      <c r="P547" s="1227"/>
      <c r="Q547" s="1227"/>
      <c r="R547" s="1227"/>
      <c r="S547" s="1227"/>
      <c r="T547" s="1227"/>
      <c r="U547" s="1227"/>
      <c r="V547" s="1227"/>
      <c r="W547" s="1227"/>
      <c r="X547" s="1227"/>
      <c r="Y547" s="1227"/>
      <c r="Z547" s="1227"/>
      <c r="AA547" s="1227"/>
      <c r="AB547" s="1227"/>
      <c r="AC547" s="1278"/>
      <c r="AD547" s="1227"/>
      <c r="AI547" s="1563"/>
      <c r="AJ547" s="1563"/>
      <c r="AK547" s="1566"/>
      <c r="AL547" s="1566"/>
      <c r="AM547" s="1566"/>
      <c r="AN547" s="1265"/>
    </row>
    <row r="548" spans="1:44" s="1226" customFormat="1" ht="12.75" customHeight="1">
      <c r="A548" s="1617"/>
      <c r="B548" s="1617"/>
      <c r="C548" s="1617"/>
      <c r="D548" s="1617"/>
      <c r="E548" s="1617"/>
      <c r="F548" s="1617"/>
      <c r="G548" s="1617"/>
      <c r="H548" s="1617"/>
      <c r="I548" s="1617"/>
      <c r="J548" s="1617"/>
      <c r="K548" s="1617"/>
      <c r="L548" s="1617"/>
      <c r="M548" s="1617"/>
      <c r="N548" s="1617"/>
      <c r="O548" s="1617"/>
      <c r="P548" s="1617"/>
      <c r="Q548" s="1617"/>
      <c r="R548" s="1617"/>
      <c r="S548" s="1617"/>
      <c r="T548" s="1617"/>
      <c r="U548" s="1617"/>
      <c r="V548" s="1617"/>
      <c r="W548" s="1617"/>
      <c r="X548" s="1617"/>
      <c r="Y548" s="1617"/>
      <c r="Z548" s="1617"/>
      <c r="AA548" s="1617"/>
      <c r="AB548" s="1617"/>
      <c r="AC548" s="1617"/>
      <c r="AD548" s="1617"/>
      <c r="AE548" s="1617"/>
      <c r="AF548" s="1617"/>
      <c r="AG548" s="1617"/>
      <c r="AH548" s="1618"/>
      <c r="AI548" s="1233"/>
      <c r="AJ548" s="1233" t="s">
        <v>1766</v>
      </c>
      <c r="AK548" s="2485">
        <f>IFERROR(IF(AF542=0,0,IF((AF542*100)&gt;12,12,(AF542*100))),0)</f>
        <v>12</v>
      </c>
      <c r="AL548" s="2485"/>
      <c r="AM548" s="2486"/>
      <c r="AN548" s="1265"/>
      <c r="AP548" s="2487">
        <f>AP545+(AP539*AP543)</f>
        <v>121114748.39999999</v>
      </c>
      <c r="AQ548" s="2488"/>
      <c r="AR548" s="2489"/>
    </row>
    <row r="549" spans="1:44" s="1226" customFormat="1" ht="12.75" customHeight="1" thickBot="1">
      <c r="A549" s="1436"/>
      <c r="B549" s="1436"/>
      <c r="C549" s="1436"/>
      <c r="D549" s="1436"/>
      <c r="E549" s="1436"/>
      <c r="F549" s="1436"/>
      <c r="G549" s="1436"/>
      <c r="H549" s="1436"/>
      <c r="I549" s="1436"/>
      <c r="J549" s="1436"/>
      <c r="K549" s="1436"/>
      <c r="L549" s="1436"/>
      <c r="M549" s="1436"/>
      <c r="N549" s="1436"/>
      <c r="O549" s="1436"/>
      <c r="P549" s="1436"/>
      <c r="Q549" s="1436"/>
      <c r="R549" s="1436"/>
      <c r="S549" s="1436"/>
      <c r="T549" s="1436"/>
      <c r="U549" s="1436"/>
      <c r="V549" s="1436"/>
      <c r="W549" s="1436"/>
      <c r="X549" s="1436"/>
      <c r="Y549" s="1436"/>
      <c r="Z549" s="1436"/>
      <c r="AA549" s="1436"/>
      <c r="AB549" s="1436"/>
      <c r="AC549" s="1436"/>
      <c r="AD549" s="1436"/>
      <c r="AE549" s="1436"/>
      <c r="AF549" s="1436"/>
      <c r="AG549" s="1436"/>
      <c r="AH549" s="1436"/>
      <c r="AI549" s="1436"/>
      <c r="AJ549" s="1436"/>
      <c r="AK549" s="1436"/>
      <c r="AL549" s="1436"/>
      <c r="AM549" s="1437"/>
      <c r="AN549" s="1265"/>
    </row>
    <row r="550" spans="1:44" s="1226" customFormat="1" ht="12.75" customHeight="1" thickTop="1">
      <c r="A550" s="1488"/>
      <c r="B550" s="1379"/>
      <c r="C550" s="1488"/>
      <c r="D550" s="1379"/>
      <c r="E550" s="1379"/>
      <c r="F550" s="1379"/>
      <c r="G550" s="1379"/>
      <c r="H550" s="1379"/>
      <c r="I550" s="1379"/>
      <c r="J550" s="1379"/>
      <c r="K550" s="1379"/>
      <c r="L550" s="1379"/>
      <c r="M550" s="1379"/>
      <c r="N550" s="1379"/>
      <c r="O550" s="1379"/>
      <c r="P550" s="1379"/>
      <c r="Q550" s="1379"/>
      <c r="R550" s="1379"/>
      <c r="S550" s="1379"/>
      <c r="T550" s="1379"/>
      <c r="U550" s="1379"/>
      <c r="V550" s="1379"/>
      <c r="W550" s="1379"/>
      <c r="X550" s="1379"/>
      <c r="Y550" s="1379"/>
      <c r="Z550" s="1379"/>
      <c r="AA550" s="1379"/>
      <c r="AB550" s="1379"/>
      <c r="AC550" s="1489"/>
      <c r="AD550" s="1489"/>
      <c r="AE550" s="1489"/>
      <c r="AF550" s="1379"/>
      <c r="AG550" s="1379"/>
      <c r="AH550" s="1379"/>
      <c r="AI550" s="1379"/>
      <c r="AJ550" s="1379"/>
      <c r="AK550" s="1379"/>
      <c r="AL550" s="1379"/>
      <c r="AM550" s="1490"/>
      <c r="AN550" s="1265"/>
    </row>
    <row r="551" spans="1:44" s="1226" customFormat="1" ht="12.75" customHeight="1">
      <c r="A551" s="1215" t="s">
        <v>2731</v>
      </c>
      <c r="C551" s="1215"/>
      <c r="D551" s="1264"/>
      <c r="E551" s="1264"/>
      <c r="F551" s="1264"/>
      <c r="G551" s="1264"/>
      <c r="H551" s="1264"/>
      <c r="I551" s="1264"/>
      <c r="J551" s="1264"/>
      <c r="K551" s="1264"/>
      <c r="L551" s="1264"/>
      <c r="M551" s="1264"/>
      <c r="N551" s="1264"/>
      <c r="O551" s="1264"/>
      <c r="P551" s="1264"/>
      <c r="Q551" s="1264"/>
      <c r="R551" s="1264"/>
      <c r="S551" s="1264"/>
      <c r="T551" s="1264"/>
      <c r="U551" s="1264"/>
      <c r="V551" s="1264"/>
      <c r="W551" s="1264"/>
      <c r="X551" s="1264"/>
      <c r="Y551" s="1264"/>
      <c r="Z551" s="1264"/>
      <c r="AA551" s="1264"/>
      <c r="AB551" s="1264"/>
      <c r="AC551" s="1264"/>
      <c r="AD551" s="1264"/>
      <c r="AE551" s="2490" t="s">
        <v>1504</v>
      </c>
      <c r="AF551" s="2490"/>
      <c r="AG551" s="2490"/>
      <c r="AH551" s="2490"/>
      <c r="AI551" s="2490"/>
      <c r="AJ551" s="2490"/>
      <c r="AK551" s="2490"/>
      <c r="AL551" s="1555"/>
      <c r="AM551" s="1264"/>
      <c r="AN551" s="1265"/>
    </row>
    <row r="552" spans="1:44" s="1226" customFormat="1" ht="12.75" customHeight="1">
      <c r="C552" s="1264"/>
      <c r="D552" s="1264"/>
      <c r="E552" s="1264"/>
      <c r="F552" s="1264"/>
      <c r="G552" s="1264"/>
      <c r="H552" s="1264"/>
      <c r="I552" s="1264"/>
      <c r="J552" s="1264"/>
      <c r="K552" s="1264"/>
      <c r="L552" s="1264"/>
      <c r="M552" s="1264"/>
      <c r="N552" s="1264"/>
      <c r="O552" s="1264"/>
      <c r="P552" s="1264"/>
      <c r="Q552" s="1264"/>
      <c r="R552" s="1264"/>
      <c r="S552" s="1264"/>
      <c r="T552" s="1264"/>
      <c r="U552" s="1264"/>
      <c r="V552" s="1264"/>
      <c r="W552" s="1264"/>
      <c r="X552" s="1264"/>
      <c r="Y552" s="1264"/>
      <c r="Z552" s="1264"/>
      <c r="AA552" s="1264"/>
      <c r="AB552" s="1264"/>
      <c r="AC552" s="1264"/>
      <c r="AD552" s="1264"/>
      <c r="AE552" s="1264"/>
      <c r="AF552" s="1264"/>
      <c r="AG552" s="1264"/>
      <c r="AH552" s="1264"/>
      <c r="AI552" s="1264"/>
      <c r="AJ552" s="1264"/>
      <c r="AK552" s="1264"/>
      <c r="AL552" s="1264"/>
      <c r="AM552" s="1264"/>
      <c r="AN552" s="1265"/>
    </row>
    <row r="553" spans="1:44" s="1226" customFormat="1" ht="12.75" customHeight="1">
      <c r="A553" s="1264"/>
      <c r="B553" s="2474" t="s">
        <v>2732</v>
      </c>
      <c r="C553" s="2474"/>
      <c r="D553" s="2474"/>
      <c r="E553" s="2474"/>
      <c r="F553" s="2474"/>
      <c r="G553" s="2474"/>
      <c r="H553" s="2474"/>
      <c r="I553" s="2474"/>
      <c r="J553" s="2474"/>
      <c r="K553" s="2474"/>
      <c r="L553" s="2474"/>
      <c r="M553" s="2474"/>
      <c r="N553" s="2474"/>
      <c r="O553" s="2474"/>
      <c r="P553" s="2474"/>
      <c r="Q553" s="2474"/>
      <c r="R553" s="2474"/>
      <c r="S553" s="2474"/>
      <c r="T553" s="2474"/>
      <c r="U553" s="2474"/>
      <c r="V553" s="2474"/>
      <c r="W553" s="2474"/>
      <c r="X553" s="2474"/>
      <c r="Y553" s="2474"/>
      <c r="Z553" s="2474"/>
      <c r="AA553" s="2474"/>
      <c r="AB553" s="2474"/>
      <c r="AC553" s="2474"/>
      <c r="AD553" s="2474"/>
      <c r="AE553" s="2474"/>
      <c r="AF553" s="2474"/>
      <c r="AG553" s="2474"/>
      <c r="AH553" s="2474"/>
      <c r="AI553" s="2474"/>
      <c r="AJ553" s="2474"/>
      <c r="AK553" s="1263"/>
      <c r="AL553" s="1567"/>
      <c r="AM553" s="1264"/>
      <c r="AN553" s="1265"/>
    </row>
    <row r="554" spans="1:44" s="1226" customFormat="1" ht="12.75" customHeight="1">
      <c r="A554" s="1264"/>
      <c r="B554" s="2474"/>
      <c r="C554" s="2474"/>
      <c r="D554" s="2474"/>
      <c r="E554" s="2474"/>
      <c r="F554" s="2474"/>
      <c r="G554" s="2474"/>
      <c r="H554" s="2474"/>
      <c r="I554" s="2474"/>
      <c r="J554" s="2474"/>
      <c r="K554" s="2474"/>
      <c r="L554" s="2474"/>
      <c r="M554" s="2474"/>
      <c r="N554" s="2474"/>
      <c r="O554" s="2474"/>
      <c r="P554" s="2474"/>
      <c r="Q554" s="2474"/>
      <c r="R554" s="2474"/>
      <c r="S554" s="2474"/>
      <c r="T554" s="2474"/>
      <c r="U554" s="2474"/>
      <c r="V554" s="2474"/>
      <c r="W554" s="2474"/>
      <c r="X554" s="2474"/>
      <c r="Y554" s="2474"/>
      <c r="Z554" s="2474"/>
      <c r="AA554" s="2474"/>
      <c r="AB554" s="2474"/>
      <c r="AC554" s="2474"/>
      <c r="AD554" s="2474"/>
      <c r="AE554" s="2474"/>
      <c r="AF554" s="2474"/>
      <c r="AG554" s="2474"/>
      <c r="AH554" s="2474"/>
      <c r="AI554" s="2474"/>
      <c r="AJ554" s="2474"/>
      <c r="AK554" s="1263"/>
      <c r="AL554" s="1567"/>
      <c r="AM554" s="1264"/>
      <c r="AN554" s="1265"/>
    </row>
    <row r="555" spans="1:44" s="1226" customFormat="1" ht="12.75" customHeight="1">
      <c r="A555" s="1264"/>
      <c r="B555" s="2474"/>
      <c r="C555" s="2474"/>
      <c r="D555" s="2474"/>
      <c r="E555" s="2474"/>
      <c r="F555" s="2474"/>
      <c r="G555" s="2474"/>
      <c r="H555" s="2474"/>
      <c r="I555" s="2474"/>
      <c r="J555" s="2474"/>
      <c r="K555" s="2474"/>
      <c r="L555" s="2474"/>
      <c r="M555" s="2474"/>
      <c r="N555" s="2474"/>
      <c r="O555" s="2474"/>
      <c r="P555" s="2474"/>
      <c r="Q555" s="2474"/>
      <c r="R555" s="2474"/>
      <c r="S555" s="2474"/>
      <c r="T555" s="2474"/>
      <c r="U555" s="2474"/>
      <c r="V555" s="2474"/>
      <c r="W555" s="2474"/>
      <c r="X555" s="2474"/>
      <c r="Y555" s="2474"/>
      <c r="Z555" s="2474"/>
      <c r="AA555" s="2474"/>
      <c r="AB555" s="2474"/>
      <c r="AC555" s="2474"/>
      <c r="AD555" s="2474"/>
      <c r="AE555" s="2474"/>
      <c r="AF555" s="2474"/>
      <c r="AG555" s="2474"/>
      <c r="AH555" s="2474"/>
      <c r="AI555" s="2474"/>
      <c r="AJ555" s="2474"/>
      <c r="AK555" s="1263"/>
      <c r="AL555" s="1567"/>
      <c r="AM555" s="1264"/>
      <c r="AN555" s="1265"/>
    </row>
    <row r="556" spans="1:44" s="1226" customFormat="1" ht="12.75" customHeight="1">
      <c r="A556" s="1264"/>
      <c r="B556" s="2474"/>
      <c r="C556" s="2474"/>
      <c r="D556" s="2474"/>
      <c r="E556" s="2474"/>
      <c r="F556" s="2474"/>
      <c r="G556" s="2474"/>
      <c r="H556" s="2474"/>
      <c r="I556" s="2474"/>
      <c r="J556" s="2474"/>
      <c r="K556" s="2474"/>
      <c r="L556" s="2474"/>
      <c r="M556" s="2474"/>
      <c r="N556" s="2474"/>
      <c r="O556" s="2474"/>
      <c r="P556" s="2474"/>
      <c r="Q556" s="2474"/>
      <c r="R556" s="2474"/>
      <c r="S556" s="2474"/>
      <c r="T556" s="2474"/>
      <c r="U556" s="2474"/>
      <c r="V556" s="2474"/>
      <c r="W556" s="2474"/>
      <c r="X556" s="2474"/>
      <c r="Y556" s="2474"/>
      <c r="Z556" s="2474"/>
      <c r="AA556" s="2474"/>
      <c r="AB556" s="2474"/>
      <c r="AC556" s="2474"/>
      <c r="AD556" s="2474"/>
      <c r="AE556" s="2474"/>
      <c r="AF556" s="2474"/>
      <c r="AG556" s="2474"/>
      <c r="AH556" s="2474"/>
      <c r="AI556" s="2474"/>
      <c r="AJ556" s="2474"/>
      <c r="AK556" s="1263"/>
      <c r="AL556" s="1567"/>
      <c r="AM556" s="1264"/>
      <c r="AN556" s="1265"/>
    </row>
    <row r="557" spans="1:44" s="1226" customFormat="1" ht="12.75" customHeight="1">
      <c r="A557" s="1264"/>
      <c r="B557" s="2474"/>
      <c r="C557" s="2474"/>
      <c r="D557" s="2474"/>
      <c r="E557" s="2474"/>
      <c r="F557" s="2474"/>
      <c r="G557" s="2474"/>
      <c r="H557" s="2474"/>
      <c r="I557" s="2474"/>
      <c r="J557" s="2474"/>
      <c r="K557" s="2474"/>
      <c r="L557" s="2474"/>
      <c r="M557" s="2474"/>
      <c r="N557" s="2474"/>
      <c r="O557" s="2474"/>
      <c r="P557" s="2474"/>
      <c r="Q557" s="2474"/>
      <c r="R557" s="2474"/>
      <c r="S557" s="2474"/>
      <c r="T557" s="2474"/>
      <c r="U557" s="2474"/>
      <c r="V557" s="2474"/>
      <c r="W557" s="2474"/>
      <c r="X557" s="2474"/>
      <c r="Y557" s="2474"/>
      <c r="Z557" s="2474"/>
      <c r="AA557" s="2474"/>
      <c r="AB557" s="2474"/>
      <c r="AC557" s="2474"/>
      <c r="AD557" s="2474"/>
      <c r="AE557" s="2474"/>
      <c r="AF557" s="2474"/>
      <c r="AG557" s="2474"/>
      <c r="AH557" s="2474"/>
      <c r="AI557" s="2474"/>
      <c r="AJ557" s="2474"/>
      <c r="AK557" s="1263"/>
      <c r="AL557" s="1567"/>
      <c r="AM557" s="1264"/>
      <c r="AN557" s="1265"/>
    </row>
    <row r="558" spans="1:44" s="1226" customFormat="1" ht="12.75" customHeight="1">
      <c r="A558" s="1264"/>
      <c r="B558" s="2474"/>
      <c r="C558" s="2474"/>
      <c r="D558" s="2474"/>
      <c r="E558" s="2474"/>
      <c r="F558" s="2474"/>
      <c r="G558" s="2474"/>
      <c r="H558" s="2474"/>
      <c r="I558" s="2474"/>
      <c r="J558" s="2474"/>
      <c r="K558" s="2474"/>
      <c r="L558" s="2474"/>
      <c r="M558" s="2474"/>
      <c r="N558" s="2474"/>
      <c r="O558" s="2474"/>
      <c r="P558" s="2474"/>
      <c r="Q558" s="2474"/>
      <c r="R558" s="2474"/>
      <c r="S558" s="2474"/>
      <c r="T558" s="2474"/>
      <c r="U558" s="2474"/>
      <c r="V558" s="2474"/>
      <c r="W558" s="2474"/>
      <c r="X558" s="2474"/>
      <c r="Y558" s="2474"/>
      <c r="Z558" s="2474"/>
      <c r="AA558" s="2474"/>
      <c r="AB558" s="2474"/>
      <c r="AC558" s="2474"/>
      <c r="AD558" s="2474"/>
      <c r="AE558" s="2474"/>
      <c r="AF558" s="2474"/>
      <c r="AG558" s="2474"/>
      <c r="AH558" s="2474"/>
      <c r="AI558" s="2474"/>
      <c r="AJ558" s="2474"/>
      <c r="AK558" s="1263"/>
      <c r="AL558" s="1567"/>
      <c r="AM558" s="1264"/>
      <c r="AN558" s="1265"/>
    </row>
    <row r="559" spans="1:44" s="1226" customFormat="1" ht="12.75" customHeight="1">
      <c r="A559" s="1264"/>
      <c r="B559" s="2474"/>
      <c r="C559" s="2474"/>
      <c r="D559" s="2474"/>
      <c r="E559" s="2474"/>
      <c r="F559" s="2474"/>
      <c r="G559" s="2474"/>
      <c r="H559" s="2474"/>
      <c r="I559" s="2474"/>
      <c r="J559" s="2474"/>
      <c r="K559" s="2474"/>
      <c r="L559" s="2474"/>
      <c r="M559" s="2474"/>
      <c r="N559" s="2474"/>
      <c r="O559" s="2474"/>
      <c r="P559" s="2474"/>
      <c r="Q559" s="2474"/>
      <c r="R559" s="2474"/>
      <c r="S559" s="2474"/>
      <c r="T559" s="2474"/>
      <c r="U559" s="2474"/>
      <c r="V559" s="2474"/>
      <c r="W559" s="2474"/>
      <c r="X559" s="2474"/>
      <c r="Y559" s="2474"/>
      <c r="Z559" s="2474"/>
      <c r="AA559" s="2474"/>
      <c r="AB559" s="2474"/>
      <c r="AC559" s="2474"/>
      <c r="AD559" s="2474"/>
      <c r="AE559" s="2474"/>
      <c r="AF559" s="2474"/>
      <c r="AG559" s="2474"/>
      <c r="AH559" s="2474"/>
      <c r="AI559" s="2474"/>
      <c r="AJ559" s="2474"/>
      <c r="AK559" s="1263"/>
      <c r="AL559" s="1567"/>
      <c r="AM559" s="1264"/>
      <c r="AN559" s="1265"/>
    </row>
    <row r="560" spans="1:44" ht="12.75" customHeight="1">
      <c r="A560" s="1264"/>
      <c r="B560" s="2474"/>
      <c r="C560" s="2474"/>
      <c r="D560" s="2474"/>
      <c r="E560" s="2474"/>
      <c r="F560" s="2474"/>
      <c r="G560" s="2474"/>
      <c r="H560" s="2474"/>
      <c r="I560" s="2474"/>
      <c r="J560" s="2474"/>
      <c r="K560" s="2474"/>
      <c r="L560" s="2474"/>
      <c r="M560" s="2474"/>
      <c r="N560" s="2474"/>
      <c r="O560" s="2474"/>
      <c r="P560" s="2474"/>
      <c r="Q560" s="2474"/>
      <c r="R560" s="2474"/>
      <c r="S560" s="2474"/>
      <c r="T560" s="2474"/>
      <c r="U560" s="2474"/>
      <c r="V560" s="2474"/>
      <c r="W560" s="2474"/>
      <c r="X560" s="2474"/>
      <c r="Y560" s="2474"/>
      <c r="Z560" s="2474"/>
      <c r="AA560" s="2474"/>
      <c r="AB560" s="2474"/>
      <c r="AC560" s="2474"/>
      <c r="AD560" s="2474"/>
      <c r="AE560" s="2474"/>
      <c r="AF560" s="2474"/>
      <c r="AG560" s="2474"/>
      <c r="AH560" s="2474"/>
      <c r="AI560" s="2474"/>
      <c r="AJ560" s="2474"/>
      <c r="AK560" s="1263"/>
      <c r="AL560" s="1567"/>
      <c r="AM560" s="1264"/>
    </row>
    <row r="561" spans="1:42" s="1226" customFormat="1" ht="12.75" customHeight="1">
      <c r="B561" s="2474"/>
      <c r="C561" s="2474"/>
      <c r="D561" s="2474"/>
      <c r="E561" s="2474"/>
      <c r="F561" s="2474"/>
      <c r="G561" s="2474"/>
      <c r="H561" s="2474"/>
      <c r="I561" s="2474"/>
      <c r="J561" s="2474"/>
      <c r="K561" s="2474"/>
      <c r="L561" s="2474"/>
      <c r="M561" s="2474"/>
      <c r="N561" s="2474"/>
      <c r="O561" s="2474"/>
      <c r="P561" s="2474"/>
      <c r="Q561" s="2474"/>
      <c r="R561" s="2474"/>
      <c r="S561" s="2474"/>
      <c r="T561" s="2474"/>
      <c r="U561" s="2474"/>
      <c r="V561" s="2474"/>
      <c r="W561" s="2474"/>
      <c r="X561" s="2474"/>
      <c r="Y561" s="2474"/>
      <c r="Z561" s="2474"/>
      <c r="AA561" s="2474"/>
      <c r="AB561" s="2474"/>
      <c r="AC561" s="2474"/>
      <c r="AD561" s="2474"/>
      <c r="AE561" s="2474"/>
      <c r="AF561" s="2474"/>
      <c r="AG561" s="2474"/>
      <c r="AH561" s="2474"/>
      <c r="AI561" s="2474"/>
      <c r="AJ561" s="2474"/>
      <c r="AK561" s="1263"/>
      <c r="AL561" s="1567"/>
      <c r="AN561" s="1265"/>
    </row>
    <row r="562" spans="1:42" s="1226" customFormat="1" ht="12.75" customHeight="1">
      <c r="B562" s="1263"/>
      <c r="C562" s="1263"/>
      <c r="D562" s="1263"/>
      <c r="E562" s="1263"/>
      <c r="F562" s="1263"/>
      <c r="G562" s="1263"/>
      <c r="H562" s="1263"/>
      <c r="I562" s="1263"/>
      <c r="J562" s="1263"/>
      <c r="K562" s="1263"/>
      <c r="L562" s="1263"/>
      <c r="M562" s="1263"/>
      <c r="N562" s="1263"/>
      <c r="O562" s="1263"/>
      <c r="P562" s="1263"/>
      <c r="Q562" s="1263"/>
      <c r="R562" s="1263"/>
      <c r="S562" s="1263"/>
      <c r="T562" s="1263"/>
      <c r="U562" s="1263"/>
      <c r="V562" s="1263"/>
      <c r="W562" s="1263"/>
      <c r="X562" s="1263"/>
      <c r="Y562" s="1263"/>
      <c r="Z562" s="1263"/>
      <c r="AA562" s="1263"/>
      <c r="AB562" s="1263"/>
      <c r="AC562" s="1263"/>
      <c r="AD562" s="1263"/>
      <c r="AE562" s="1263"/>
      <c r="AF562" s="1263"/>
      <c r="AG562" s="1263"/>
      <c r="AH562" s="1263"/>
      <c r="AI562" s="1263"/>
      <c r="AJ562" s="1263"/>
      <c r="AK562" s="1263"/>
      <c r="AL562" s="1567"/>
      <c r="AN562" s="1265"/>
    </row>
    <row r="563" spans="1:42" s="1226" customFormat="1" ht="12.75" customHeight="1">
      <c r="B563" s="1285" t="s">
        <v>1584</v>
      </c>
      <c r="C563" s="1491"/>
      <c r="D563" s="1567"/>
      <c r="E563" s="1567"/>
      <c r="F563" s="1567"/>
      <c r="G563" s="1567"/>
      <c r="H563" s="1567"/>
      <c r="I563" s="1567"/>
      <c r="J563" s="1567"/>
      <c r="K563" s="1567"/>
      <c r="L563" s="1567"/>
      <c r="M563" s="1567"/>
      <c r="N563" s="1567"/>
      <c r="O563" s="1567"/>
      <c r="P563" s="1567"/>
      <c r="Q563" s="1567"/>
      <c r="R563" s="1567"/>
      <c r="S563" s="1567"/>
      <c r="T563" s="1567"/>
      <c r="U563" s="1567"/>
      <c r="V563" s="1567"/>
      <c r="W563" s="1567"/>
      <c r="X563" s="1567"/>
      <c r="Y563" s="1567"/>
      <c r="Z563" s="1567"/>
      <c r="AA563" s="1567"/>
      <c r="AB563" s="1567"/>
      <c r="AC563" s="1567"/>
      <c r="AD563" s="1567"/>
      <c r="AE563" s="1567"/>
      <c r="AF563" s="1567"/>
      <c r="AG563" s="1567"/>
      <c r="AH563" s="1567"/>
      <c r="AI563" s="1567"/>
      <c r="AN563" s="1265"/>
      <c r="AP563" s="1226" t="s">
        <v>615</v>
      </c>
    </row>
    <row r="564" spans="1:42" s="1226" customFormat="1" ht="12.75" customHeight="1">
      <c r="B564" s="1213"/>
      <c r="C564" s="1491"/>
      <c r="D564" s="1567"/>
      <c r="E564" s="1567"/>
      <c r="F564" s="1567"/>
      <c r="G564" s="1567"/>
      <c r="H564" s="1567"/>
      <c r="I564" s="1567"/>
      <c r="J564" s="1567"/>
      <c r="K564" s="1567"/>
      <c r="L564" s="1567"/>
      <c r="M564" s="1567"/>
      <c r="N564" s="1567"/>
      <c r="O564" s="1567"/>
      <c r="P564" s="1567"/>
      <c r="Q564" s="1567"/>
      <c r="R564" s="1567"/>
      <c r="S564" s="1567"/>
      <c r="T564" s="1567"/>
      <c r="U564" s="1567"/>
      <c r="V564" s="1567"/>
      <c r="W564" s="1567"/>
      <c r="X564" s="1567"/>
      <c r="Y564" s="1567"/>
      <c r="Z564" s="1567"/>
      <c r="AA564" s="1567"/>
      <c r="AB564" s="1567"/>
      <c r="AC564" s="1567"/>
      <c r="AD564" s="1567"/>
      <c r="AE564" s="1567"/>
      <c r="AF564" s="1567"/>
      <c r="AG564" s="1567"/>
      <c r="AH564" s="1567"/>
      <c r="AI564" s="1567"/>
      <c r="AN564" s="1265"/>
      <c r="AP564" s="1226" t="s">
        <v>568</v>
      </c>
    </row>
    <row r="565" spans="1:42" s="1226" customFormat="1" ht="12.75" customHeight="1">
      <c r="C565" s="1575" t="s">
        <v>1585</v>
      </c>
      <c r="D565" s="1492"/>
      <c r="E565" s="1567"/>
      <c r="F565" s="1567"/>
      <c r="G565" s="1567"/>
      <c r="H565" s="1567"/>
      <c r="I565" s="1567"/>
      <c r="J565" s="1567"/>
      <c r="K565" s="1567"/>
      <c r="L565" s="1567"/>
      <c r="M565" s="1567"/>
      <c r="N565" s="1567"/>
      <c r="O565" s="1567"/>
      <c r="P565" s="1567"/>
      <c r="Q565" s="1567"/>
      <c r="R565" s="1567"/>
      <c r="S565" s="1567"/>
      <c r="T565" s="1567"/>
      <c r="U565" s="1567"/>
      <c r="V565" s="1567"/>
      <c r="W565" s="1567"/>
      <c r="X565" s="1567"/>
      <c r="Y565" s="1567"/>
      <c r="Z565" s="1567"/>
      <c r="AA565" s="1567"/>
      <c r="AB565" s="1567"/>
      <c r="AC565" s="1567"/>
      <c r="AD565" s="1567"/>
      <c r="AE565" s="1567"/>
      <c r="AF565" s="1567"/>
      <c r="AG565" s="1567"/>
      <c r="AH565" s="1567"/>
      <c r="AI565" s="1567"/>
      <c r="AN565" s="1265"/>
    </row>
    <row r="566" spans="1:42" s="1226" customFormat="1" ht="12.75" customHeight="1">
      <c r="B566" s="1213"/>
      <c r="C566" s="1213"/>
      <c r="D566" s="1576"/>
      <c r="E566" s="1556"/>
      <c r="F566" s="1556"/>
      <c r="G566" s="1556"/>
      <c r="H566" s="1556"/>
      <c r="I566" s="1556"/>
      <c r="J566" s="1556"/>
      <c r="K566" s="1556"/>
      <c r="L566" s="1556"/>
      <c r="M566" s="1556"/>
      <c r="N566" s="1556"/>
      <c r="O566" s="1556"/>
      <c r="P566" s="1556"/>
      <c r="Q566" s="1556"/>
      <c r="R566" s="1556"/>
      <c r="S566" s="1556"/>
      <c r="T566" s="1556"/>
      <c r="U566" s="1556"/>
      <c r="V566" s="1556"/>
      <c r="W566" s="1556"/>
      <c r="X566" s="1556"/>
      <c r="Y566" s="1556"/>
      <c r="Z566" s="1556"/>
      <c r="AA566" s="1556"/>
      <c r="AB566" s="1556"/>
      <c r="AC566" s="1556"/>
      <c r="AD566" s="1556"/>
      <c r="AE566" s="1556"/>
      <c r="AF566" s="1213"/>
      <c r="AG566" s="1213"/>
      <c r="AH566" s="1213"/>
      <c r="AI566" s="1213"/>
      <c r="AJ566" s="1213"/>
      <c r="AK566" s="1213"/>
      <c r="AL566" s="1213"/>
      <c r="AN566" s="1265"/>
    </row>
    <row r="567" spans="1:42" s="1226" customFormat="1" ht="12.75" customHeight="1">
      <c r="B567" s="1213"/>
      <c r="C567" s="1213"/>
      <c r="D567" s="1285" t="s">
        <v>712</v>
      </c>
      <c r="E567" s="1322" t="s">
        <v>2007</v>
      </c>
      <c r="F567" s="1263"/>
      <c r="G567" s="1263"/>
      <c r="H567" s="1263"/>
      <c r="I567" s="1263"/>
      <c r="J567" s="1263"/>
      <c r="K567" s="1263"/>
      <c r="L567" s="1263"/>
      <c r="M567" s="1263"/>
      <c r="N567" s="1263"/>
      <c r="O567" s="1263"/>
      <c r="P567" s="1263"/>
      <c r="Q567" s="1263"/>
      <c r="R567" s="1263"/>
      <c r="S567" s="1263"/>
      <c r="T567" s="1263"/>
      <c r="U567" s="1263"/>
      <c r="V567" s="1263"/>
      <c r="W567" s="1263"/>
      <c r="X567" s="1263"/>
      <c r="Y567" s="1263"/>
      <c r="Z567" s="1263"/>
      <c r="AA567" s="1263"/>
      <c r="AB567" s="1263"/>
      <c r="AC567" s="1213"/>
      <c r="AD567" s="1213"/>
      <c r="AE567" s="1213"/>
      <c r="AF567" s="2475" t="s">
        <v>1528</v>
      </c>
      <c r="AG567" s="2475"/>
      <c r="AH567" s="2475"/>
      <c r="AI567" s="2475"/>
      <c r="AJ567" s="2475"/>
      <c r="AK567" s="2475"/>
      <c r="AL567" s="2475"/>
      <c r="AN567" s="1265"/>
    </row>
    <row r="568" spans="1:42" s="1226" customFormat="1" ht="12.75" customHeight="1">
      <c r="B568" s="1213"/>
      <c r="C568" s="1278"/>
      <c r="D568" s="1285"/>
      <c r="E568" s="1322" t="s">
        <v>2008</v>
      </c>
      <c r="F568" s="1263"/>
      <c r="G568" s="1263"/>
      <c r="H568" s="1263"/>
      <c r="I568" s="1263"/>
      <c r="J568" s="1263"/>
      <c r="K568" s="1263"/>
      <c r="L568" s="1263"/>
      <c r="M568" s="1263"/>
      <c r="N568" s="1263"/>
      <c r="O568" s="1263"/>
      <c r="P568" s="1263"/>
      <c r="Q568" s="1263"/>
      <c r="R568" s="1263"/>
      <c r="S568" s="1263"/>
      <c r="T568" s="1263"/>
      <c r="U568" s="1263"/>
      <c r="V568" s="1263"/>
      <c r="W568" s="1263"/>
      <c r="X568" s="1263"/>
      <c r="Y568" s="1263"/>
      <c r="Z568" s="1263"/>
      <c r="AA568" s="1263"/>
      <c r="AB568" s="1263"/>
      <c r="AC568" s="1213"/>
      <c r="AD568" s="1213"/>
      <c r="AE568" s="1278"/>
      <c r="AF568" s="1278"/>
      <c r="AG568" s="1278"/>
      <c r="AH568" s="1278"/>
      <c r="AI568" s="1278"/>
      <c r="AJ568" s="1278"/>
      <c r="AK568" s="1278"/>
      <c r="AL568" s="1278"/>
      <c r="AN568" s="1265"/>
    </row>
    <row r="569" spans="1:42" s="1226" customFormat="1" ht="12.75" customHeight="1">
      <c r="B569" s="1213"/>
      <c r="C569" s="1278"/>
      <c r="D569" s="1285"/>
      <c r="E569" s="1322" t="s">
        <v>2009</v>
      </c>
      <c r="F569" s="1263"/>
      <c r="G569" s="1263"/>
      <c r="H569" s="1263"/>
      <c r="I569" s="1263"/>
      <c r="J569" s="1263"/>
      <c r="K569" s="1263"/>
      <c r="L569" s="1263"/>
      <c r="M569" s="1263"/>
      <c r="N569" s="1263"/>
      <c r="O569" s="1263"/>
      <c r="P569" s="1263"/>
      <c r="Q569" s="1263"/>
      <c r="R569" s="1263"/>
      <c r="S569" s="1263"/>
      <c r="T569" s="1263"/>
      <c r="U569" s="1263"/>
      <c r="V569" s="1263"/>
      <c r="W569" s="1263"/>
      <c r="X569" s="1263"/>
      <c r="Y569" s="1263"/>
      <c r="Z569" s="1263"/>
      <c r="AA569" s="1263"/>
      <c r="AB569" s="1263"/>
      <c r="AC569" s="1213"/>
      <c r="AD569" s="1213"/>
      <c r="AE569" s="1278"/>
      <c r="AF569" s="1278"/>
      <c r="AG569" s="1278"/>
      <c r="AH569" s="1278"/>
      <c r="AI569" s="1278"/>
      <c r="AJ569" s="1278"/>
      <c r="AK569" s="1278"/>
      <c r="AL569" s="1278"/>
      <c r="AN569" s="1265"/>
    </row>
    <row r="570" spans="1:42" s="1226" customFormat="1" ht="12.75" customHeight="1">
      <c r="B570" s="1213"/>
      <c r="C570" s="1278"/>
      <c r="D570" s="1285"/>
      <c r="E570" s="1322" t="s">
        <v>2010</v>
      </c>
      <c r="F570" s="1263"/>
      <c r="G570" s="1263"/>
      <c r="H570" s="1263"/>
      <c r="I570" s="1263"/>
      <c r="J570" s="1263"/>
      <c r="K570" s="1263"/>
      <c r="L570" s="1263"/>
      <c r="M570" s="1263"/>
      <c r="N570" s="1263"/>
      <c r="O570" s="1263"/>
      <c r="P570" s="1263"/>
      <c r="Q570" s="1263"/>
      <c r="R570" s="1263"/>
      <c r="S570" s="1263"/>
      <c r="T570" s="1263"/>
      <c r="U570" s="1263"/>
      <c r="V570" s="1263"/>
      <c r="W570" s="1263"/>
      <c r="X570" s="1263"/>
      <c r="Y570" s="1263"/>
      <c r="Z570" s="1263"/>
      <c r="AA570" s="1263"/>
      <c r="AB570" s="1263"/>
      <c r="AC570" s="1213"/>
      <c r="AD570" s="1213"/>
      <c r="AE570" s="1278"/>
      <c r="AF570" s="1278"/>
      <c r="AG570" s="1278"/>
      <c r="AH570" s="1278"/>
      <c r="AI570" s="1278"/>
      <c r="AJ570" s="1278"/>
      <c r="AK570" s="1278"/>
      <c r="AL570" s="1278"/>
      <c r="AN570" s="1265"/>
    </row>
    <row r="571" spans="1:42" s="1226" customFormat="1" ht="12.75" customHeight="1">
      <c r="B571" s="1213"/>
      <c r="C571" s="1278"/>
      <c r="D571" s="1285"/>
      <c r="E571" s="1322" t="s">
        <v>2011</v>
      </c>
      <c r="F571" s="1263"/>
      <c r="G571" s="1263"/>
      <c r="H571" s="1263"/>
      <c r="I571" s="1263"/>
      <c r="J571" s="1263"/>
      <c r="K571" s="1263"/>
      <c r="L571" s="1263"/>
      <c r="M571" s="1263"/>
      <c r="N571" s="1263"/>
      <c r="O571" s="1263"/>
      <c r="P571" s="1263"/>
      <c r="Q571" s="1263"/>
      <c r="R571" s="1263"/>
      <c r="S571" s="1263"/>
      <c r="T571" s="1263"/>
      <c r="U571" s="1263"/>
      <c r="V571" s="1263"/>
      <c r="W571" s="1263"/>
      <c r="X571" s="1263"/>
      <c r="Y571" s="1263"/>
      <c r="Z571" s="1263"/>
      <c r="AA571" s="1263"/>
      <c r="AB571" s="1263"/>
      <c r="AC571" s="1213"/>
      <c r="AD571" s="1213"/>
      <c r="AE571" s="1278"/>
      <c r="AF571" s="1278"/>
      <c r="AG571" s="1278"/>
      <c r="AH571" s="1278"/>
      <c r="AI571" s="1278"/>
      <c r="AJ571" s="1278"/>
      <c r="AK571" s="1278"/>
      <c r="AL571" s="1278"/>
      <c r="AN571" s="1265"/>
    </row>
    <row r="572" spans="1:42" s="1226" customFormat="1" ht="12.75" customHeight="1">
      <c r="B572" s="1213"/>
      <c r="C572" s="1278"/>
      <c r="D572" s="1285"/>
      <c r="E572" s="1322" t="s">
        <v>2012</v>
      </c>
      <c r="F572" s="1263"/>
      <c r="G572" s="1263"/>
      <c r="H572" s="1263"/>
      <c r="I572" s="1263"/>
      <c r="J572" s="1263"/>
      <c r="K572" s="1263"/>
      <c r="L572" s="1263"/>
      <c r="M572" s="1263"/>
      <c r="N572" s="1263"/>
      <c r="O572" s="1263"/>
      <c r="P572" s="1263"/>
      <c r="Q572" s="1263"/>
      <c r="R572" s="1263"/>
      <c r="S572" s="1263"/>
      <c r="T572" s="1263"/>
      <c r="U572" s="1263"/>
      <c r="V572" s="1263"/>
      <c r="W572" s="1263"/>
      <c r="X572" s="1263"/>
      <c r="Y572" s="1263"/>
      <c r="Z572" s="1263"/>
      <c r="AA572" s="1263"/>
      <c r="AB572" s="1263"/>
      <c r="AC572" s="1213"/>
      <c r="AD572" s="1213"/>
      <c r="AE572" s="1278"/>
      <c r="AF572" s="1278"/>
      <c r="AG572" s="1278"/>
      <c r="AH572" s="1278"/>
      <c r="AI572" s="1278"/>
      <c r="AJ572" s="1278"/>
      <c r="AK572" s="1278"/>
      <c r="AL572" s="1278"/>
      <c r="AN572" s="1265"/>
    </row>
    <row r="573" spans="1:42" s="1226" customFormat="1" ht="12.75" customHeight="1">
      <c r="B573" s="1213"/>
      <c r="C573" s="1278"/>
      <c r="D573" s="1285"/>
      <c r="E573" s="1322"/>
      <c r="F573" s="1263"/>
      <c r="G573" s="1263"/>
      <c r="H573" s="1263"/>
      <c r="I573" s="1263"/>
      <c r="J573" s="1263"/>
      <c r="K573" s="1263"/>
      <c r="L573" s="1263"/>
      <c r="M573" s="1263"/>
      <c r="N573" s="1263"/>
      <c r="O573" s="1263"/>
      <c r="P573" s="1263"/>
      <c r="Q573" s="1263"/>
      <c r="R573" s="1263"/>
      <c r="S573" s="1263"/>
      <c r="T573" s="1263"/>
      <c r="U573" s="1263"/>
      <c r="V573" s="1263"/>
      <c r="W573" s="1263"/>
      <c r="X573" s="1263"/>
      <c r="Y573" s="1263"/>
      <c r="Z573" s="1263"/>
      <c r="AA573" s="1263"/>
      <c r="AB573" s="1263"/>
      <c r="AC573" s="1213"/>
      <c r="AD573" s="1213"/>
      <c r="AE573" s="1278"/>
      <c r="AF573" s="1213"/>
      <c r="AG573" s="1213"/>
      <c r="AH573" s="1213"/>
      <c r="AI573" s="1213"/>
      <c r="AJ573" s="1213"/>
      <c r="AK573" s="1213"/>
      <c r="AL573" s="1213"/>
      <c r="AN573" s="1265"/>
    </row>
    <row r="574" spans="1:42" s="1226" customFormat="1" ht="12.75" customHeight="1">
      <c r="A574" s="1339"/>
      <c r="B574" s="1213"/>
      <c r="C574" s="1493"/>
      <c r="D574" s="1285" t="s">
        <v>532</v>
      </c>
      <c r="E574" s="1322" t="s">
        <v>2013</v>
      </c>
      <c r="F574" s="1494"/>
      <c r="G574" s="1494"/>
      <c r="H574" s="1494"/>
      <c r="I574" s="1494"/>
      <c r="J574" s="1494"/>
      <c r="K574" s="1494"/>
      <c r="L574" s="1494"/>
      <c r="M574" s="1494"/>
      <c r="N574" s="1494"/>
      <c r="O574" s="1494"/>
      <c r="P574" s="1494"/>
      <c r="Q574" s="1494"/>
      <c r="R574" s="1494"/>
      <c r="S574" s="1494"/>
      <c r="T574" s="1494"/>
      <c r="U574" s="1494"/>
      <c r="V574" s="1494"/>
      <c r="W574" s="1494"/>
      <c r="X574" s="1494"/>
      <c r="Y574" s="1494"/>
      <c r="Z574" s="1494"/>
      <c r="AA574" s="1494"/>
      <c r="AB574" s="1494"/>
      <c r="AC574" s="1213"/>
      <c r="AD574" s="1213"/>
      <c r="AE574" s="1213"/>
      <c r="AF574" s="2475" t="s">
        <v>1586</v>
      </c>
      <c r="AG574" s="2475"/>
      <c r="AH574" s="2475"/>
      <c r="AI574" s="2475"/>
      <c r="AJ574" s="2475"/>
      <c r="AK574" s="2475"/>
      <c r="AL574" s="2475"/>
      <c r="AN574" s="1265"/>
    </row>
    <row r="575" spans="1:42" s="1226" customFormat="1" ht="12.75" customHeight="1">
      <c r="B575" s="1213"/>
      <c r="C575" s="1495"/>
      <c r="D575" s="1285"/>
      <c r="E575" s="1322" t="s">
        <v>2014</v>
      </c>
      <c r="F575" s="1494"/>
      <c r="G575" s="1494"/>
      <c r="H575" s="1494"/>
      <c r="I575" s="1494"/>
      <c r="J575" s="1494"/>
      <c r="K575" s="1494"/>
      <c r="L575" s="1494"/>
      <c r="M575" s="1494"/>
      <c r="N575" s="1494"/>
      <c r="O575" s="1494"/>
      <c r="P575" s="1494"/>
      <c r="Q575" s="1494"/>
      <c r="R575" s="1494"/>
      <c r="S575" s="1494"/>
      <c r="T575" s="1494"/>
      <c r="U575" s="1494"/>
      <c r="V575" s="1494"/>
      <c r="W575" s="1494"/>
      <c r="X575" s="1494"/>
      <c r="Y575" s="1494"/>
      <c r="Z575" s="1494"/>
      <c r="AA575" s="1494"/>
      <c r="AB575" s="1494"/>
      <c r="AC575" s="1213"/>
      <c r="AD575" s="1213"/>
      <c r="AE575" s="1213"/>
      <c r="AF575" s="1213"/>
      <c r="AG575" s="1213"/>
      <c r="AH575" s="1213"/>
      <c r="AI575" s="1213"/>
      <c r="AJ575" s="1213"/>
      <c r="AK575" s="1213"/>
      <c r="AL575" s="1213"/>
      <c r="AN575" s="1265"/>
      <c r="AO575" s="1226" t="s">
        <v>615</v>
      </c>
      <c r="AP575" s="1496">
        <v>0</v>
      </c>
    </row>
    <row r="576" spans="1:42" s="1226" customFormat="1" ht="12.75" customHeight="1">
      <c r="B576" s="1273"/>
      <c r="C576" s="1493"/>
      <c r="D576" s="1285"/>
      <c r="E576" s="1322" t="s">
        <v>2015</v>
      </c>
      <c r="F576" s="1494"/>
      <c r="G576" s="1494"/>
      <c r="H576" s="1494"/>
      <c r="I576" s="1494"/>
      <c r="J576" s="1494"/>
      <c r="K576" s="1494"/>
      <c r="L576" s="1494"/>
      <c r="M576" s="1494"/>
      <c r="N576" s="1494"/>
      <c r="O576" s="1494"/>
      <c r="P576" s="1494"/>
      <c r="Q576" s="1494"/>
      <c r="R576" s="1494"/>
      <c r="S576" s="1494"/>
      <c r="T576" s="1494"/>
      <c r="U576" s="1494"/>
      <c r="V576" s="1494"/>
      <c r="W576" s="1494"/>
      <c r="X576" s="1494"/>
      <c r="Y576" s="1494"/>
      <c r="Z576" s="1494"/>
      <c r="AA576" s="1494"/>
      <c r="AB576" s="1494"/>
      <c r="AC576" s="1213"/>
      <c r="AD576" s="1213"/>
      <c r="AE576" s="1213"/>
      <c r="AF576" s="1213"/>
      <c r="AG576" s="1213"/>
      <c r="AH576" s="1213"/>
      <c r="AI576" s="1213"/>
      <c r="AJ576" s="1213"/>
      <c r="AK576" s="1213"/>
      <c r="AL576" s="1213"/>
      <c r="AN576" s="1265"/>
      <c r="AO576" s="1274" t="s">
        <v>712</v>
      </c>
      <c r="AP576" s="1226">
        <v>7</v>
      </c>
    </row>
    <row r="577" spans="1:53" s="1226" customFormat="1" ht="12.75" customHeight="1">
      <c r="B577" s="1273"/>
      <c r="C577" s="1493"/>
      <c r="D577" s="1285"/>
      <c r="E577" s="1322" t="s">
        <v>2017</v>
      </c>
      <c r="F577" s="1494"/>
      <c r="G577" s="1494"/>
      <c r="H577" s="1494"/>
      <c r="I577" s="1494"/>
      <c r="J577" s="1494"/>
      <c r="K577" s="1494"/>
      <c r="L577" s="1494"/>
      <c r="M577" s="1494"/>
      <c r="N577" s="1494"/>
      <c r="O577" s="1494"/>
      <c r="P577" s="1494"/>
      <c r="Q577" s="1494"/>
      <c r="R577" s="1494"/>
      <c r="S577" s="1494"/>
      <c r="T577" s="1494"/>
      <c r="U577" s="1494"/>
      <c r="V577" s="1494"/>
      <c r="W577" s="1494"/>
      <c r="X577" s="1494"/>
      <c r="Y577" s="1494"/>
      <c r="Z577" s="1494"/>
      <c r="AA577" s="1494"/>
      <c r="AB577" s="1494"/>
      <c r="AC577" s="1213"/>
      <c r="AD577" s="1213"/>
      <c r="AE577" s="1213"/>
      <c r="AF577" s="1213"/>
      <c r="AG577" s="1213"/>
      <c r="AH577" s="1213"/>
      <c r="AI577" s="1213"/>
      <c r="AJ577" s="1213"/>
      <c r="AK577" s="1213"/>
      <c r="AL577" s="1213"/>
      <c r="AN577" s="1265"/>
      <c r="AO577" s="1274" t="s">
        <v>532</v>
      </c>
      <c r="AP577" s="1226">
        <v>6</v>
      </c>
    </row>
    <row r="578" spans="1:53" s="1226" customFormat="1" ht="12.75" customHeight="1">
      <c r="B578" s="1273"/>
      <c r="C578" s="1493"/>
      <c r="D578" s="1285"/>
      <c r="E578" s="1322" t="s">
        <v>2016</v>
      </c>
      <c r="F578" s="1494"/>
      <c r="G578" s="1494"/>
      <c r="H578" s="1494"/>
      <c r="I578" s="1494"/>
      <c r="J578" s="1494"/>
      <c r="K578" s="1494"/>
      <c r="L578" s="1494"/>
      <c r="M578" s="1494"/>
      <c r="N578" s="1494"/>
      <c r="O578" s="1494"/>
      <c r="P578" s="1494"/>
      <c r="Q578" s="1494"/>
      <c r="R578" s="1494"/>
      <c r="S578" s="1494"/>
      <c r="T578" s="1494"/>
      <c r="U578" s="1494"/>
      <c r="V578" s="1494"/>
      <c r="W578" s="1494"/>
      <c r="X578" s="1494"/>
      <c r="Y578" s="1494"/>
      <c r="Z578" s="1494"/>
      <c r="AA578" s="1494"/>
      <c r="AB578" s="1494"/>
      <c r="AC578" s="1213"/>
      <c r="AD578" s="1213"/>
      <c r="AE578" s="1213"/>
      <c r="AF578" s="1213"/>
      <c r="AG578" s="1213"/>
      <c r="AH578" s="1213"/>
      <c r="AI578" s="1213"/>
      <c r="AJ578" s="1213"/>
      <c r="AK578" s="1213"/>
      <c r="AL578" s="1213"/>
      <c r="AN578" s="1265"/>
      <c r="AO578" s="1274" t="s">
        <v>283</v>
      </c>
      <c r="AP578" s="1226">
        <v>5</v>
      </c>
    </row>
    <row r="579" spans="1:53" s="1226" customFormat="1" ht="12.75" customHeight="1">
      <c r="B579" s="1273"/>
      <c r="C579" s="1493"/>
      <c r="D579" s="1285"/>
      <c r="E579" s="1497"/>
      <c r="F579" s="1498"/>
      <c r="G579" s="1498"/>
      <c r="H579" s="1498"/>
      <c r="I579" s="1278"/>
      <c r="J579" s="1278"/>
      <c r="K579" s="1278"/>
      <c r="L579" s="1278"/>
      <c r="M579" s="1278"/>
      <c r="N579" s="1278"/>
      <c r="O579" s="1278"/>
      <c r="P579" s="1278"/>
      <c r="Q579" s="1278"/>
      <c r="R579" s="1278"/>
      <c r="S579" s="1278"/>
      <c r="T579" s="1278"/>
      <c r="U579" s="1278"/>
      <c r="V579" s="1278"/>
      <c r="W579" s="1278"/>
      <c r="X579" s="1278"/>
      <c r="Y579" s="1278"/>
      <c r="Z579" s="1278"/>
      <c r="AA579" s="1278"/>
      <c r="AB579" s="1278"/>
      <c r="AC579" s="1213"/>
      <c r="AD579" s="1213"/>
      <c r="AE579" s="1278"/>
      <c r="AF579" s="1213"/>
      <c r="AG579" s="1213"/>
      <c r="AH579" s="1213"/>
      <c r="AI579" s="1213"/>
      <c r="AJ579" s="1213"/>
      <c r="AK579" s="1213"/>
      <c r="AL579" s="1213"/>
      <c r="AN579" s="1265"/>
      <c r="AO579" s="1274" t="s">
        <v>1587</v>
      </c>
      <c r="AP579" s="1226">
        <v>4</v>
      </c>
    </row>
    <row r="580" spans="1:53" s="1226" customFormat="1" ht="12.75" customHeight="1">
      <c r="B580" s="1213"/>
      <c r="C580" s="1493"/>
      <c r="D580" s="1285" t="s">
        <v>283</v>
      </c>
      <c r="E580" s="1322" t="s">
        <v>2018</v>
      </c>
      <c r="F580" s="1494"/>
      <c r="G580" s="1494"/>
      <c r="H580" s="1494"/>
      <c r="I580" s="1494"/>
      <c r="J580" s="1494"/>
      <c r="K580" s="1494"/>
      <c r="L580" s="1494"/>
      <c r="M580" s="1494"/>
      <c r="N580" s="1494"/>
      <c r="O580" s="1494"/>
      <c r="P580" s="1494"/>
      <c r="Q580" s="1494"/>
      <c r="R580" s="1494"/>
      <c r="S580" s="1494"/>
      <c r="T580" s="1494"/>
      <c r="U580" s="1494"/>
      <c r="V580" s="1494"/>
      <c r="W580" s="1494"/>
      <c r="X580" s="1494"/>
      <c r="Y580" s="1494"/>
      <c r="Z580" s="1494"/>
      <c r="AA580" s="1494"/>
      <c r="AB580" s="1494"/>
      <c r="AC580" s="1213"/>
      <c r="AD580" s="1213"/>
      <c r="AE580" s="1213"/>
      <c r="AF580" s="2475" t="s">
        <v>1568</v>
      </c>
      <c r="AG580" s="2475"/>
      <c r="AH580" s="2475"/>
      <c r="AI580" s="2475"/>
      <c r="AJ580" s="2475"/>
      <c r="AK580" s="2475"/>
      <c r="AL580" s="2475"/>
      <c r="AN580" s="1265"/>
      <c r="AO580" s="1274" t="s">
        <v>1588</v>
      </c>
      <c r="AP580" s="1226">
        <v>3</v>
      </c>
    </row>
    <row r="581" spans="1:53" s="1226" customFormat="1" ht="12.75" customHeight="1">
      <c r="B581" s="1213"/>
      <c r="C581" s="1495"/>
      <c r="D581" s="1285"/>
      <c r="E581" s="1322" t="s">
        <v>2014</v>
      </c>
      <c r="F581" s="1494"/>
      <c r="G581" s="1494"/>
      <c r="H581" s="1494"/>
      <c r="I581" s="1494"/>
      <c r="J581" s="1494"/>
      <c r="K581" s="1494"/>
      <c r="L581" s="1494"/>
      <c r="M581" s="1494"/>
      <c r="N581" s="1494"/>
      <c r="O581" s="1494"/>
      <c r="P581" s="1494"/>
      <c r="Q581" s="1494"/>
      <c r="R581" s="1494"/>
      <c r="S581" s="1494"/>
      <c r="T581" s="1494"/>
      <c r="U581" s="1494"/>
      <c r="V581" s="1494"/>
      <c r="W581" s="1494"/>
      <c r="X581" s="1494"/>
      <c r="Y581" s="1494"/>
      <c r="Z581" s="1494"/>
      <c r="AA581" s="1494"/>
      <c r="AB581" s="1494"/>
      <c r="AC581" s="1213"/>
      <c r="AD581" s="1213"/>
      <c r="AE581" s="1213"/>
      <c r="AF581" s="1213"/>
      <c r="AG581" s="1213"/>
      <c r="AH581" s="1213"/>
      <c r="AI581" s="1213"/>
      <c r="AJ581" s="1213"/>
      <c r="AK581" s="1213"/>
      <c r="AL581" s="1213"/>
      <c r="AN581" s="1265"/>
    </row>
    <row r="582" spans="1:53" s="1226" customFormat="1" ht="12.75" customHeight="1">
      <c r="B582" s="1213"/>
      <c r="C582" s="1495"/>
      <c r="D582" s="1285"/>
      <c r="E582" s="1322" t="s">
        <v>2015</v>
      </c>
      <c r="F582" s="1494"/>
      <c r="G582" s="1494"/>
      <c r="H582" s="1494"/>
      <c r="I582" s="1494"/>
      <c r="J582" s="1494"/>
      <c r="K582" s="1494"/>
      <c r="L582" s="1494"/>
      <c r="M582" s="1494"/>
      <c r="N582" s="1494"/>
      <c r="O582" s="1494"/>
      <c r="P582" s="1494"/>
      <c r="Q582" s="1494"/>
      <c r="R582" s="1494"/>
      <c r="S582" s="1494"/>
      <c r="T582" s="1494"/>
      <c r="U582" s="1494"/>
      <c r="V582" s="1494"/>
      <c r="W582" s="1494"/>
      <c r="X582" s="1494"/>
      <c r="Y582" s="1494"/>
      <c r="Z582" s="1494"/>
      <c r="AA582" s="1494"/>
      <c r="AB582" s="1494"/>
      <c r="AC582" s="1213"/>
      <c r="AD582" s="1213"/>
      <c r="AE582" s="1213"/>
      <c r="AF582" s="1213"/>
      <c r="AG582" s="1213"/>
      <c r="AH582" s="1213"/>
      <c r="AI582" s="1213"/>
      <c r="AJ582" s="1213"/>
      <c r="AK582" s="1213"/>
      <c r="AL582" s="1213"/>
      <c r="AN582" s="1265"/>
    </row>
    <row r="583" spans="1:53" s="1226" customFormat="1" ht="12.75" customHeight="1">
      <c r="B583" s="1213"/>
      <c r="C583" s="1495"/>
      <c r="D583" s="1285"/>
      <c r="E583" s="1322" t="s">
        <v>2017</v>
      </c>
      <c r="F583" s="1494"/>
      <c r="G583" s="1494"/>
      <c r="H583" s="1494"/>
      <c r="I583" s="1494"/>
      <c r="J583" s="1494"/>
      <c r="K583" s="1494"/>
      <c r="L583" s="1494"/>
      <c r="M583" s="1494"/>
      <c r="N583" s="1494"/>
      <c r="O583" s="1494"/>
      <c r="P583" s="1494"/>
      <c r="Q583" s="1494"/>
      <c r="R583" s="1494"/>
      <c r="S583" s="1494"/>
      <c r="T583" s="1494"/>
      <c r="U583" s="1494"/>
      <c r="V583" s="1494"/>
      <c r="W583" s="1494"/>
      <c r="X583" s="1494"/>
      <c r="Y583" s="1494"/>
      <c r="Z583" s="1494"/>
      <c r="AA583" s="1494"/>
      <c r="AB583" s="1494"/>
      <c r="AC583" s="1213"/>
      <c r="AD583" s="1213"/>
      <c r="AE583" s="1213"/>
      <c r="AF583" s="1213"/>
      <c r="AG583" s="1213"/>
      <c r="AH583" s="1213"/>
      <c r="AI583" s="1213"/>
      <c r="AJ583" s="1213"/>
      <c r="AK583" s="1213"/>
      <c r="AL583" s="1213"/>
      <c r="AN583" s="1265"/>
    </row>
    <row r="584" spans="1:53" s="1226" customFormat="1" ht="12.75" customHeight="1">
      <c r="B584" s="1213"/>
      <c r="C584" s="1495"/>
      <c r="D584" s="1285"/>
      <c r="E584" s="1322" t="s">
        <v>2016</v>
      </c>
      <c r="F584" s="1494"/>
      <c r="G584" s="1494"/>
      <c r="H584" s="1494"/>
      <c r="I584" s="1494"/>
      <c r="J584" s="1494"/>
      <c r="K584" s="1494"/>
      <c r="L584" s="1494"/>
      <c r="M584" s="1494"/>
      <c r="N584" s="1494"/>
      <c r="O584" s="1494"/>
      <c r="P584" s="1494"/>
      <c r="Q584" s="1494"/>
      <c r="R584" s="1494"/>
      <c r="S584" s="1494"/>
      <c r="T584" s="1494"/>
      <c r="U584" s="1494"/>
      <c r="V584" s="1494"/>
      <c r="W584" s="1494"/>
      <c r="X584" s="1494"/>
      <c r="Y584" s="1494"/>
      <c r="Z584" s="1494"/>
      <c r="AA584" s="1494"/>
      <c r="AB584" s="1494"/>
      <c r="AC584" s="1213"/>
      <c r="AD584" s="1213"/>
      <c r="AE584" s="1213"/>
      <c r="AF584" s="1213"/>
      <c r="AG584" s="1213"/>
      <c r="AH584" s="1213"/>
      <c r="AI584" s="1213"/>
      <c r="AJ584" s="1213"/>
      <c r="AK584" s="1213"/>
      <c r="AL584" s="1213"/>
      <c r="AN584" s="1265"/>
    </row>
    <row r="585" spans="1:53" s="1226" customFormat="1" ht="12.75" customHeight="1">
      <c r="A585" s="1211"/>
      <c r="B585" s="1211"/>
      <c r="C585" s="1211"/>
      <c r="D585" s="1285"/>
      <c r="E585" s="1499"/>
      <c r="F585" s="1211"/>
      <c r="G585" s="1211"/>
      <c r="H585" s="1211"/>
      <c r="I585" s="1211"/>
      <c r="J585" s="1211"/>
      <c r="K585" s="1211"/>
      <c r="L585" s="1211"/>
      <c r="M585" s="1211"/>
      <c r="N585" s="1211"/>
      <c r="O585" s="1211"/>
      <c r="P585" s="1211"/>
      <c r="Q585" s="1211"/>
      <c r="R585" s="1211"/>
      <c r="S585" s="1211"/>
      <c r="T585" s="1211"/>
      <c r="U585" s="1211"/>
      <c r="V585" s="1211"/>
      <c r="W585" s="1211"/>
      <c r="X585" s="1211"/>
      <c r="Y585" s="1211"/>
      <c r="Z585" s="1211"/>
      <c r="AA585" s="1211"/>
      <c r="AB585" s="1211"/>
      <c r="AC585" s="1213"/>
      <c r="AD585" s="1213"/>
      <c r="AE585" s="1211"/>
      <c r="AF585" s="1213"/>
      <c r="AG585" s="1213"/>
      <c r="AH585" s="1213"/>
      <c r="AI585" s="1213"/>
      <c r="AJ585" s="1213"/>
      <c r="AK585" s="1213"/>
      <c r="AL585" s="1213"/>
      <c r="AM585" s="1211"/>
      <c r="AN585" s="1265"/>
    </row>
    <row r="586" spans="1:53" s="1226" customFormat="1" ht="12.75" customHeight="1">
      <c r="B586" s="1213"/>
      <c r="C586" s="1493"/>
      <c r="D586" s="1285" t="s">
        <v>1587</v>
      </c>
      <c r="E586" s="1322" t="s">
        <v>2019</v>
      </c>
      <c r="F586" s="1494"/>
      <c r="G586" s="1494"/>
      <c r="H586" s="1494"/>
      <c r="I586" s="1494"/>
      <c r="J586" s="1494"/>
      <c r="K586" s="1494"/>
      <c r="L586" s="1494"/>
      <c r="M586" s="1494"/>
      <c r="N586" s="1494"/>
      <c r="O586" s="1494"/>
      <c r="P586" s="1494"/>
      <c r="Q586" s="1494"/>
      <c r="R586" s="1494"/>
      <c r="S586" s="1494"/>
      <c r="T586" s="1494"/>
      <c r="U586" s="1494"/>
      <c r="V586" s="1494"/>
      <c r="W586" s="1494"/>
      <c r="X586" s="1494"/>
      <c r="Y586" s="1494"/>
      <c r="Z586" s="1494"/>
      <c r="AA586" s="1494"/>
      <c r="AB586" s="1494"/>
      <c r="AC586" s="1213"/>
      <c r="AD586" s="1213"/>
      <c r="AE586" s="1213"/>
      <c r="AF586" s="2475" t="s">
        <v>1589</v>
      </c>
      <c r="AG586" s="2475"/>
      <c r="AH586" s="2475"/>
      <c r="AI586" s="2475"/>
      <c r="AJ586" s="2475"/>
      <c r="AK586" s="2475"/>
      <c r="AL586" s="2475"/>
      <c r="AN586" s="1265"/>
      <c r="AO586" s="1226" t="str">
        <f>X623</f>
        <v>N/A</v>
      </c>
    </row>
    <row r="587" spans="1:53" s="1226" customFormat="1" ht="12.75" customHeight="1">
      <c r="B587" s="1213"/>
      <c r="C587" s="1495"/>
      <c r="D587" s="1285"/>
      <c r="E587" s="1322" t="s">
        <v>2020</v>
      </c>
      <c r="F587" s="1494"/>
      <c r="G587" s="1494"/>
      <c r="H587" s="1494"/>
      <c r="I587" s="1494"/>
      <c r="J587" s="1494"/>
      <c r="K587" s="1494"/>
      <c r="L587" s="1494"/>
      <c r="M587" s="1494"/>
      <c r="N587" s="1494"/>
      <c r="O587" s="1494"/>
      <c r="P587" s="1494"/>
      <c r="Q587" s="1494"/>
      <c r="R587" s="1494"/>
      <c r="S587" s="1494"/>
      <c r="T587" s="1494"/>
      <c r="U587" s="1494"/>
      <c r="V587" s="1494"/>
      <c r="W587" s="1494"/>
      <c r="X587" s="1494"/>
      <c r="Y587" s="1494"/>
      <c r="Z587" s="1494"/>
      <c r="AA587" s="1494"/>
      <c r="AB587" s="1494"/>
      <c r="AC587" s="1211"/>
      <c r="AD587" s="1211"/>
      <c r="AE587" s="1213"/>
      <c r="AF587" s="1213"/>
      <c r="AG587" s="1213"/>
      <c r="AH587" s="1213"/>
      <c r="AI587" s="1213"/>
      <c r="AJ587" s="1213"/>
      <c r="AK587" s="1213"/>
      <c r="AL587" s="1213"/>
      <c r="AN587" s="1265"/>
      <c r="AU587" s="1557"/>
      <c r="AV587" s="1557"/>
      <c r="AW587" s="1557"/>
      <c r="AX587" s="1557"/>
      <c r="AY587" s="1557"/>
      <c r="AZ587" s="1557"/>
      <c r="BA587" s="1557"/>
    </row>
    <row r="588" spans="1:53" s="1226" customFormat="1" ht="12.75" customHeight="1">
      <c r="B588" s="1273"/>
      <c r="C588" s="1493"/>
      <c r="D588" s="1285"/>
      <c r="E588" s="1322" t="s">
        <v>2021</v>
      </c>
      <c r="F588" s="1494"/>
      <c r="G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213"/>
      <c r="AD588" s="1213"/>
      <c r="AE588" s="1213"/>
      <c r="AF588" s="1213"/>
      <c r="AG588" s="1213"/>
      <c r="AH588" s="1213"/>
      <c r="AI588" s="1213"/>
      <c r="AJ588" s="1213"/>
      <c r="AK588" s="1213"/>
      <c r="AL588" s="1213"/>
      <c r="AN588" s="1265"/>
    </row>
    <row r="589" spans="1:53" s="1226" customFormat="1" ht="12.75" customHeight="1">
      <c r="B589" s="1273"/>
      <c r="C589" s="1493"/>
      <c r="D589" s="1285"/>
      <c r="E589" s="1322"/>
      <c r="F589" s="1494"/>
      <c r="G589" s="1494"/>
      <c r="H589" s="1494"/>
      <c r="I589" s="1494"/>
      <c r="J589" s="1494"/>
      <c r="K589" s="1494"/>
      <c r="L589" s="1494"/>
      <c r="M589" s="1494"/>
      <c r="N589" s="1494"/>
      <c r="O589" s="1494"/>
      <c r="P589" s="1494"/>
      <c r="Q589" s="1494"/>
      <c r="R589" s="1494"/>
      <c r="S589" s="1494"/>
      <c r="T589" s="1494"/>
      <c r="U589" s="1494"/>
      <c r="V589" s="1494"/>
      <c r="W589" s="1494"/>
      <c r="X589" s="1494"/>
      <c r="Y589" s="1494"/>
      <c r="Z589" s="1494"/>
      <c r="AA589" s="1494"/>
      <c r="AB589" s="1494"/>
      <c r="AC589" s="1213"/>
      <c r="AD589" s="1213"/>
      <c r="AE589" s="1213"/>
      <c r="AF589" s="1213"/>
      <c r="AG589" s="1213"/>
      <c r="AH589" s="1213"/>
      <c r="AI589" s="1213"/>
      <c r="AJ589" s="1213"/>
      <c r="AK589" s="1213"/>
      <c r="AL589" s="1213"/>
      <c r="AN589" s="1265"/>
    </row>
    <row r="590" spans="1:53" s="1226" customFormat="1" ht="12.75" customHeight="1">
      <c r="B590" s="1273"/>
      <c r="C590" s="1493"/>
      <c r="D590" s="1285"/>
      <c r="E590" s="1213" t="s">
        <v>2179</v>
      </c>
      <c r="O590" s="2483" t="s">
        <v>1344</v>
      </c>
      <c r="P590" s="2483"/>
      <c r="Q590" s="2483"/>
      <c r="R590" s="2483"/>
      <c r="S590" s="2483"/>
      <c r="T590" s="2483"/>
      <c r="U590" s="2483"/>
      <c r="V590" s="2483"/>
      <c r="W590" s="2483"/>
      <c r="X590" s="2483"/>
      <c r="Y590" s="2483"/>
      <c r="Z590" s="2483"/>
      <c r="AA590" s="2483"/>
      <c r="AB590" s="2483"/>
      <c r="AH590" s="1213"/>
      <c r="AI590" s="1213"/>
      <c r="AJ590" s="1213"/>
      <c r="AK590" s="1213"/>
      <c r="AL590" s="1213"/>
      <c r="AN590" s="1265"/>
    </row>
    <row r="591" spans="1:53" s="1226" customFormat="1" ht="12.75" customHeight="1">
      <c r="B591" s="1273"/>
      <c r="C591" s="1493"/>
      <c r="D591" s="1285"/>
      <c r="E591" s="1322"/>
      <c r="F591" s="1494"/>
      <c r="G591" s="1494"/>
      <c r="H591" s="1494"/>
      <c r="I591" s="1494"/>
      <c r="J591" s="1494"/>
      <c r="K591" s="1494"/>
      <c r="L591" s="1494"/>
      <c r="M591" s="1494"/>
      <c r="N591" s="1494"/>
      <c r="O591" s="1494"/>
      <c r="P591" s="1494"/>
      <c r="Q591" s="1494"/>
      <c r="R591" s="1494"/>
      <c r="S591" s="1494"/>
      <c r="T591" s="1494"/>
      <c r="U591" s="1494"/>
      <c r="V591" s="1494"/>
      <c r="W591" s="1494"/>
      <c r="X591" s="1494"/>
      <c r="Y591" s="1494"/>
      <c r="Z591" s="1494"/>
      <c r="AA591" s="1494"/>
      <c r="AB591" s="1494"/>
      <c r="AC591" s="1213"/>
      <c r="AD591" s="1213"/>
      <c r="AE591" s="1213"/>
      <c r="AF591" s="1213"/>
      <c r="AG591" s="1213"/>
      <c r="AH591" s="1213"/>
      <c r="AI591" s="1213"/>
      <c r="AJ591" s="1213"/>
      <c r="AK591" s="1213"/>
      <c r="AL591" s="1213"/>
      <c r="AN591" s="1265"/>
    </row>
    <row r="592" spans="1:53" s="1226" customFormat="1" ht="12.75" customHeight="1">
      <c r="B592" s="1213"/>
      <c r="C592" s="1493"/>
      <c r="D592" s="1285" t="s">
        <v>1588</v>
      </c>
      <c r="E592" s="1322" t="s">
        <v>2023</v>
      </c>
      <c r="F592" s="1494"/>
      <c r="G592" s="1494"/>
      <c r="H592" s="1494"/>
      <c r="I592" s="1494"/>
      <c r="J592" s="1494"/>
      <c r="K592" s="1494"/>
      <c r="L592" s="1494"/>
      <c r="M592" s="1494"/>
      <c r="N592" s="1494"/>
      <c r="O592" s="1494"/>
      <c r="P592" s="1494"/>
      <c r="Q592" s="1494"/>
      <c r="R592" s="1494"/>
      <c r="S592" s="1494"/>
      <c r="T592" s="1494"/>
      <c r="U592" s="1494"/>
      <c r="V592" s="1494"/>
      <c r="W592" s="1494"/>
      <c r="X592" s="1494"/>
      <c r="Y592" s="1494"/>
      <c r="Z592" s="1494"/>
      <c r="AA592" s="1494"/>
      <c r="AB592" s="1494"/>
      <c r="AC592" s="1213"/>
      <c r="AD592" s="1213"/>
      <c r="AE592" s="1213"/>
      <c r="AF592" s="2475" t="s">
        <v>1542</v>
      </c>
      <c r="AG592" s="2475"/>
      <c r="AH592" s="2475"/>
      <c r="AI592" s="2475"/>
      <c r="AJ592" s="2475"/>
      <c r="AK592" s="2475"/>
      <c r="AL592" s="2475"/>
      <c r="AN592" s="1265"/>
    </row>
    <row r="593" spans="2:47" s="1226" customFormat="1" ht="12.75" customHeight="1">
      <c r="B593" s="1213"/>
      <c r="C593" s="1493"/>
      <c r="D593" s="1285"/>
      <c r="E593" s="1322" t="s">
        <v>2022</v>
      </c>
      <c r="F593" s="1494"/>
      <c r="G593" s="1494"/>
      <c r="H593" s="1494"/>
      <c r="I593" s="1494"/>
      <c r="J593" s="1494"/>
      <c r="K593" s="1494"/>
      <c r="L593" s="1494"/>
      <c r="M593" s="1494"/>
      <c r="N593" s="1494"/>
      <c r="O593" s="1494"/>
      <c r="P593" s="1494"/>
      <c r="Q593" s="1494"/>
      <c r="R593" s="1494"/>
      <c r="S593" s="1494"/>
      <c r="T593" s="1494"/>
      <c r="U593" s="1494"/>
      <c r="V593" s="1494"/>
      <c r="W593" s="1494"/>
      <c r="X593" s="1494"/>
      <c r="Y593" s="1494"/>
      <c r="Z593" s="1494"/>
      <c r="AA593" s="1494"/>
      <c r="AB593" s="1494"/>
      <c r="AC593" s="1213"/>
      <c r="AD593" s="1213"/>
      <c r="AE593" s="1557"/>
      <c r="AF593" s="1213"/>
      <c r="AG593" s="1213"/>
      <c r="AH593" s="1213"/>
      <c r="AI593" s="1213"/>
      <c r="AJ593" s="1213"/>
      <c r="AK593" s="1213"/>
      <c r="AL593" s="1213"/>
      <c r="AN593" s="1265"/>
    </row>
    <row r="594" spans="2:47" s="1226" customFormat="1" ht="12.75" customHeight="1">
      <c r="B594" s="1213"/>
      <c r="C594" s="1495"/>
      <c r="D594" s="1213"/>
      <c r="E594" s="1278"/>
      <c r="F594" s="1559"/>
      <c r="G594" s="1559"/>
      <c r="H594" s="1559"/>
      <c r="I594" s="1559"/>
      <c r="J594" s="1559"/>
      <c r="K594" s="1559"/>
      <c r="L594" s="1559"/>
      <c r="M594" s="1559"/>
      <c r="N594" s="1559"/>
      <c r="O594" s="1559"/>
      <c r="P594" s="1559"/>
      <c r="Q594" s="1559"/>
      <c r="R594" s="1559"/>
      <c r="S594" s="1559"/>
      <c r="T594" s="1559"/>
      <c r="U594" s="1559"/>
      <c r="V594" s="1559"/>
      <c r="W594" s="1559"/>
      <c r="X594" s="1559"/>
      <c r="Y594" s="1559"/>
      <c r="Z594" s="1559"/>
      <c r="AA594" s="1559"/>
      <c r="AB594" s="1559"/>
      <c r="AC594" s="1213"/>
      <c r="AD594" s="1213"/>
      <c r="AE594" s="1213"/>
      <c r="AF594" s="1213"/>
      <c r="AG594" s="1213"/>
      <c r="AH594" s="1213"/>
      <c r="AI594" s="1213"/>
      <c r="AJ594" s="1213"/>
      <c r="AK594" s="1213"/>
      <c r="AL594" s="1213"/>
      <c r="AN594" s="1265"/>
      <c r="AO594" s="1226" t="s">
        <v>615</v>
      </c>
      <c r="AP594" s="1496">
        <v>0</v>
      </c>
      <c r="AT594" s="1226" t="s">
        <v>615</v>
      </c>
      <c r="AU594" s="1496">
        <v>0</v>
      </c>
    </row>
    <row r="595" spans="2:47" s="1226" customFormat="1" ht="12.75" customHeight="1">
      <c r="B595" s="1213"/>
      <c r="C595" s="1495"/>
      <c r="D595" s="1213" t="s">
        <v>1590</v>
      </c>
      <c r="E595" s="1559"/>
      <c r="F595" s="1559"/>
      <c r="G595" s="1559"/>
      <c r="H595" s="2476" t="s">
        <v>712</v>
      </c>
      <c r="I595" s="2476"/>
      <c r="J595" s="1559"/>
      <c r="K595" s="1559"/>
      <c r="L595" s="1559"/>
      <c r="M595" s="1559"/>
      <c r="N595" s="1213"/>
      <c r="O595" s="1213"/>
      <c r="P595" s="1213"/>
      <c r="Q595" s="1213"/>
      <c r="R595" s="1213"/>
      <c r="S595" s="1213"/>
      <c r="T595" s="1213"/>
      <c r="U595" s="1213"/>
      <c r="V595" s="1213"/>
      <c r="W595" s="1213"/>
      <c r="X595" s="1213"/>
      <c r="Y595" s="1213"/>
      <c r="Z595" s="1213"/>
      <c r="AA595" s="1213"/>
      <c r="AB595" s="1213"/>
      <c r="AC595" s="1213"/>
      <c r="AD595" s="1213"/>
      <c r="AE595" s="1213"/>
      <c r="AF595" s="1213"/>
      <c r="AG595" s="1213"/>
      <c r="AH595" s="1213"/>
      <c r="AI595" s="1213"/>
      <c r="AJ595" s="1213"/>
      <c r="AK595" s="1213"/>
      <c r="AL595" s="1213"/>
      <c r="AN595" s="1265"/>
      <c r="AO595" s="1274" t="s">
        <v>712</v>
      </c>
      <c r="AP595" s="1226">
        <v>3</v>
      </c>
      <c r="AT595" s="1274" t="s">
        <v>712</v>
      </c>
      <c r="AU595" s="1226">
        <v>3</v>
      </c>
    </row>
    <row r="596" spans="2:47" s="1226" customFormat="1" ht="12.75" customHeight="1">
      <c r="B596" s="1213"/>
      <c r="C596" s="1495"/>
      <c r="D596" s="1213"/>
      <c r="E596" s="1559"/>
      <c r="F596" s="1559"/>
      <c r="G596" s="1559"/>
      <c r="H596" s="1559"/>
      <c r="I596" s="1559"/>
      <c r="J596" s="1559"/>
      <c r="K596" s="1559"/>
      <c r="L596" s="1559"/>
      <c r="M596" s="1559"/>
      <c r="N596" s="1213"/>
      <c r="O596" s="1213"/>
      <c r="P596" s="1213"/>
      <c r="Q596" s="1213"/>
      <c r="R596" s="1213"/>
      <c r="S596" s="1213"/>
      <c r="T596" s="1213"/>
      <c r="U596" s="1213"/>
      <c r="V596" s="1213"/>
      <c r="W596" s="1213"/>
      <c r="X596" s="1213"/>
      <c r="Y596" s="1213"/>
      <c r="Z596" s="1213"/>
      <c r="AA596" s="1213"/>
      <c r="AB596" s="1213"/>
      <c r="AC596" s="1213"/>
      <c r="AD596" s="1213"/>
      <c r="AE596" s="1213"/>
      <c r="AF596" s="1213"/>
      <c r="AG596" s="1213"/>
      <c r="AH596" s="1213"/>
      <c r="AI596" s="1213"/>
      <c r="AJ596" s="1213"/>
      <c r="AK596" s="1213"/>
      <c r="AL596" s="1213"/>
      <c r="AN596" s="1265"/>
      <c r="AO596" s="1274" t="s">
        <v>532</v>
      </c>
      <c r="AP596" s="1226">
        <v>2</v>
      </c>
      <c r="AT596" s="1274" t="s">
        <v>532</v>
      </c>
      <c r="AU596" s="1226">
        <v>2</v>
      </c>
    </row>
    <row r="597" spans="2:47" s="1226" customFormat="1" ht="12.75" customHeight="1">
      <c r="B597" s="1213"/>
      <c r="C597" s="1495"/>
      <c r="D597" s="1213"/>
      <c r="E597" s="1559"/>
      <c r="F597" s="1559"/>
      <c r="G597" s="1559"/>
      <c r="H597" s="1559"/>
      <c r="I597" s="1559"/>
      <c r="J597" s="1559"/>
      <c r="K597" s="1559"/>
      <c r="L597" s="1559"/>
      <c r="M597" s="1559"/>
      <c r="N597" s="1213"/>
      <c r="O597" s="1213"/>
      <c r="P597" s="1213"/>
      <c r="Q597" s="1213"/>
      <c r="R597" s="1213"/>
      <c r="S597" s="1213"/>
      <c r="T597" s="1213"/>
      <c r="U597" s="1213"/>
      <c r="V597" s="1213"/>
      <c r="W597" s="1213"/>
      <c r="X597" s="1213"/>
      <c r="Y597" s="1213"/>
      <c r="Z597" s="1213"/>
      <c r="AA597" s="1213"/>
      <c r="AB597" s="1213"/>
      <c r="AC597" s="1213"/>
      <c r="AD597" s="1213"/>
      <c r="AE597" s="1213"/>
      <c r="AF597" s="1213"/>
      <c r="AG597" s="1213"/>
      <c r="AH597" s="1213"/>
      <c r="AI597" s="1213"/>
      <c r="AJ597" s="1213"/>
      <c r="AK597" s="1213"/>
      <c r="AL597" s="1213"/>
      <c r="AN597" s="1265"/>
      <c r="AO597" s="1274"/>
      <c r="AT597" s="1274"/>
    </row>
    <row r="598" spans="2:47" s="1226" customFormat="1" ht="12.75" customHeight="1">
      <c r="B598" s="1213"/>
      <c r="C598" s="1495"/>
      <c r="D598" s="1213" t="s">
        <v>2024</v>
      </c>
      <c r="E598" s="1559"/>
      <c r="F598" s="1559"/>
      <c r="G598" s="1559"/>
      <c r="H598" s="1559"/>
      <c r="I598" s="1559"/>
      <c r="J598" s="1559"/>
      <c r="K598" s="1559"/>
      <c r="L598" s="1559"/>
      <c r="M598" s="1559"/>
      <c r="N598" s="1213"/>
      <c r="O598" s="1213"/>
      <c r="P598" s="1213"/>
      <c r="Q598" s="1213"/>
      <c r="R598" s="1213"/>
      <c r="S598" s="1213"/>
      <c r="T598" s="1213"/>
      <c r="U598" s="1213"/>
      <c r="V598" s="1213"/>
      <c r="W598" s="1213"/>
      <c r="X598" s="1213"/>
      <c r="Y598" s="1213"/>
      <c r="Z598" s="1213"/>
      <c r="AA598" s="1213"/>
      <c r="AB598" s="1213"/>
      <c r="AC598" s="1213"/>
      <c r="AD598" s="1213"/>
      <c r="AE598" s="1213"/>
      <c r="AF598" s="1213"/>
      <c r="AG598" s="1213"/>
      <c r="AH598" s="1213"/>
      <c r="AI598" s="1213"/>
      <c r="AJ598" s="1213"/>
      <c r="AK598" s="1213"/>
      <c r="AL598" s="1213"/>
      <c r="AN598" s="1265"/>
    </row>
    <row r="599" spans="2:47" s="1226" customFormat="1" ht="12.75" customHeight="1">
      <c r="B599" s="1213"/>
      <c r="C599" s="1495"/>
      <c r="D599" s="1213" t="s">
        <v>2025</v>
      </c>
      <c r="E599" s="1559"/>
      <c r="F599" s="1559"/>
      <c r="G599" s="1559"/>
      <c r="H599" s="1559"/>
      <c r="I599" s="1559"/>
      <c r="J599" s="1559"/>
      <c r="K599" s="1559"/>
      <c r="L599" s="1559"/>
      <c r="M599" s="1559"/>
      <c r="N599" s="1213"/>
      <c r="O599" s="1213"/>
      <c r="P599" s="1213"/>
      <c r="Q599" s="1213"/>
      <c r="R599" s="1213"/>
      <c r="S599" s="1213"/>
      <c r="T599" s="1213"/>
      <c r="U599" s="1213"/>
      <c r="V599" s="1213"/>
      <c r="W599" s="1213"/>
      <c r="X599" s="1213"/>
      <c r="Y599" s="1213"/>
      <c r="Z599" s="1213"/>
      <c r="AA599" s="1213"/>
      <c r="AB599" s="1213"/>
      <c r="AC599" s="1213"/>
      <c r="AD599" s="1213"/>
      <c r="AE599" s="1213"/>
      <c r="AF599" s="1213"/>
      <c r="AG599" s="1213"/>
      <c r="AH599" s="1213"/>
      <c r="AI599" s="1213"/>
      <c r="AJ599" s="1213"/>
      <c r="AK599" s="1213"/>
      <c r="AL599" s="1213"/>
      <c r="AN599" s="1265"/>
    </row>
    <row r="600" spans="2:47" s="1226" customFormat="1" ht="12.75" customHeight="1">
      <c r="B600" s="1213"/>
      <c r="C600" s="1495"/>
      <c r="D600" s="1213" t="s">
        <v>2026</v>
      </c>
      <c r="E600" s="1559"/>
      <c r="F600" s="1559"/>
      <c r="G600" s="1559"/>
      <c r="H600" s="1559"/>
      <c r="I600" s="1559"/>
      <c r="J600" s="1559"/>
      <c r="K600" s="1559"/>
      <c r="L600" s="1559"/>
      <c r="M600" s="1559"/>
      <c r="N600" s="1213"/>
      <c r="O600" s="1213"/>
      <c r="P600" s="1213"/>
      <c r="Q600" s="1213"/>
      <c r="R600" s="1213"/>
      <c r="S600" s="1213"/>
      <c r="T600" s="1213"/>
      <c r="U600" s="1213"/>
      <c r="V600" s="1213"/>
      <c r="W600" s="1213"/>
      <c r="X600" s="1213"/>
      <c r="Y600" s="1213"/>
      <c r="Z600" s="1213"/>
      <c r="AA600" s="1213"/>
      <c r="AB600" s="1213"/>
      <c r="AC600" s="1213"/>
      <c r="AD600" s="1213"/>
      <c r="AE600" s="1213"/>
      <c r="AF600" s="1213"/>
      <c r="AG600" s="1213"/>
      <c r="AH600" s="1213"/>
      <c r="AI600" s="1213"/>
      <c r="AJ600" s="1213"/>
      <c r="AK600" s="1213"/>
      <c r="AL600" s="1213"/>
      <c r="AN600" s="1265"/>
    </row>
    <row r="601" spans="2:47" s="1226" customFormat="1" ht="12.75" customHeight="1">
      <c r="B601" s="1213"/>
      <c r="C601" s="1495"/>
      <c r="D601" s="1581" t="s">
        <v>2027</v>
      </c>
      <c r="E601" s="1559"/>
      <c r="F601" s="1559"/>
      <c r="G601" s="1559"/>
      <c r="H601" s="1559"/>
      <c r="I601" s="1559"/>
      <c r="J601" s="1559"/>
      <c r="K601" s="1559"/>
      <c r="L601" s="1559"/>
      <c r="M601" s="1559"/>
      <c r="N601" s="1213"/>
      <c r="O601" s="1213"/>
      <c r="P601" s="1213"/>
      <c r="Q601" s="1213"/>
      <c r="R601" s="1213"/>
      <c r="S601" s="1213"/>
      <c r="T601" s="1213"/>
      <c r="U601" s="1213"/>
      <c r="V601" s="1213"/>
      <c r="W601" s="1213"/>
      <c r="X601" s="1213"/>
      <c r="Y601" s="1213"/>
      <c r="Z601" s="1213"/>
      <c r="AA601" s="1213"/>
      <c r="AB601" s="1213"/>
      <c r="AC601" s="1213"/>
      <c r="AD601" s="1213"/>
      <c r="AE601" s="1213"/>
      <c r="AF601" s="1213"/>
      <c r="AG601" s="1213"/>
      <c r="AH601" s="1213"/>
      <c r="AI601" s="1213"/>
      <c r="AJ601" s="1213"/>
      <c r="AK601" s="1213"/>
      <c r="AL601" s="1213"/>
      <c r="AN601" s="1265"/>
    </row>
    <row r="602" spans="2:47" s="1226" customFormat="1" ht="12.75" customHeight="1">
      <c r="B602" s="1213"/>
      <c r="C602" s="1495"/>
      <c r="D602" s="1213"/>
      <c r="E602" s="1213"/>
      <c r="F602" s="1213"/>
      <c r="G602" s="1213"/>
      <c r="H602" s="1213"/>
      <c r="I602" s="1213"/>
      <c r="J602" s="1213"/>
      <c r="K602" s="1213"/>
      <c r="L602" s="1213"/>
      <c r="M602" s="1213"/>
      <c r="N602" s="1213"/>
      <c r="O602" s="1213"/>
      <c r="P602" s="1213"/>
      <c r="Q602" s="1213"/>
      <c r="R602" s="1213"/>
      <c r="S602" s="1213"/>
      <c r="T602" s="1213"/>
      <c r="U602" s="1213"/>
      <c r="V602" s="1213"/>
      <c r="W602" s="1213"/>
      <c r="X602" s="1213"/>
      <c r="Y602" s="1213"/>
      <c r="Z602" s="1213"/>
      <c r="AA602" s="1213"/>
      <c r="AB602" s="1213"/>
      <c r="AC602" s="1213"/>
      <c r="AD602" s="1213"/>
      <c r="AE602" s="1213"/>
      <c r="AF602" s="1213"/>
      <c r="AG602" s="1213"/>
      <c r="AH602" s="1213"/>
      <c r="AI602" s="1213"/>
      <c r="AJ602" s="1213"/>
      <c r="AK602" s="1213"/>
      <c r="AL602" s="1213"/>
      <c r="AN602" s="1265"/>
      <c r="AO602" s="1226" t="s">
        <v>615</v>
      </c>
      <c r="AP602" s="1496">
        <v>0</v>
      </c>
    </row>
    <row r="603" spans="2:47" s="1226" customFormat="1" ht="12.75" customHeight="1">
      <c r="B603" s="1213"/>
      <c r="C603" s="1495"/>
      <c r="D603" s="1213"/>
      <c r="E603" s="1213" t="s">
        <v>1590</v>
      </c>
      <c r="F603" s="1559"/>
      <c r="G603" s="1559"/>
      <c r="I603" s="2484" t="s">
        <v>615</v>
      </c>
      <c r="J603" s="2484"/>
      <c r="K603" s="2484"/>
      <c r="L603" s="2484"/>
      <c r="M603" s="2484"/>
      <c r="N603" s="2484"/>
      <c r="O603" s="2484"/>
      <c r="P603" s="2484"/>
      <c r="Q603" s="2484"/>
      <c r="R603" s="2484"/>
      <c r="S603" s="2484"/>
      <c r="T603" s="2484"/>
      <c r="U603" s="2484"/>
      <c r="V603" s="2484"/>
      <c r="W603" s="2484"/>
      <c r="X603" s="2484"/>
      <c r="Y603" s="2484"/>
      <c r="Z603" s="2484"/>
      <c r="AA603" s="2484"/>
      <c r="AB603" s="2484"/>
      <c r="AC603" s="2484"/>
      <c r="AD603" s="2484"/>
      <c r="AE603" s="2484"/>
      <c r="AF603" s="1213"/>
      <c r="AG603" s="1213"/>
      <c r="AH603" s="1213"/>
      <c r="AI603" s="1213"/>
      <c r="AJ603" s="1213"/>
      <c r="AK603" s="1213"/>
      <c r="AL603" s="1213"/>
      <c r="AN603" s="1265"/>
      <c r="AO603" s="1226" t="s">
        <v>1591</v>
      </c>
      <c r="AP603" s="1226">
        <v>3</v>
      </c>
    </row>
    <row r="604" spans="2:47" s="1226" customFormat="1" ht="12.75" customHeight="1">
      <c r="B604" s="1213"/>
      <c r="C604" s="1213"/>
      <c r="D604" s="1213"/>
      <c r="E604" s="1213"/>
      <c r="F604" s="1263"/>
      <c r="G604" s="1263"/>
      <c r="H604" s="1263"/>
      <c r="I604" s="1263"/>
      <c r="J604" s="1263"/>
      <c r="K604" s="1263"/>
      <c r="L604" s="1263"/>
      <c r="M604" s="1263"/>
      <c r="N604" s="1263"/>
      <c r="O604" s="1263"/>
      <c r="P604" s="1263"/>
      <c r="Q604" s="1263"/>
      <c r="R604" s="1263"/>
      <c r="S604" s="1263"/>
      <c r="T604" s="1263"/>
      <c r="U604" s="1263"/>
      <c r="V604" s="1263"/>
      <c r="W604" s="1263"/>
      <c r="X604" s="1263"/>
      <c r="Y604" s="1263"/>
      <c r="Z604" s="1263"/>
      <c r="AA604" s="1263"/>
      <c r="AB604" s="1263"/>
      <c r="AC604" s="1263"/>
      <c r="AD604" s="1263"/>
      <c r="AE604" s="1263"/>
      <c r="AF604" s="1263"/>
      <c r="AG604" s="1263"/>
      <c r="AH604" s="1263"/>
      <c r="AI604" s="1263"/>
      <c r="AJ604" s="1263"/>
      <c r="AK604" s="1263"/>
      <c r="AL604" s="1263"/>
      <c r="AN604" s="1265"/>
      <c r="AO604" s="1226" t="s">
        <v>1592</v>
      </c>
      <c r="AP604" s="1226">
        <v>2</v>
      </c>
    </row>
    <row r="605" spans="2:47" s="1226" customFormat="1" ht="12.75" customHeight="1">
      <c r="B605" s="2481" t="s">
        <v>615</v>
      </c>
      <c r="C605" s="2481"/>
      <c r="D605" s="1263"/>
      <c r="E605" s="2474" t="s">
        <v>1593</v>
      </c>
      <c r="F605" s="2474"/>
      <c r="G605" s="2474"/>
      <c r="H605" s="2474"/>
      <c r="I605" s="2474"/>
      <c r="J605" s="2474"/>
      <c r="K605" s="2474"/>
      <c r="L605" s="2474"/>
      <c r="M605" s="2474"/>
      <c r="N605" s="2474"/>
      <c r="O605" s="2474"/>
      <c r="P605" s="2474"/>
      <c r="Q605" s="2474"/>
      <c r="R605" s="2474"/>
      <c r="S605" s="2474"/>
      <c r="T605" s="2474"/>
      <c r="U605" s="2474"/>
      <c r="V605" s="2474"/>
      <c r="W605" s="2474"/>
      <c r="X605" s="2474"/>
      <c r="Y605" s="2474"/>
      <c r="Z605" s="2474"/>
      <c r="AA605" s="2474"/>
      <c r="AB605" s="2474"/>
      <c r="AC605" s="2474"/>
      <c r="AD605" s="2474"/>
      <c r="AE605" s="2474"/>
      <c r="AF605" s="2474"/>
      <c r="AG605" s="2474"/>
      <c r="AH605" s="1263"/>
      <c r="AI605" s="1263"/>
      <c r="AJ605" s="1263"/>
      <c r="AK605" s="1263"/>
      <c r="AL605" s="1263"/>
      <c r="AN605" s="1265"/>
    </row>
    <row r="606" spans="2:47" s="1226" customFormat="1" ht="12.75" customHeight="1">
      <c r="B606" s="1213"/>
      <c r="C606" s="1495"/>
      <c r="D606" s="1263"/>
      <c r="E606" s="2474"/>
      <c r="F606" s="2474"/>
      <c r="G606" s="2474"/>
      <c r="H606" s="2474"/>
      <c r="I606" s="2474"/>
      <c r="J606" s="2474"/>
      <c r="K606" s="2474"/>
      <c r="L606" s="2474"/>
      <c r="M606" s="2474"/>
      <c r="N606" s="2474"/>
      <c r="O606" s="2474"/>
      <c r="P606" s="2474"/>
      <c r="Q606" s="2474"/>
      <c r="R606" s="2474"/>
      <c r="S606" s="2474"/>
      <c r="T606" s="2474"/>
      <c r="U606" s="2474"/>
      <c r="V606" s="2474"/>
      <c r="W606" s="2474"/>
      <c r="X606" s="2474"/>
      <c r="Y606" s="2474"/>
      <c r="Z606" s="2474"/>
      <c r="AA606" s="2474"/>
      <c r="AB606" s="2474"/>
      <c r="AC606" s="2474"/>
      <c r="AD606" s="2474"/>
      <c r="AE606" s="2474"/>
      <c r="AF606" s="2474"/>
      <c r="AG606" s="2474"/>
      <c r="AH606" s="1263"/>
      <c r="AI606" s="1263"/>
      <c r="AJ606" s="1263"/>
      <c r="AK606" s="1263"/>
      <c r="AL606" s="1263"/>
      <c r="AN606" s="1265"/>
    </row>
    <row r="607" spans="2:47" s="1226" customFormat="1" ht="12.75" customHeight="1">
      <c r="B607" s="1213"/>
      <c r="C607" s="1495"/>
      <c r="D607" s="1263"/>
      <c r="E607" s="2474"/>
      <c r="F607" s="2474"/>
      <c r="G607" s="2474"/>
      <c r="H607" s="2474"/>
      <c r="I607" s="2474"/>
      <c r="J607" s="2474"/>
      <c r="K607" s="2474"/>
      <c r="L607" s="2474"/>
      <c r="M607" s="2474"/>
      <c r="N607" s="2474"/>
      <c r="O607" s="2474"/>
      <c r="P607" s="2474"/>
      <c r="Q607" s="2474"/>
      <c r="R607" s="2474"/>
      <c r="S607" s="2474"/>
      <c r="T607" s="2474"/>
      <c r="U607" s="2474"/>
      <c r="V607" s="2474"/>
      <c r="W607" s="2474"/>
      <c r="X607" s="2474"/>
      <c r="Y607" s="2474"/>
      <c r="Z607" s="2474"/>
      <c r="AA607" s="2474"/>
      <c r="AB607" s="2474"/>
      <c r="AC607" s="2474"/>
      <c r="AD607" s="2474"/>
      <c r="AE607" s="2474"/>
      <c r="AF607" s="2474"/>
      <c r="AG607" s="2474"/>
      <c r="AH607" s="1263"/>
      <c r="AI607" s="1263"/>
      <c r="AJ607" s="1263"/>
      <c r="AK607" s="1263"/>
      <c r="AL607" s="1263"/>
      <c r="AN607" s="1265"/>
    </row>
    <row r="608" spans="2:47" s="1226" customFormat="1" ht="12.75" customHeight="1">
      <c r="B608" s="1213"/>
      <c r="C608" s="1495"/>
      <c r="D608" s="1263"/>
      <c r="E608" s="2474"/>
      <c r="F608" s="2474"/>
      <c r="G608" s="2474"/>
      <c r="H608" s="2474"/>
      <c r="I608" s="2474"/>
      <c r="J608" s="2474"/>
      <c r="K608" s="2474"/>
      <c r="L608" s="2474"/>
      <c r="M608" s="2474"/>
      <c r="N608" s="2474"/>
      <c r="O608" s="2474"/>
      <c r="P608" s="2474"/>
      <c r="Q608" s="2474"/>
      <c r="R608" s="2474"/>
      <c r="S608" s="2474"/>
      <c r="T608" s="2474"/>
      <c r="U608" s="2474"/>
      <c r="V608" s="2474"/>
      <c r="W608" s="2474"/>
      <c r="X608" s="2474"/>
      <c r="Y608" s="2474"/>
      <c r="Z608" s="2474"/>
      <c r="AA608" s="2474"/>
      <c r="AB608" s="2474"/>
      <c r="AC608" s="2474"/>
      <c r="AD608" s="2474"/>
      <c r="AE608" s="2474"/>
      <c r="AF608" s="2474"/>
      <c r="AG608" s="2474"/>
      <c r="AH608" s="1263"/>
      <c r="AI608" s="1263"/>
      <c r="AJ608" s="1263"/>
      <c r="AK608" s="1263"/>
      <c r="AL608" s="1263"/>
      <c r="AN608" s="1265"/>
    </row>
    <row r="609" spans="1:42" s="1226" customFormat="1" ht="12.75" customHeight="1">
      <c r="B609" s="1213"/>
      <c r="C609" s="1495"/>
      <c r="D609" s="1500"/>
      <c r="E609" s="1501"/>
      <c r="F609" s="1501"/>
      <c r="G609" s="1501"/>
      <c r="H609" s="1501"/>
      <c r="I609" s="1501"/>
      <c r="J609" s="1501"/>
      <c r="K609" s="1501"/>
      <c r="L609" s="1501"/>
      <c r="M609" s="1501"/>
      <c r="N609" s="1501"/>
      <c r="O609" s="1501"/>
      <c r="P609" s="1501"/>
      <c r="Q609" s="1501"/>
      <c r="R609" s="1501"/>
      <c r="S609" s="1501"/>
      <c r="T609" s="1501"/>
      <c r="U609" s="1501"/>
      <c r="V609" s="1501"/>
      <c r="W609" s="1501"/>
      <c r="X609" s="1501"/>
      <c r="Y609" s="1501"/>
      <c r="Z609" s="1501"/>
      <c r="AA609" s="1501"/>
      <c r="AB609" s="1501"/>
      <c r="AC609" s="1501"/>
      <c r="AD609" s="1501"/>
      <c r="AE609" s="1501"/>
      <c r="AF609" s="1501"/>
      <c r="AG609" s="1501"/>
      <c r="AH609" s="1500"/>
      <c r="AI609" s="1500"/>
      <c r="AJ609" s="1500"/>
      <c r="AK609" s="1500"/>
      <c r="AL609" s="1263"/>
      <c r="AN609" s="1265"/>
    </row>
    <row r="610" spans="1:42" s="1226" customFormat="1" ht="12.75" customHeight="1">
      <c r="A610" s="1269"/>
      <c r="B610" s="1261"/>
      <c r="C610" s="1502"/>
      <c r="D610" s="1261"/>
      <c r="E610" s="1503"/>
      <c r="F610" s="1503"/>
      <c r="G610" s="1503"/>
      <c r="H610" s="1503"/>
      <c r="I610" s="1503"/>
      <c r="J610" s="1503"/>
      <c r="K610" s="1503"/>
      <c r="L610" s="1503"/>
      <c r="M610" s="1503"/>
      <c r="N610" s="1503"/>
      <c r="O610" s="1503"/>
      <c r="P610" s="1503"/>
      <c r="Q610" s="1503"/>
      <c r="R610" s="1503"/>
      <c r="S610" s="1503"/>
      <c r="T610" s="1503"/>
      <c r="U610" s="1503"/>
      <c r="V610" s="1503"/>
      <c r="W610" s="1503"/>
      <c r="X610" s="1503"/>
      <c r="Y610" s="1503"/>
      <c r="Z610" s="1503"/>
      <c r="AA610" s="1503"/>
      <c r="AB610" s="1261"/>
      <c r="AC610" s="1261"/>
      <c r="AD610" s="1261"/>
      <c r="AE610" s="1261"/>
      <c r="AF610" s="1261"/>
      <c r="AG610" s="1261"/>
      <c r="AH610" s="1261"/>
      <c r="AI610" s="1233" t="s">
        <v>1594</v>
      </c>
      <c r="AJ610" s="2454">
        <f>VLOOKUP($H$595,$AO$575:$AP$580,2,FALSE)+VLOOKUP($I$603,$AO$602:$AP$604,2,FALSE)</f>
        <v>7</v>
      </c>
      <c r="AK610" s="2456"/>
      <c r="AL610" s="1566"/>
      <c r="AM610" s="1504"/>
      <c r="AN610" s="1265"/>
    </row>
    <row r="611" spans="1:42" s="1226" customFormat="1" ht="12.75" customHeight="1">
      <c r="B611" s="1213"/>
      <c r="C611" s="1495"/>
      <c r="D611" s="1213"/>
      <c r="E611" s="1559"/>
      <c r="F611" s="1559"/>
      <c r="G611" s="1559"/>
      <c r="H611" s="1559"/>
      <c r="I611" s="1559"/>
      <c r="J611" s="1559"/>
      <c r="K611" s="1559"/>
      <c r="L611" s="1559"/>
      <c r="M611" s="1559"/>
      <c r="N611" s="1559"/>
      <c r="O611" s="1559"/>
      <c r="P611" s="1559"/>
      <c r="Q611" s="1559"/>
      <c r="R611" s="1559"/>
      <c r="S611" s="1559"/>
      <c r="T611" s="1559"/>
      <c r="U611" s="1559"/>
      <c r="V611" s="1559"/>
      <c r="W611" s="1559"/>
      <c r="X611" s="1559"/>
      <c r="Y611" s="1559"/>
      <c r="Z611" s="1559"/>
      <c r="AA611" s="1559"/>
      <c r="AB611" s="1559"/>
      <c r="AC611" s="1213"/>
      <c r="AD611" s="1213"/>
      <c r="AE611" s="1559"/>
      <c r="AF611" s="1559"/>
      <c r="AG611" s="1559"/>
      <c r="AH611" s="1559"/>
      <c r="AI611" s="1559"/>
      <c r="AJ611" s="1559"/>
      <c r="AK611" s="1559"/>
      <c r="AL611" s="1559"/>
      <c r="AM611" s="1504"/>
      <c r="AN611" s="1265"/>
    </row>
    <row r="612" spans="1:42" s="1226" customFormat="1" ht="12.75" customHeight="1">
      <c r="B612" s="1213"/>
      <c r="C612" s="1575" t="s">
        <v>1595</v>
      </c>
      <c r="D612" s="1575"/>
      <c r="E612" s="1559"/>
      <c r="F612" s="1559"/>
      <c r="G612" s="1559"/>
      <c r="H612" s="1559"/>
      <c r="I612" s="1559"/>
      <c r="J612" s="1559"/>
      <c r="K612" s="1559"/>
      <c r="L612" s="1559"/>
      <c r="M612" s="1559"/>
      <c r="N612" s="1559"/>
      <c r="O612" s="1559"/>
      <c r="P612" s="1559"/>
      <c r="Q612" s="1559"/>
      <c r="R612" s="1559"/>
      <c r="S612" s="1559"/>
      <c r="T612" s="1559"/>
      <c r="U612" s="1559"/>
      <c r="V612" s="1559"/>
      <c r="W612" s="1559"/>
      <c r="X612" s="1559"/>
      <c r="Y612" s="1559"/>
      <c r="Z612" s="1559"/>
      <c r="AA612" s="1559"/>
      <c r="AB612" s="1559"/>
      <c r="AC612" s="1213"/>
      <c r="AD612" s="1213"/>
      <c r="AE612" s="1213"/>
      <c r="AF612" s="1213"/>
      <c r="AG612" s="1213"/>
      <c r="AH612" s="1213"/>
      <c r="AI612" s="1213"/>
      <c r="AJ612" s="1213"/>
      <c r="AK612" s="1213"/>
      <c r="AL612" s="1213"/>
      <c r="AN612" s="1265"/>
    </row>
    <row r="613" spans="1:42" s="1226" customFormat="1" ht="12.75" customHeight="1">
      <c r="B613" s="1273"/>
      <c r="C613" s="1213"/>
      <c r="D613" s="1498"/>
      <c r="E613" s="1559"/>
      <c r="F613" s="1559"/>
      <c r="G613" s="1559"/>
      <c r="H613" s="1559"/>
      <c r="I613" s="1559"/>
      <c r="J613" s="1559"/>
      <c r="K613" s="1559"/>
      <c r="L613" s="1559"/>
      <c r="M613" s="1559"/>
      <c r="N613" s="1559"/>
      <c r="O613" s="1559"/>
      <c r="P613" s="1559"/>
      <c r="Q613" s="1559"/>
      <c r="R613" s="1559"/>
      <c r="S613" s="1559"/>
      <c r="T613" s="1559"/>
      <c r="U613" s="1559"/>
      <c r="V613" s="1559"/>
      <c r="W613" s="1559"/>
      <c r="X613" s="1559"/>
      <c r="Y613" s="1559"/>
      <c r="Z613" s="1559"/>
      <c r="AA613" s="1559"/>
      <c r="AB613" s="1559"/>
      <c r="AC613" s="1213"/>
      <c r="AD613" s="1213"/>
      <c r="AE613" s="1213"/>
      <c r="AF613" s="1213"/>
      <c r="AG613" s="1213"/>
      <c r="AH613" s="1213"/>
      <c r="AI613" s="1213"/>
      <c r="AJ613" s="1213"/>
      <c r="AK613" s="1213"/>
      <c r="AL613" s="1213"/>
      <c r="AN613" s="1265"/>
    </row>
    <row r="614" spans="1:42" s="1336" customFormat="1" ht="12.75" customHeight="1">
      <c r="A614" s="1226"/>
      <c r="B614" s="1213"/>
      <c r="C614" s="1213"/>
      <c r="D614" s="1285" t="s">
        <v>712</v>
      </c>
      <c r="E614" s="2482" t="s">
        <v>2003</v>
      </c>
      <c r="F614" s="2482"/>
      <c r="G614" s="2482"/>
      <c r="H614" s="2482"/>
      <c r="I614" s="2482"/>
      <c r="J614" s="2482"/>
      <c r="K614" s="2482"/>
      <c r="L614" s="2482"/>
      <c r="M614" s="2482"/>
      <c r="N614" s="2482"/>
      <c r="O614" s="2482"/>
      <c r="P614" s="2482"/>
      <c r="Q614" s="2482"/>
      <c r="R614" s="2482"/>
      <c r="S614" s="2482"/>
      <c r="T614" s="2482"/>
      <c r="U614" s="2482"/>
      <c r="V614" s="2482"/>
      <c r="W614" s="2482"/>
      <c r="X614" s="2482"/>
      <c r="Y614" s="2482"/>
      <c r="Z614" s="2482"/>
      <c r="AA614" s="2482"/>
      <c r="AB614" s="2482"/>
      <c r="AC614" s="2482"/>
      <c r="AD614" s="2482"/>
      <c r="AE614" s="1575"/>
      <c r="AF614" s="2475" t="s">
        <v>1542</v>
      </c>
      <c r="AG614" s="2475"/>
      <c r="AH614" s="2475"/>
      <c r="AI614" s="2475"/>
      <c r="AJ614" s="2475"/>
      <c r="AK614" s="2475"/>
      <c r="AL614" s="2475"/>
      <c r="AM614" s="1226"/>
      <c r="AN614" s="1452"/>
    </row>
    <row r="615" spans="1:42" s="1226" customFormat="1" ht="12.75" customHeight="1">
      <c r="A615" s="1561"/>
      <c r="B615" s="1213"/>
      <c r="C615" s="1495"/>
      <c r="D615" s="1285"/>
      <c r="E615" s="2482"/>
      <c r="F615" s="2482"/>
      <c r="G615" s="2482"/>
      <c r="H615" s="2482"/>
      <c r="I615" s="2482"/>
      <c r="J615" s="2482"/>
      <c r="K615" s="2482"/>
      <c r="L615" s="2482"/>
      <c r="M615" s="2482"/>
      <c r="N615" s="2482"/>
      <c r="O615" s="2482"/>
      <c r="P615" s="2482"/>
      <c r="Q615" s="2482"/>
      <c r="R615" s="2482"/>
      <c r="S615" s="2482"/>
      <c r="T615" s="2482"/>
      <c r="U615" s="2482"/>
      <c r="V615" s="2482"/>
      <c r="W615" s="2482"/>
      <c r="X615" s="2482"/>
      <c r="Y615" s="2482"/>
      <c r="Z615" s="2482"/>
      <c r="AA615" s="2482"/>
      <c r="AB615" s="2482"/>
      <c r="AC615" s="2482"/>
      <c r="AD615" s="2482"/>
      <c r="AE615" s="1213"/>
      <c r="AF615" s="1213"/>
      <c r="AG615" s="1213"/>
      <c r="AH615" s="1213"/>
      <c r="AI615" s="1213"/>
      <c r="AJ615" s="1213"/>
      <c r="AK615" s="1213"/>
      <c r="AL615" s="1213"/>
      <c r="AN615" s="1265"/>
    </row>
    <row r="616" spans="1:42" s="1226" customFormat="1" ht="12.75" customHeight="1">
      <c r="B616" s="1213"/>
      <c r="C616" s="1493"/>
      <c r="D616" s="1285"/>
      <c r="E616" s="2482"/>
      <c r="F616" s="2482"/>
      <c r="G616" s="2482"/>
      <c r="H616" s="2482"/>
      <c r="I616" s="2482"/>
      <c r="J616" s="2482"/>
      <c r="K616" s="2482"/>
      <c r="L616" s="2482"/>
      <c r="M616" s="2482"/>
      <c r="N616" s="2482"/>
      <c r="O616" s="2482"/>
      <c r="P616" s="2482"/>
      <c r="Q616" s="2482"/>
      <c r="R616" s="2482"/>
      <c r="S616" s="2482"/>
      <c r="T616" s="2482"/>
      <c r="U616" s="2482"/>
      <c r="V616" s="2482"/>
      <c r="W616" s="2482"/>
      <c r="X616" s="2482"/>
      <c r="Y616" s="2482"/>
      <c r="Z616" s="2482"/>
      <c r="AA616" s="2482"/>
      <c r="AB616" s="2482"/>
      <c r="AC616" s="2482"/>
      <c r="AD616" s="2482"/>
      <c r="AE616" s="1213"/>
      <c r="AF616" s="1213"/>
      <c r="AG616" s="1213"/>
      <c r="AH616" s="1213"/>
      <c r="AI616" s="1213"/>
      <c r="AJ616" s="1213"/>
      <c r="AK616" s="1213"/>
      <c r="AL616" s="1213"/>
      <c r="AN616" s="1265"/>
    </row>
    <row r="617" spans="1:42" s="1226" customFormat="1" ht="12.75" customHeight="1">
      <c r="B617" s="1213"/>
      <c r="C617" s="1493"/>
      <c r="D617" s="1285"/>
      <c r="E617" s="2482"/>
      <c r="F617" s="2482"/>
      <c r="G617" s="2482"/>
      <c r="H617" s="2482"/>
      <c r="I617" s="2482"/>
      <c r="J617" s="2482"/>
      <c r="K617" s="2482"/>
      <c r="L617" s="2482"/>
      <c r="M617" s="2482"/>
      <c r="N617" s="2482"/>
      <c r="O617" s="2482"/>
      <c r="P617" s="2482"/>
      <c r="Q617" s="2482"/>
      <c r="R617" s="2482"/>
      <c r="S617" s="2482"/>
      <c r="T617" s="2482"/>
      <c r="U617" s="2482"/>
      <c r="V617" s="2482"/>
      <c r="W617" s="2482"/>
      <c r="X617" s="2482"/>
      <c r="Y617" s="2482"/>
      <c r="Z617" s="2482"/>
      <c r="AA617" s="2482"/>
      <c r="AB617" s="2482"/>
      <c r="AC617" s="2482"/>
      <c r="AD617" s="2482"/>
      <c r="AE617" s="1213"/>
      <c r="AF617" s="1213"/>
      <c r="AG617" s="1213"/>
      <c r="AH617" s="1213"/>
      <c r="AI617" s="1213"/>
      <c r="AJ617" s="1213"/>
      <c r="AK617" s="1213"/>
      <c r="AL617" s="1213"/>
      <c r="AN617" s="1265"/>
    </row>
    <row r="618" spans="1:42" s="1226" customFormat="1" ht="12.75" customHeight="1">
      <c r="B618" s="1213"/>
      <c r="C618" s="1493"/>
      <c r="D618" s="1285"/>
      <c r="E618" s="2482"/>
      <c r="F618" s="2482"/>
      <c r="G618" s="2482"/>
      <c r="H618" s="2482"/>
      <c r="I618" s="2482"/>
      <c r="J618" s="2482"/>
      <c r="K618" s="2482"/>
      <c r="L618" s="2482"/>
      <c r="M618" s="2482"/>
      <c r="N618" s="2482"/>
      <c r="O618" s="2482"/>
      <c r="P618" s="2482"/>
      <c r="Q618" s="2482"/>
      <c r="R618" s="2482"/>
      <c r="S618" s="2482"/>
      <c r="T618" s="2482"/>
      <c r="U618" s="2482"/>
      <c r="V618" s="2482"/>
      <c r="W618" s="2482"/>
      <c r="X618" s="2482"/>
      <c r="Y618" s="2482"/>
      <c r="Z618" s="2482"/>
      <c r="AA618" s="2482"/>
      <c r="AB618" s="2482"/>
      <c r="AC618" s="2482"/>
      <c r="AD618" s="2482"/>
      <c r="AE618" s="1213"/>
      <c r="AF618" s="1213"/>
      <c r="AG618" s="1213"/>
      <c r="AH618" s="1213"/>
      <c r="AI618" s="1213"/>
      <c r="AJ618" s="1213"/>
      <c r="AK618" s="1213"/>
      <c r="AL618" s="1213"/>
      <c r="AN618" s="1265"/>
    </row>
    <row r="619" spans="1:42" s="1226" customFormat="1" ht="12.75" customHeight="1">
      <c r="B619" s="1213"/>
      <c r="C619" s="1493"/>
      <c r="D619" s="1285"/>
      <c r="E619" s="2482"/>
      <c r="F619" s="2482"/>
      <c r="G619" s="2482"/>
      <c r="H619" s="2482"/>
      <c r="I619" s="2482"/>
      <c r="J619" s="2482"/>
      <c r="K619" s="2482"/>
      <c r="L619" s="2482"/>
      <c r="M619" s="2482"/>
      <c r="N619" s="2482"/>
      <c r="O619" s="2482"/>
      <c r="P619" s="2482"/>
      <c r="Q619" s="2482"/>
      <c r="R619" s="2482"/>
      <c r="S619" s="2482"/>
      <c r="T619" s="2482"/>
      <c r="U619" s="2482"/>
      <c r="V619" s="2482"/>
      <c r="W619" s="2482"/>
      <c r="X619" s="2482"/>
      <c r="Y619" s="2482"/>
      <c r="Z619" s="2482"/>
      <c r="AA619" s="2482"/>
      <c r="AB619" s="2482"/>
      <c r="AC619" s="2482"/>
      <c r="AD619" s="2482"/>
      <c r="AE619" s="1213"/>
      <c r="AF619" s="1213"/>
      <c r="AG619" s="1213"/>
      <c r="AH619" s="1213"/>
      <c r="AI619" s="1213"/>
      <c r="AJ619" s="1213"/>
      <c r="AK619" s="1213"/>
      <c r="AL619" s="1213"/>
      <c r="AN619" s="1265"/>
    </row>
    <row r="620" spans="1:42" s="1226" customFormat="1" ht="12.75" customHeight="1">
      <c r="A620" s="1339"/>
      <c r="B620" s="1278"/>
      <c r="C620" s="1505"/>
      <c r="D620" s="1285"/>
      <c r="E620" s="2482"/>
      <c r="F620" s="2482"/>
      <c r="G620" s="2482"/>
      <c r="H620" s="2482"/>
      <c r="I620" s="2482"/>
      <c r="J620" s="2482"/>
      <c r="K620" s="2482"/>
      <c r="L620" s="2482"/>
      <c r="M620" s="2482"/>
      <c r="N620" s="2482"/>
      <c r="O620" s="2482"/>
      <c r="P620" s="2482"/>
      <c r="Q620" s="2482"/>
      <c r="R620" s="2482"/>
      <c r="S620" s="2482"/>
      <c r="T620" s="2482"/>
      <c r="U620" s="2482"/>
      <c r="V620" s="2482"/>
      <c r="W620" s="2482"/>
      <c r="X620" s="2482"/>
      <c r="Y620" s="2482"/>
      <c r="Z620" s="2482"/>
      <c r="AA620" s="2482"/>
      <c r="AB620" s="2482"/>
      <c r="AC620" s="2482"/>
      <c r="AD620" s="2482"/>
      <c r="AE620" s="1278"/>
      <c r="AF620" s="1278"/>
      <c r="AG620" s="1278"/>
      <c r="AH620" s="1278"/>
      <c r="AI620" s="1278"/>
      <c r="AJ620" s="1278"/>
      <c r="AK620" s="1213"/>
      <c r="AL620" s="1213"/>
      <c r="AN620" s="1265"/>
    </row>
    <row r="621" spans="1:42" s="1226" customFormat="1" ht="12.75" customHeight="1">
      <c r="B621" s="1278"/>
      <c r="C621" s="1505"/>
      <c r="D621" s="1285"/>
      <c r="E621" s="2482"/>
      <c r="F621" s="2482"/>
      <c r="G621" s="2482"/>
      <c r="H621" s="2482"/>
      <c r="I621" s="2482"/>
      <c r="J621" s="2482"/>
      <c r="K621" s="2482"/>
      <c r="L621" s="2482"/>
      <c r="M621" s="2482"/>
      <c r="N621" s="2482"/>
      <c r="O621" s="2482"/>
      <c r="P621" s="2482"/>
      <c r="Q621" s="2482"/>
      <c r="R621" s="2482"/>
      <c r="S621" s="2482"/>
      <c r="T621" s="2482"/>
      <c r="U621" s="2482"/>
      <c r="V621" s="2482"/>
      <c r="W621" s="2482"/>
      <c r="X621" s="2482"/>
      <c r="Y621" s="2482"/>
      <c r="Z621" s="2482"/>
      <c r="AA621" s="2482"/>
      <c r="AB621" s="2482"/>
      <c r="AC621" s="2482"/>
      <c r="AD621" s="2482"/>
      <c r="AE621" s="1278"/>
      <c r="AF621" s="1278"/>
      <c r="AG621" s="1278"/>
      <c r="AH621" s="1278"/>
      <c r="AI621" s="1278"/>
      <c r="AJ621" s="1278"/>
      <c r="AK621" s="1213"/>
      <c r="AL621" s="1213"/>
      <c r="AN621" s="1265"/>
    </row>
    <row r="622" spans="1:42" s="1226" customFormat="1" ht="12" customHeight="1">
      <c r="B622" s="1278"/>
      <c r="C622" s="1505"/>
      <c r="D622" s="1285"/>
      <c r="E622" s="1562"/>
      <c r="F622" s="1562"/>
      <c r="G622" s="1562"/>
      <c r="H622" s="1562"/>
      <c r="I622" s="1562"/>
      <c r="J622" s="1562"/>
      <c r="K622" s="1562"/>
      <c r="L622" s="1562"/>
      <c r="M622" s="1562"/>
      <c r="N622" s="1562"/>
      <c r="O622" s="1562"/>
      <c r="P622" s="1562"/>
      <c r="Q622" s="1562"/>
      <c r="R622" s="1562"/>
      <c r="S622" s="1562"/>
      <c r="T622" s="1562"/>
      <c r="U622" s="1562"/>
      <c r="V622" s="1562"/>
      <c r="W622" s="1562"/>
      <c r="X622" s="1562"/>
      <c r="Y622" s="1562"/>
      <c r="Z622" s="1562"/>
      <c r="AA622" s="1562"/>
      <c r="AB622" s="1562"/>
      <c r="AC622" s="1562"/>
      <c r="AD622" s="1562"/>
      <c r="AE622" s="1278"/>
      <c r="AF622" s="1278"/>
      <c r="AG622" s="1278"/>
      <c r="AH622" s="1278"/>
      <c r="AI622" s="1278"/>
      <c r="AJ622" s="1278"/>
      <c r="AK622" s="1213"/>
      <c r="AL622" s="1213"/>
      <c r="AN622" s="1265"/>
      <c r="AO622" s="1226" t="s">
        <v>615</v>
      </c>
      <c r="AP622" s="1496">
        <v>0</v>
      </c>
    </row>
    <row r="623" spans="1:42" s="1226" customFormat="1" ht="12.75" customHeight="1">
      <c r="B623" s="1278"/>
      <c r="C623" s="1493"/>
      <c r="D623" s="1285"/>
      <c r="E623" s="1278" t="s">
        <v>1596</v>
      </c>
      <c r="F623" s="1506"/>
      <c r="G623" s="1506"/>
      <c r="H623" s="1506"/>
      <c r="I623" s="1506"/>
      <c r="J623" s="1506"/>
      <c r="K623" s="1506"/>
      <c r="L623" s="1506"/>
      <c r="M623" s="1506"/>
      <c r="N623" s="1506"/>
      <c r="O623" s="1506"/>
      <c r="P623" s="1506"/>
      <c r="Q623" s="1506"/>
      <c r="R623" s="1506"/>
      <c r="U623" s="1506"/>
      <c r="V623" s="1506"/>
      <c r="W623" s="1506"/>
      <c r="X623" s="2481" t="s">
        <v>615</v>
      </c>
      <c r="Y623" s="2481"/>
      <c r="Z623" s="1506"/>
      <c r="AA623" s="1506"/>
      <c r="AB623" s="1506"/>
      <c r="AC623" s="1506"/>
      <c r="AD623" s="1506"/>
      <c r="AE623" s="1213"/>
      <c r="AF623" s="1278"/>
      <c r="AG623" s="1278"/>
      <c r="AH623" s="1278"/>
      <c r="AI623" s="1278"/>
      <c r="AJ623" s="1278"/>
      <c r="AK623" s="1213"/>
      <c r="AL623" s="1213"/>
      <c r="AN623" s="1265"/>
      <c r="AO623" s="1274" t="s">
        <v>712</v>
      </c>
      <c r="AP623" s="1226">
        <v>5</v>
      </c>
    </row>
    <row r="624" spans="1:42" s="1226" customFormat="1" ht="12.75" customHeight="1">
      <c r="B624" s="1278"/>
      <c r="C624" s="1505"/>
      <c r="D624" s="1213"/>
      <c r="E624" s="1213"/>
      <c r="F624" s="1213"/>
      <c r="G624" s="1213"/>
      <c r="H624" s="1213"/>
      <c r="I624" s="1213"/>
      <c r="J624" s="1213"/>
      <c r="K624" s="1213"/>
      <c r="L624" s="1213"/>
      <c r="M624" s="1213"/>
      <c r="N624" s="1213"/>
      <c r="O624" s="1213"/>
      <c r="P624" s="1213"/>
      <c r="Q624" s="1213"/>
      <c r="R624" s="1213"/>
      <c r="S624" s="1213"/>
      <c r="T624" s="1213"/>
      <c r="U624" s="1213"/>
      <c r="V624" s="1213"/>
      <c r="W624" s="1278"/>
      <c r="X624" s="1278"/>
      <c r="Y624" s="1278"/>
      <c r="Z624" s="1278"/>
      <c r="AA624" s="1278"/>
      <c r="AB624" s="1278"/>
      <c r="AC624" s="1213"/>
      <c r="AD624" s="1213"/>
      <c r="AE624" s="1213"/>
      <c r="AF624" s="1213"/>
      <c r="AG624" s="1213"/>
      <c r="AH624" s="1213"/>
      <c r="AI624" s="1213"/>
      <c r="AJ624" s="1213"/>
      <c r="AK624" s="1213"/>
      <c r="AL624" s="1213"/>
      <c r="AN624" s="1265"/>
      <c r="AO624" s="1274" t="s">
        <v>532</v>
      </c>
      <c r="AP624" s="1507">
        <v>4</v>
      </c>
    </row>
    <row r="625" spans="1:42" s="1226" customFormat="1" ht="12.75" customHeight="1">
      <c r="B625" s="1213"/>
      <c r="C625" s="1493"/>
      <c r="D625" s="1285" t="s">
        <v>532</v>
      </c>
      <c r="E625" s="1508" t="s">
        <v>1597</v>
      </c>
      <c r="F625" s="1509"/>
      <c r="G625" s="1509"/>
      <c r="H625" s="1509"/>
      <c r="I625" s="1509"/>
      <c r="J625" s="1509"/>
      <c r="K625" s="1509"/>
      <c r="L625" s="1509"/>
      <c r="M625" s="1509"/>
      <c r="N625" s="1509"/>
      <c r="O625" s="1509"/>
      <c r="P625" s="1509"/>
      <c r="Q625" s="1509"/>
      <c r="R625" s="1509"/>
      <c r="S625" s="1509"/>
      <c r="T625" s="1509"/>
      <c r="U625" s="1213"/>
      <c r="V625" s="1213"/>
      <c r="W625" s="1509"/>
      <c r="X625" s="1509"/>
      <c r="Y625" s="1509"/>
      <c r="Z625" s="1509"/>
      <c r="AA625" s="1509"/>
      <c r="AB625" s="1509"/>
      <c r="AC625" s="1213"/>
      <c r="AD625" s="1213"/>
      <c r="AE625" s="1213"/>
      <c r="AF625" s="2475" t="s">
        <v>1598</v>
      </c>
      <c r="AG625" s="2475"/>
      <c r="AH625" s="2475"/>
      <c r="AI625" s="2475"/>
      <c r="AJ625" s="2475"/>
      <c r="AK625" s="2475"/>
      <c r="AL625" s="2475"/>
      <c r="AN625" s="1265"/>
      <c r="AO625" s="1274" t="s">
        <v>283</v>
      </c>
      <c r="AP625" s="1226">
        <v>3</v>
      </c>
    </row>
    <row r="626" spans="1:42" s="1226" customFormat="1" ht="12.75" customHeight="1">
      <c r="B626" s="1213"/>
      <c r="C626" s="1493"/>
      <c r="D626" s="1213"/>
      <c r="E626" s="1213"/>
      <c r="F626" s="1509"/>
      <c r="G626" s="1509"/>
      <c r="H626" s="1509"/>
      <c r="I626" s="1509"/>
      <c r="J626" s="1509"/>
      <c r="K626" s="1509"/>
      <c r="L626" s="1509"/>
      <c r="M626" s="1509"/>
      <c r="N626" s="1509"/>
      <c r="O626" s="1509"/>
      <c r="P626" s="1509"/>
      <c r="Q626" s="1509"/>
      <c r="R626" s="1509"/>
      <c r="S626" s="1509"/>
      <c r="T626" s="1509"/>
      <c r="U626" s="1213"/>
      <c r="V626" s="1213"/>
      <c r="W626" s="1213"/>
      <c r="X626" s="1509"/>
      <c r="Y626" s="1509"/>
      <c r="Z626" s="1509"/>
      <c r="AA626" s="1509"/>
      <c r="AB626" s="1509"/>
      <c r="AC626" s="1213"/>
      <c r="AD626" s="1213"/>
      <c r="AE626" s="1213"/>
      <c r="AF626" s="1213"/>
      <c r="AG626" s="1213"/>
      <c r="AH626" s="1213"/>
      <c r="AI626" s="1213"/>
      <c r="AJ626" s="1213"/>
      <c r="AK626" s="1213"/>
      <c r="AL626" s="1213"/>
      <c r="AN626" s="1265"/>
      <c r="AO626" s="1274" t="s">
        <v>1587</v>
      </c>
      <c r="AP626" s="1507">
        <v>4</v>
      </c>
    </row>
    <row r="627" spans="1:42" s="1226" customFormat="1" ht="12.75" customHeight="1">
      <c r="B627" s="1213"/>
      <c r="C627" s="1493"/>
      <c r="D627" s="1213" t="s">
        <v>1590</v>
      </c>
      <c r="E627" s="1559"/>
      <c r="F627" s="1559"/>
      <c r="G627" s="1559"/>
      <c r="H627" s="2476" t="s">
        <v>712</v>
      </c>
      <c r="I627" s="2476"/>
      <c r="J627" s="1509"/>
      <c r="K627" s="1509"/>
      <c r="L627" s="1509"/>
      <c r="M627" s="1509"/>
      <c r="N627" s="1509"/>
      <c r="O627" s="1509"/>
      <c r="P627" s="1509"/>
      <c r="Q627" s="1509"/>
      <c r="R627" s="1509"/>
      <c r="S627" s="1509"/>
      <c r="T627" s="1509"/>
      <c r="U627" s="1559"/>
      <c r="V627" s="1559"/>
      <c r="W627" s="1559"/>
      <c r="X627" s="1213"/>
      <c r="Y627" s="1213"/>
      <c r="Z627" s="1213"/>
      <c r="AA627" s="1213"/>
      <c r="AB627" s="1213"/>
      <c r="AC627" s="1213"/>
      <c r="AD627" s="1213"/>
      <c r="AE627" s="1213"/>
      <c r="AF627" s="1213"/>
      <c r="AG627" s="1213"/>
      <c r="AH627" s="1213"/>
      <c r="AI627" s="1213"/>
      <c r="AJ627" s="1213"/>
      <c r="AK627" s="1213"/>
      <c r="AL627" s="1213"/>
      <c r="AN627" s="1265"/>
      <c r="AO627" s="1274" t="s">
        <v>1588</v>
      </c>
      <c r="AP627" s="1226">
        <v>3</v>
      </c>
    </row>
    <row r="628" spans="1:42" s="1226" customFormat="1" ht="12.75" customHeight="1">
      <c r="B628" s="1213"/>
      <c r="C628" s="1493"/>
      <c r="D628" s="1213"/>
      <c r="E628" s="1559"/>
      <c r="F628" s="1509"/>
      <c r="G628" s="1509"/>
      <c r="H628" s="1509"/>
      <c r="I628" s="1510"/>
      <c r="J628" s="1509"/>
      <c r="K628" s="1509"/>
      <c r="L628" s="1509"/>
      <c r="M628" s="1509"/>
      <c r="N628" s="1509"/>
      <c r="O628" s="1509"/>
      <c r="P628" s="1509"/>
      <c r="Q628" s="1509"/>
      <c r="R628" s="1213"/>
      <c r="S628" s="1213"/>
      <c r="T628" s="1509"/>
      <c r="U628" s="1559"/>
      <c r="V628" s="1559"/>
      <c r="W628" s="1559"/>
      <c r="X628" s="1559"/>
      <c r="Y628" s="1559"/>
      <c r="Z628" s="1559"/>
      <c r="AA628" s="1559"/>
      <c r="AB628" s="1559"/>
      <c r="AC628" s="1213"/>
      <c r="AD628" s="1213"/>
      <c r="AE628" s="1213"/>
      <c r="AF628" s="1213"/>
      <c r="AG628" s="1213"/>
      <c r="AH628" s="1213"/>
      <c r="AI628" s="1509"/>
      <c r="AJ628" s="1509"/>
      <c r="AK628" s="1509"/>
      <c r="AL628" s="1509"/>
      <c r="AM628" s="1511"/>
      <c r="AN628" s="1265"/>
      <c r="AO628" s="1274" t="s">
        <v>1599</v>
      </c>
      <c r="AP628" s="1226">
        <v>2</v>
      </c>
    </row>
    <row r="629" spans="1:42" s="1226" customFormat="1" ht="12.75" customHeight="1">
      <c r="A629" s="1269"/>
      <c r="B629" s="1261"/>
      <c r="C629" s="1512"/>
      <c r="D629" s="1261"/>
      <c r="E629" s="1503"/>
      <c r="F629" s="1503"/>
      <c r="G629" s="1513"/>
      <c r="H629" s="1513"/>
      <c r="I629" s="1513"/>
      <c r="J629" s="1513"/>
      <c r="K629" s="1513"/>
      <c r="L629" s="1513"/>
      <c r="M629" s="1513"/>
      <c r="N629" s="1513"/>
      <c r="O629" s="1513"/>
      <c r="P629" s="1513"/>
      <c r="Q629" s="1513"/>
      <c r="R629" s="1513"/>
      <c r="S629" s="1513"/>
      <c r="T629" s="1503"/>
      <c r="U629" s="1503"/>
      <c r="V629" s="1503"/>
      <c r="W629" s="1503"/>
      <c r="X629" s="1503"/>
      <c r="Y629" s="1503"/>
      <c r="Z629" s="1503"/>
      <c r="AA629" s="1503"/>
      <c r="AB629" s="1261"/>
      <c r="AC629" s="1261"/>
      <c r="AD629" s="1261"/>
      <c r="AE629" s="1261"/>
      <c r="AF629" s="1261"/>
      <c r="AG629" s="1261"/>
      <c r="AH629" s="1261"/>
      <c r="AI629" s="1233" t="s">
        <v>1600</v>
      </c>
      <c r="AJ629" s="2454">
        <f>VLOOKUP($H$627,$AO$594:$AP$596,2,FALSE)</f>
        <v>3</v>
      </c>
      <c r="AK629" s="2456"/>
      <c r="AL629" s="1566"/>
      <c r="AN629" s="1265"/>
      <c r="AO629" s="1274" t="s">
        <v>1601</v>
      </c>
      <c r="AP629" s="1226">
        <v>1</v>
      </c>
    </row>
    <row r="630" spans="1:42" s="1226" customFormat="1" ht="12.75" customHeight="1">
      <c r="B630" s="1213"/>
      <c r="C630" s="1493"/>
      <c r="D630" s="1213"/>
      <c r="E630" s="1559"/>
      <c r="F630" s="1559"/>
      <c r="G630" s="1559"/>
      <c r="H630" s="1213"/>
      <c r="I630" s="1213"/>
      <c r="J630" s="1509"/>
      <c r="K630" s="1509"/>
      <c r="L630" s="1509"/>
      <c r="M630" s="1509"/>
      <c r="N630" s="1509"/>
      <c r="O630" s="1509"/>
      <c r="P630" s="1509"/>
      <c r="Q630" s="1509"/>
      <c r="R630" s="1509"/>
      <c r="S630" s="1509"/>
      <c r="T630" s="1509"/>
      <c r="U630" s="1559"/>
      <c r="V630" s="1559"/>
      <c r="W630" s="1559"/>
      <c r="X630" s="1559"/>
      <c r="Y630" s="1559"/>
      <c r="Z630" s="1559"/>
      <c r="AA630" s="1559"/>
      <c r="AB630" s="1559"/>
      <c r="AC630" s="1213"/>
      <c r="AD630" s="1213"/>
      <c r="AE630" s="1213"/>
      <c r="AF630" s="1213"/>
      <c r="AG630" s="1213"/>
      <c r="AH630" s="1213"/>
      <c r="AI630" s="1213"/>
      <c r="AJ630" s="1563"/>
      <c r="AK630" s="1213"/>
      <c r="AL630" s="1213"/>
      <c r="AN630" s="1265"/>
    </row>
    <row r="631" spans="1:42" s="1226" customFormat="1" ht="12.75" customHeight="1">
      <c r="B631" s="1213"/>
      <c r="C631" s="1575" t="s">
        <v>1602</v>
      </c>
      <c r="D631" s="1213"/>
      <c r="E631" s="1559"/>
      <c r="F631" s="1509"/>
      <c r="G631" s="1509"/>
      <c r="H631" s="1509"/>
      <c r="I631" s="1509"/>
      <c r="J631" s="1509"/>
      <c r="K631" s="1509"/>
      <c r="L631" s="1509"/>
      <c r="M631" s="1509"/>
      <c r="N631" s="1509"/>
      <c r="O631" s="1509"/>
      <c r="P631" s="1509"/>
      <c r="Q631" s="1509"/>
      <c r="R631" s="1509"/>
      <c r="S631" s="1509"/>
      <c r="T631" s="1509"/>
      <c r="U631" s="1213"/>
      <c r="V631" s="1213"/>
      <c r="W631" s="1509"/>
      <c r="X631" s="1509"/>
      <c r="Y631" s="1509"/>
      <c r="Z631" s="1509"/>
      <c r="AA631" s="1509"/>
      <c r="AB631" s="1509"/>
      <c r="AC631" s="1557"/>
      <c r="AD631" s="1557"/>
      <c r="AE631" s="1557"/>
      <c r="AF631" s="1557"/>
      <c r="AG631" s="1557"/>
      <c r="AH631" s="1557"/>
      <c r="AI631" s="1557"/>
      <c r="AJ631" s="1213"/>
      <c r="AK631" s="1213"/>
      <c r="AL631" s="1213"/>
      <c r="AN631" s="1265"/>
    </row>
    <row r="632" spans="1:42" s="1226" customFormat="1" ht="12.75" customHeight="1">
      <c r="A632" s="1339"/>
      <c r="B632" s="1213"/>
      <c r="C632" s="1495"/>
      <c r="D632" s="1213"/>
      <c r="E632" s="1509"/>
      <c r="F632" s="1509"/>
      <c r="G632" s="1509"/>
      <c r="H632" s="1509"/>
      <c r="I632" s="1509"/>
      <c r="J632" s="1509"/>
      <c r="K632" s="1509"/>
      <c r="L632" s="1509"/>
      <c r="M632" s="1509"/>
      <c r="N632" s="1509"/>
      <c r="O632" s="1509"/>
      <c r="P632" s="1509"/>
      <c r="Q632" s="1509"/>
      <c r="R632" s="1509"/>
      <c r="S632" s="1509"/>
      <c r="T632" s="1509"/>
      <c r="U632" s="1509"/>
      <c r="V632" s="1509"/>
      <c r="W632" s="1509"/>
      <c r="X632" s="1509"/>
      <c r="Y632" s="1509"/>
      <c r="Z632" s="1509"/>
      <c r="AA632" s="1509"/>
      <c r="AB632" s="1509"/>
      <c r="AC632" s="1213"/>
      <c r="AD632" s="1213"/>
      <c r="AE632" s="1213"/>
      <c r="AF632" s="1213"/>
      <c r="AG632" s="1213"/>
      <c r="AH632" s="1213"/>
      <c r="AI632" s="1213"/>
      <c r="AJ632" s="1213"/>
      <c r="AK632" s="1213"/>
      <c r="AL632" s="1213"/>
      <c r="AN632" s="1265"/>
    </row>
    <row r="633" spans="1:42" s="1226" customFormat="1" ht="12.75" customHeight="1">
      <c r="B633" s="1213"/>
      <c r="C633" s="1213"/>
      <c r="D633" s="1285" t="s">
        <v>712</v>
      </c>
      <c r="E633" s="1278" t="s">
        <v>1603</v>
      </c>
      <c r="F633" s="1509"/>
      <c r="G633" s="1509"/>
      <c r="H633" s="1509"/>
      <c r="I633" s="1509"/>
      <c r="J633" s="1509"/>
      <c r="K633" s="1509"/>
      <c r="L633" s="1509"/>
      <c r="M633" s="1509"/>
      <c r="N633" s="1509"/>
      <c r="O633" s="1509"/>
      <c r="P633" s="1509"/>
      <c r="Q633" s="1509"/>
      <c r="R633" s="1509"/>
      <c r="S633" s="1509"/>
      <c r="T633" s="1509"/>
      <c r="U633" s="1509"/>
      <c r="V633" s="1509"/>
      <c r="W633" s="1509"/>
      <c r="X633" s="1509"/>
      <c r="Y633" s="1509"/>
      <c r="Z633" s="1509"/>
      <c r="AA633" s="1509"/>
      <c r="AB633" s="1509"/>
      <c r="AC633" s="1213"/>
      <c r="AD633" s="1213"/>
      <c r="AE633" s="1213"/>
      <c r="AF633" s="2475" t="s">
        <v>1542</v>
      </c>
      <c r="AG633" s="2475"/>
      <c r="AH633" s="2475"/>
      <c r="AI633" s="2475"/>
      <c r="AJ633" s="2475"/>
      <c r="AK633" s="2475"/>
      <c r="AL633" s="2475"/>
      <c r="AN633" s="1265"/>
    </row>
    <row r="634" spans="1:42" s="1226" customFormat="1" ht="12.75" customHeight="1">
      <c r="B634" s="1213"/>
      <c r="C634" s="1213"/>
      <c r="D634" s="1285"/>
      <c r="E634" s="1278" t="s">
        <v>1604</v>
      </c>
      <c r="F634" s="1509"/>
      <c r="G634" s="1509"/>
      <c r="H634" s="1509"/>
      <c r="I634" s="1509"/>
      <c r="J634" s="1509"/>
      <c r="K634" s="1509"/>
      <c r="L634" s="1509"/>
      <c r="M634" s="1509"/>
      <c r="N634" s="1509"/>
      <c r="O634" s="1509"/>
      <c r="P634" s="1509"/>
      <c r="Q634" s="1509"/>
      <c r="R634" s="1509"/>
      <c r="S634" s="1509"/>
      <c r="T634" s="1509"/>
      <c r="U634" s="1509"/>
      <c r="V634" s="1509"/>
      <c r="W634" s="1509"/>
      <c r="X634" s="1509"/>
      <c r="Y634" s="1509"/>
      <c r="Z634" s="1509"/>
      <c r="AA634" s="1509"/>
      <c r="AB634" s="1509"/>
      <c r="AC634" s="1213"/>
      <c r="AD634" s="1213"/>
      <c r="AE634" s="1557"/>
      <c r="AF634" s="1557"/>
      <c r="AG634" s="1557"/>
      <c r="AH634" s="1557"/>
      <c r="AI634" s="1557"/>
      <c r="AJ634" s="1557"/>
      <c r="AK634" s="1557"/>
      <c r="AL634" s="1557"/>
      <c r="AN634" s="1265"/>
    </row>
    <row r="635" spans="1:42" s="1226" customFormat="1" ht="12.75" customHeight="1">
      <c r="B635" s="1278"/>
      <c r="C635" s="1505"/>
      <c r="D635" s="1285"/>
      <c r="E635" s="1278"/>
      <c r="F635" s="1278"/>
      <c r="G635" s="1278"/>
      <c r="H635" s="1278"/>
      <c r="I635" s="1278"/>
      <c r="J635" s="1278"/>
      <c r="K635" s="1278"/>
      <c r="L635" s="1278"/>
      <c r="M635" s="1278"/>
      <c r="N635" s="1278"/>
      <c r="O635" s="1278"/>
      <c r="P635" s="1278"/>
      <c r="Q635" s="1278"/>
      <c r="R635" s="1278"/>
      <c r="S635" s="1278"/>
      <c r="T635" s="1278"/>
      <c r="U635" s="1278"/>
      <c r="V635" s="1278"/>
      <c r="W635" s="1278"/>
      <c r="X635" s="1278"/>
      <c r="Y635" s="1278"/>
      <c r="Z635" s="1278"/>
      <c r="AA635" s="1278"/>
      <c r="AB635" s="1278"/>
      <c r="AC635" s="1213"/>
      <c r="AD635" s="1213"/>
      <c r="AE635" s="1278"/>
      <c r="AF635" s="1213"/>
      <c r="AG635" s="1213"/>
      <c r="AH635" s="1213"/>
      <c r="AI635" s="1213"/>
      <c r="AJ635" s="1213"/>
      <c r="AK635" s="1213"/>
      <c r="AL635" s="1213"/>
      <c r="AN635" s="1265"/>
    </row>
    <row r="636" spans="1:42" s="1226" customFormat="1" ht="12.75" customHeight="1">
      <c r="B636" s="1213"/>
      <c r="C636" s="1493"/>
      <c r="D636" s="1285" t="s">
        <v>532</v>
      </c>
      <c r="E636" s="1278" t="s">
        <v>1605</v>
      </c>
      <c r="F636" s="1278"/>
      <c r="G636" s="1278"/>
      <c r="H636" s="1278"/>
      <c r="I636" s="1278"/>
      <c r="J636" s="1278"/>
      <c r="K636" s="1278"/>
      <c r="L636" s="1278"/>
      <c r="M636" s="1278"/>
      <c r="N636" s="1278"/>
      <c r="O636" s="1278"/>
      <c r="P636" s="1278"/>
      <c r="Q636" s="1278"/>
      <c r="R636" s="1278"/>
      <c r="S636" s="1278"/>
      <c r="T636" s="1278"/>
      <c r="U636" s="1278"/>
      <c r="V636" s="1278"/>
      <c r="W636" s="1278"/>
      <c r="X636" s="1278"/>
      <c r="Y636" s="1278"/>
      <c r="Z636" s="1278"/>
      <c r="AA636" s="1278"/>
      <c r="AB636" s="1278"/>
      <c r="AC636" s="1213"/>
      <c r="AD636" s="1213"/>
      <c r="AE636" s="1213"/>
      <c r="AF636" s="2475" t="s">
        <v>1598</v>
      </c>
      <c r="AG636" s="2475"/>
      <c r="AH636" s="2475"/>
      <c r="AI636" s="2475"/>
      <c r="AJ636" s="2475"/>
      <c r="AK636" s="2475"/>
      <c r="AL636" s="2475"/>
      <c r="AN636" s="1265"/>
    </row>
    <row r="637" spans="1:42" s="1226" customFormat="1" ht="12.75" customHeight="1">
      <c r="B637" s="1213"/>
      <c r="C637" s="1493"/>
      <c r="D637" s="1285"/>
      <c r="E637" s="1278" t="s">
        <v>1606</v>
      </c>
      <c r="F637" s="1278"/>
      <c r="G637" s="1278"/>
      <c r="H637" s="1278"/>
      <c r="I637" s="1278"/>
      <c r="J637" s="1278"/>
      <c r="K637" s="1278"/>
      <c r="L637" s="1278"/>
      <c r="M637" s="1278"/>
      <c r="N637" s="1278"/>
      <c r="O637" s="1278"/>
      <c r="P637" s="1278"/>
      <c r="Q637" s="1278"/>
      <c r="R637" s="1278"/>
      <c r="S637" s="1278"/>
      <c r="T637" s="1278"/>
      <c r="U637" s="1278"/>
      <c r="V637" s="1278"/>
      <c r="W637" s="1278"/>
      <c r="X637" s="1278"/>
      <c r="Y637" s="1278"/>
      <c r="Z637" s="1278"/>
      <c r="AA637" s="1278"/>
      <c r="AB637" s="1278"/>
      <c r="AC637" s="1213"/>
      <c r="AD637" s="1213"/>
      <c r="AE637" s="1557"/>
      <c r="AF637" s="1557"/>
      <c r="AG637" s="1557"/>
      <c r="AH637" s="1557"/>
      <c r="AI637" s="1557"/>
      <c r="AJ637" s="1557"/>
      <c r="AK637" s="1557"/>
      <c r="AL637" s="1557"/>
      <c r="AN637" s="1265"/>
    </row>
    <row r="638" spans="1:42" s="1226" customFormat="1" ht="12.75" customHeight="1">
      <c r="B638" s="1213"/>
      <c r="C638" s="1493"/>
      <c r="D638" s="1213"/>
      <c r="E638" s="1278"/>
      <c r="F638" s="1278"/>
      <c r="G638" s="1278"/>
      <c r="H638" s="1278"/>
      <c r="I638" s="1278"/>
      <c r="J638" s="1278"/>
      <c r="K638" s="1278"/>
      <c r="L638" s="1278"/>
      <c r="M638" s="1278"/>
      <c r="N638" s="1278"/>
      <c r="O638" s="1278"/>
      <c r="P638" s="1278"/>
      <c r="Q638" s="1278"/>
      <c r="R638" s="1278"/>
      <c r="S638" s="1278"/>
      <c r="T638" s="1278"/>
      <c r="U638" s="1278"/>
      <c r="V638" s="1278"/>
      <c r="W638" s="1278"/>
      <c r="X638" s="1278"/>
      <c r="Y638" s="1278"/>
      <c r="Z638" s="1278"/>
      <c r="AA638" s="1278"/>
      <c r="AB638" s="1278"/>
      <c r="AC638" s="1213"/>
      <c r="AD638" s="1213"/>
      <c r="AE638" s="1213"/>
      <c r="AF638" s="1213"/>
      <c r="AG638" s="1213"/>
      <c r="AH638" s="1213"/>
      <c r="AI638" s="1213"/>
      <c r="AJ638" s="1213"/>
      <c r="AK638" s="1213"/>
      <c r="AL638" s="1213"/>
      <c r="AN638" s="1265"/>
      <c r="AP638" s="1507"/>
    </row>
    <row r="639" spans="1:42" s="1226" customFormat="1" ht="12.75" customHeight="1">
      <c r="B639" s="1213"/>
      <c r="C639" s="1493"/>
      <c r="D639" s="1213" t="s">
        <v>1590</v>
      </c>
      <c r="E639" s="1559"/>
      <c r="F639" s="1559"/>
      <c r="G639" s="1559"/>
      <c r="H639" s="2476" t="s">
        <v>615</v>
      </c>
      <c r="I639" s="2476"/>
      <c r="J639" s="1278"/>
      <c r="K639" s="1278"/>
      <c r="L639" s="1278"/>
      <c r="M639" s="1278"/>
      <c r="N639" s="1278"/>
      <c r="O639" s="1278"/>
      <c r="P639" s="1278"/>
      <c r="Q639" s="1278"/>
      <c r="R639" s="1278"/>
      <c r="S639" s="1278"/>
      <c r="T639" s="1278"/>
      <c r="U639" s="1278"/>
      <c r="V639" s="1278"/>
      <c r="W639" s="1213"/>
      <c r="X639" s="1213"/>
      <c r="Y639" s="1213"/>
      <c r="Z639" s="1213"/>
      <c r="AA639" s="1213"/>
      <c r="AB639" s="1213"/>
      <c r="AC639" s="1213"/>
      <c r="AD639" s="1213"/>
      <c r="AE639" s="1213"/>
      <c r="AF639" s="1213"/>
      <c r="AG639" s="1213"/>
      <c r="AH639" s="1213"/>
      <c r="AI639" s="1213"/>
      <c r="AJ639" s="1213"/>
      <c r="AK639" s="1213"/>
      <c r="AL639" s="1213"/>
      <c r="AN639" s="1265"/>
    </row>
    <row r="640" spans="1:42" s="1226" customFormat="1" ht="12.75" customHeight="1">
      <c r="B640" s="1213"/>
      <c r="C640" s="1493"/>
      <c r="D640" s="1213"/>
      <c r="E640" s="1559"/>
      <c r="F640" s="1559"/>
      <c r="G640" s="1278"/>
      <c r="H640" s="1278"/>
      <c r="I640" s="1278"/>
      <c r="J640" s="1278"/>
      <c r="K640" s="1278"/>
      <c r="L640" s="1278"/>
      <c r="M640" s="1278"/>
      <c r="N640" s="1278"/>
      <c r="O640" s="1278"/>
      <c r="P640" s="1278"/>
      <c r="Q640" s="1278"/>
      <c r="R640" s="1278"/>
      <c r="S640" s="1278"/>
      <c r="T640" s="1278"/>
      <c r="U640" s="1278"/>
      <c r="V640" s="1278"/>
      <c r="W640" s="1278"/>
      <c r="X640" s="1278"/>
      <c r="Y640" s="1278"/>
      <c r="Z640" s="1559"/>
      <c r="AA640" s="1559"/>
      <c r="AB640" s="1559"/>
      <c r="AC640" s="1213"/>
      <c r="AD640" s="1213"/>
      <c r="AE640" s="1213"/>
      <c r="AF640" s="1213"/>
      <c r="AG640" s="1213"/>
      <c r="AH640" s="1213"/>
      <c r="AI640" s="1213"/>
      <c r="AJ640" s="1278"/>
      <c r="AK640" s="1278"/>
      <c r="AL640" s="1278"/>
      <c r="AM640" s="1227"/>
      <c r="AN640" s="1265"/>
    </row>
    <row r="641" spans="1:42" s="1226" customFormat="1" ht="12.75" customHeight="1">
      <c r="A641" s="1269"/>
      <c r="B641" s="1261"/>
      <c r="C641" s="1512"/>
      <c r="D641" s="1261"/>
      <c r="E641" s="1503"/>
      <c r="F641" s="1503"/>
      <c r="G641" s="1367"/>
      <c r="H641" s="1367"/>
      <c r="I641" s="1367"/>
      <c r="J641" s="1367"/>
      <c r="K641" s="1367"/>
      <c r="L641" s="1367"/>
      <c r="M641" s="1367"/>
      <c r="N641" s="1367"/>
      <c r="O641" s="1367"/>
      <c r="P641" s="1367"/>
      <c r="Q641" s="1367"/>
      <c r="R641" s="1367"/>
      <c r="S641" s="1367"/>
      <c r="T641" s="1367"/>
      <c r="U641" s="1367"/>
      <c r="V641" s="1367"/>
      <c r="W641" s="1367"/>
      <c r="X641" s="1367"/>
      <c r="Y641" s="1503"/>
      <c r="Z641" s="1503"/>
      <c r="AA641" s="1503"/>
      <c r="AB641" s="1261"/>
      <c r="AC641" s="1261"/>
      <c r="AD641" s="1261"/>
      <c r="AE641" s="1261"/>
      <c r="AF641" s="1261"/>
      <c r="AG641" s="1261"/>
      <c r="AH641" s="1261"/>
      <c r="AI641" s="1233" t="s">
        <v>1607</v>
      </c>
      <c r="AJ641" s="2454">
        <f>VLOOKUP(H639,AT594:AU596,2,FALSE)</f>
        <v>0</v>
      </c>
      <c r="AK641" s="2456"/>
      <c r="AL641" s="1566"/>
      <c r="AN641" s="1265"/>
      <c r="AO641" s="1226" t="s">
        <v>615</v>
      </c>
      <c r="AP641" s="1496">
        <v>0</v>
      </c>
    </row>
    <row r="642" spans="1:42" s="1226" customFormat="1" ht="12.75" customHeight="1">
      <c r="B642" s="1213"/>
      <c r="C642" s="1493"/>
      <c r="D642" s="1213"/>
      <c r="E642" s="1213"/>
      <c r="F642" s="1213"/>
      <c r="G642" s="1213"/>
      <c r="H642" s="1213"/>
      <c r="I642" s="1213"/>
      <c r="J642" s="1213"/>
      <c r="K642" s="1213"/>
      <c r="L642" s="1213"/>
      <c r="M642" s="1213"/>
      <c r="N642" s="1213"/>
      <c r="O642" s="1213"/>
      <c r="P642" s="1213"/>
      <c r="Q642" s="1213"/>
      <c r="R642" s="1213"/>
      <c r="S642" s="1213"/>
      <c r="T642" s="1213"/>
      <c r="U642" s="1213"/>
      <c r="V642" s="1213"/>
      <c r="W642" s="1213"/>
      <c r="X642" s="1213"/>
      <c r="Y642" s="1213"/>
      <c r="Z642" s="1213"/>
      <c r="AA642" s="1213"/>
      <c r="AB642" s="1213"/>
      <c r="AC642" s="1213"/>
      <c r="AD642" s="1213"/>
      <c r="AE642" s="1213"/>
      <c r="AF642" s="1213"/>
      <c r="AG642" s="1213"/>
      <c r="AH642" s="1213"/>
      <c r="AI642" s="1213"/>
      <c r="AJ642" s="1213"/>
      <c r="AK642" s="1213"/>
      <c r="AL642" s="1213"/>
      <c r="AN642" s="1265"/>
      <c r="AO642" s="1274" t="s">
        <v>712</v>
      </c>
      <c r="AP642" s="1226">
        <v>3</v>
      </c>
    </row>
    <row r="643" spans="1:42" s="1226" customFormat="1" ht="12.75" customHeight="1">
      <c r="B643" s="1213"/>
      <c r="C643" s="1575" t="s">
        <v>1608</v>
      </c>
      <c r="D643" s="1213"/>
      <c r="E643" s="1213"/>
      <c r="F643" s="1213"/>
      <c r="G643" s="1213"/>
      <c r="H643" s="1213"/>
      <c r="I643" s="1213"/>
      <c r="J643" s="1213"/>
      <c r="K643" s="1213"/>
      <c r="L643" s="1213"/>
      <c r="M643" s="1213"/>
      <c r="N643" s="1213"/>
      <c r="O643" s="1213"/>
      <c r="P643" s="1213"/>
      <c r="Q643" s="1213"/>
      <c r="R643" s="1213"/>
      <c r="S643" s="1213"/>
      <c r="T643" s="1213"/>
      <c r="U643" s="1213"/>
      <c r="V643" s="1213"/>
      <c r="W643" s="1213"/>
      <c r="X643" s="1213"/>
      <c r="Y643" s="1213"/>
      <c r="Z643" s="1213"/>
      <c r="AA643" s="1213"/>
      <c r="AB643" s="1213"/>
      <c r="AC643" s="1213"/>
      <c r="AD643" s="1213"/>
      <c r="AE643" s="1213"/>
      <c r="AF643" s="1213"/>
      <c r="AG643" s="1213"/>
      <c r="AH643" s="1213"/>
      <c r="AI643" s="1213"/>
      <c r="AJ643" s="1213"/>
      <c r="AK643" s="1213"/>
      <c r="AL643" s="1213"/>
      <c r="AN643" s="1265"/>
      <c r="AO643" s="1274" t="s">
        <v>532</v>
      </c>
      <c r="AP643" s="1226">
        <v>2</v>
      </c>
    </row>
    <row r="644" spans="1:42" s="1226" customFormat="1" ht="12.75" customHeight="1">
      <c r="B644" s="1213"/>
      <c r="C644" s="1575"/>
      <c r="D644" s="1514" t="s">
        <v>1609</v>
      </c>
      <c r="E644" s="1213"/>
      <c r="F644" s="1213"/>
      <c r="G644" s="1213"/>
      <c r="H644" s="1213"/>
      <c r="I644" s="1213"/>
      <c r="J644" s="1213"/>
      <c r="K644" s="1213"/>
      <c r="L644" s="1213"/>
      <c r="M644" s="1213"/>
      <c r="N644" s="1213"/>
      <c r="O644" s="1213"/>
      <c r="P644" s="1213"/>
      <c r="Q644" s="1213"/>
      <c r="R644" s="1213"/>
      <c r="S644" s="1213"/>
      <c r="T644" s="1213"/>
      <c r="U644" s="1213"/>
      <c r="V644" s="1213"/>
      <c r="W644" s="1213"/>
      <c r="X644" s="1213"/>
      <c r="Y644" s="1213"/>
      <c r="Z644" s="1213"/>
      <c r="AA644" s="1213"/>
      <c r="AB644" s="1213"/>
      <c r="AC644" s="1213"/>
      <c r="AD644" s="1213"/>
      <c r="AE644" s="1213"/>
      <c r="AF644" s="1213"/>
      <c r="AG644" s="1213"/>
      <c r="AH644" s="1213"/>
      <c r="AI644" s="1213"/>
      <c r="AJ644" s="1213"/>
      <c r="AK644" s="1213"/>
      <c r="AL644" s="1213"/>
      <c r="AN644" s="1265"/>
    </row>
    <row r="645" spans="1:42" s="1226" customFormat="1" ht="12.75" customHeight="1">
      <c r="B645" s="1213"/>
      <c r="C645" s="1575"/>
      <c r="D645" s="1213"/>
      <c r="E645" s="1213"/>
      <c r="F645" s="1213"/>
      <c r="G645" s="1213"/>
      <c r="H645" s="1213"/>
      <c r="I645" s="1213"/>
      <c r="J645" s="1213"/>
      <c r="K645" s="1213"/>
      <c r="L645" s="1213"/>
      <c r="M645" s="1213"/>
      <c r="N645" s="1213"/>
      <c r="O645" s="1213"/>
      <c r="P645" s="1213"/>
      <c r="Q645" s="1213"/>
      <c r="R645" s="1213"/>
      <c r="S645" s="1213"/>
      <c r="T645" s="1213"/>
      <c r="U645" s="1213"/>
      <c r="V645" s="1213"/>
      <c r="W645" s="1213"/>
      <c r="X645" s="1213"/>
      <c r="Y645" s="1213"/>
      <c r="Z645" s="1213"/>
      <c r="AA645" s="1213"/>
      <c r="AB645" s="1213"/>
      <c r="AC645" s="1213"/>
      <c r="AD645" s="1213"/>
      <c r="AE645" s="1213"/>
      <c r="AF645" s="1213"/>
      <c r="AG645" s="1213"/>
      <c r="AH645" s="1213"/>
      <c r="AI645" s="1213"/>
      <c r="AJ645" s="1213"/>
      <c r="AK645" s="1213"/>
      <c r="AL645" s="1213"/>
      <c r="AN645" s="1265"/>
    </row>
    <row r="646" spans="1:42" s="1226" customFormat="1" ht="12.75" customHeight="1">
      <c r="B646" s="1213"/>
      <c r="C646" s="1575"/>
      <c r="D646" s="1285" t="s">
        <v>712</v>
      </c>
      <c r="E646" s="2474" t="s">
        <v>1610</v>
      </c>
      <c r="F646" s="2474"/>
      <c r="G646" s="2474"/>
      <c r="H646" s="2474"/>
      <c r="I646" s="2474"/>
      <c r="J646" s="2474"/>
      <c r="K646" s="2474"/>
      <c r="L646" s="2474"/>
      <c r="M646" s="2474"/>
      <c r="N646" s="2474"/>
      <c r="O646" s="2474"/>
      <c r="P646" s="2474"/>
      <c r="Q646" s="2474"/>
      <c r="R646" s="2474"/>
      <c r="S646" s="2474"/>
      <c r="T646" s="2474"/>
      <c r="U646" s="2474"/>
      <c r="V646" s="2474"/>
      <c r="W646" s="2474"/>
      <c r="X646" s="2474"/>
      <c r="Y646" s="2474"/>
      <c r="Z646" s="2474"/>
      <c r="AA646" s="2474"/>
      <c r="AB646" s="2474"/>
      <c r="AC646" s="2474"/>
      <c r="AD646" s="1213"/>
      <c r="AE646" s="1213"/>
      <c r="AF646" s="2475" t="s">
        <v>1568</v>
      </c>
      <c r="AG646" s="2475"/>
      <c r="AH646" s="2475"/>
      <c r="AI646" s="2475"/>
      <c r="AJ646" s="2475"/>
      <c r="AK646" s="2475"/>
      <c r="AL646" s="2475"/>
      <c r="AN646" s="1265"/>
    </row>
    <row r="647" spans="1:42" s="1226" customFormat="1" ht="12.75" customHeight="1">
      <c r="B647" s="1213"/>
      <c r="C647" s="1575"/>
      <c r="D647" s="1213"/>
      <c r="E647" s="2474"/>
      <c r="F647" s="2474"/>
      <c r="G647" s="2474"/>
      <c r="H647" s="2474"/>
      <c r="I647" s="2474"/>
      <c r="J647" s="2474"/>
      <c r="K647" s="2474"/>
      <c r="L647" s="2474"/>
      <c r="M647" s="2474"/>
      <c r="N647" s="2474"/>
      <c r="O647" s="2474"/>
      <c r="P647" s="2474"/>
      <c r="Q647" s="2474"/>
      <c r="R647" s="2474"/>
      <c r="S647" s="2474"/>
      <c r="T647" s="2474"/>
      <c r="U647" s="2474"/>
      <c r="V647" s="2474"/>
      <c r="W647" s="2474"/>
      <c r="X647" s="2474"/>
      <c r="Y647" s="2474"/>
      <c r="Z647" s="2474"/>
      <c r="AA647" s="2474"/>
      <c r="AB647" s="2474"/>
      <c r="AC647" s="2474"/>
      <c r="AD647" s="1213"/>
      <c r="AE647" s="1213"/>
      <c r="AF647" s="1213"/>
      <c r="AG647" s="1213"/>
      <c r="AH647" s="1213"/>
      <c r="AI647" s="1213"/>
      <c r="AJ647" s="1213"/>
      <c r="AK647" s="1213"/>
      <c r="AL647" s="1213"/>
      <c r="AN647" s="1265"/>
    </row>
    <row r="648" spans="1:42" s="1226" customFormat="1" ht="12.75" customHeight="1">
      <c r="B648" s="1213"/>
      <c r="C648" s="1575"/>
      <c r="D648" s="1285"/>
      <c r="E648" s="2474"/>
      <c r="F648" s="2474"/>
      <c r="G648" s="2474"/>
      <c r="H648" s="2474"/>
      <c r="I648" s="2474"/>
      <c r="J648" s="2474"/>
      <c r="K648" s="2474"/>
      <c r="L648" s="2474"/>
      <c r="M648" s="2474"/>
      <c r="N648" s="2474"/>
      <c r="O648" s="2474"/>
      <c r="P648" s="2474"/>
      <c r="Q648" s="2474"/>
      <c r="R648" s="2474"/>
      <c r="S648" s="2474"/>
      <c r="T648" s="2474"/>
      <c r="U648" s="2474"/>
      <c r="V648" s="2474"/>
      <c r="W648" s="2474"/>
      <c r="X648" s="2474"/>
      <c r="Y648" s="2474"/>
      <c r="Z648" s="2474"/>
      <c r="AA648" s="2474"/>
      <c r="AB648" s="2474"/>
      <c r="AC648" s="2474"/>
      <c r="AD648" s="1213"/>
      <c r="AE648" s="1213"/>
      <c r="AF648" s="1213"/>
      <c r="AG648" s="1213"/>
      <c r="AH648" s="1213"/>
      <c r="AI648" s="1213"/>
      <c r="AJ648" s="1213"/>
      <c r="AK648" s="1213"/>
      <c r="AL648" s="1213"/>
      <c r="AN648" s="1265"/>
    </row>
    <row r="649" spans="1:42" s="1226" customFormat="1" ht="15" customHeight="1">
      <c r="B649" s="1213"/>
      <c r="C649" s="1575"/>
      <c r="D649" s="1213"/>
      <c r="E649" s="1515"/>
      <c r="F649" s="1515"/>
      <c r="G649" s="1515"/>
      <c r="H649" s="1515"/>
      <c r="I649" s="1515"/>
      <c r="J649" s="1515"/>
      <c r="K649" s="1515"/>
      <c r="L649" s="1515"/>
      <c r="M649" s="1515"/>
      <c r="N649" s="1515"/>
      <c r="O649" s="1515"/>
      <c r="P649" s="1515"/>
      <c r="Q649" s="1515"/>
      <c r="R649" s="1515"/>
      <c r="S649" s="1515"/>
      <c r="T649" s="1515"/>
      <c r="U649" s="1515"/>
      <c r="V649" s="1515"/>
      <c r="W649" s="1515"/>
      <c r="X649" s="1515"/>
      <c r="Y649" s="1515"/>
      <c r="Z649" s="1515"/>
      <c r="AA649" s="1515"/>
      <c r="AB649" s="1515"/>
      <c r="AC649" s="1213"/>
      <c r="AD649" s="1213"/>
      <c r="AE649" s="1213"/>
      <c r="AF649" s="1213"/>
      <c r="AG649" s="1213"/>
      <c r="AH649" s="1213"/>
      <c r="AI649" s="1213"/>
      <c r="AJ649" s="1213"/>
      <c r="AK649" s="1213"/>
      <c r="AL649" s="1213"/>
      <c r="AN649" s="1265"/>
    </row>
    <row r="650" spans="1:42" s="1226" customFormat="1" ht="12.75" customHeight="1">
      <c r="B650" s="1213"/>
      <c r="C650" s="1575"/>
      <c r="D650" s="1285" t="s">
        <v>532</v>
      </c>
      <c r="E650" s="2474" t="s">
        <v>1611</v>
      </c>
      <c r="F650" s="2474"/>
      <c r="G650" s="2474"/>
      <c r="H650" s="2474"/>
      <c r="I650" s="2474"/>
      <c r="J650" s="2474"/>
      <c r="K650" s="2474"/>
      <c r="L650" s="2474"/>
      <c r="M650" s="2474"/>
      <c r="N650" s="2474"/>
      <c r="O650" s="2474"/>
      <c r="P650" s="2474"/>
      <c r="Q650" s="2474"/>
      <c r="R650" s="2474"/>
      <c r="S650" s="2474"/>
      <c r="T650" s="2474"/>
      <c r="U650" s="2474"/>
      <c r="V650" s="2474"/>
      <c r="W650" s="2474"/>
      <c r="X650" s="2474"/>
      <c r="Y650" s="2474"/>
      <c r="Z650" s="2474"/>
      <c r="AA650" s="2474"/>
      <c r="AB650" s="2474"/>
      <c r="AC650" s="2474"/>
      <c r="AD650" s="1213"/>
      <c r="AE650" s="1213"/>
      <c r="AF650" s="2475" t="s">
        <v>1589</v>
      </c>
      <c r="AG650" s="2475"/>
      <c r="AH650" s="2475"/>
      <c r="AI650" s="2475"/>
      <c r="AJ650" s="2475"/>
      <c r="AK650" s="2475"/>
      <c r="AL650" s="2475"/>
      <c r="AN650" s="1265"/>
    </row>
    <row r="651" spans="1:42" s="1226" customFormat="1" ht="12.75" customHeight="1">
      <c r="B651" s="1213"/>
      <c r="C651" s="1575"/>
      <c r="D651" s="1213"/>
      <c r="E651" s="2474"/>
      <c r="F651" s="2474"/>
      <c r="G651" s="2474"/>
      <c r="H651" s="2474"/>
      <c r="I651" s="2474"/>
      <c r="J651" s="2474"/>
      <c r="K651" s="2474"/>
      <c r="L651" s="2474"/>
      <c r="M651" s="2474"/>
      <c r="N651" s="2474"/>
      <c r="O651" s="2474"/>
      <c r="P651" s="2474"/>
      <c r="Q651" s="2474"/>
      <c r="R651" s="2474"/>
      <c r="S651" s="2474"/>
      <c r="T651" s="2474"/>
      <c r="U651" s="2474"/>
      <c r="V651" s="2474"/>
      <c r="W651" s="2474"/>
      <c r="X651" s="2474"/>
      <c r="Y651" s="2474"/>
      <c r="Z651" s="2474"/>
      <c r="AA651" s="2474"/>
      <c r="AB651" s="2474"/>
      <c r="AC651" s="2474"/>
      <c r="AD651" s="1213"/>
      <c r="AE651" s="1213"/>
      <c r="AF651" s="1213"/>
      <c r="AG651" s="1213"/>
      <c r="AH651" s="1213"/>
      <c r="AI651" s="1213"/>
      <c r="AJ651" s="1213"/>
      <c r="AK651" s="1213"/>
      <c r="AL651" s="1213"/>
      <c r="AN651" s="1265"/>
    </row>
    <row r="652" spans="1:42" s="1226" customFormat="1" ht="15" customHeight="1">
      <c r="B652" s="1213"/>
      <c r="C652" s="1575"/>
      <c r="D652" s="1285"/>
      <c r="E652" s="2474"/>
      <c r="F652" s="2474"/>
      <c r="G652" s="2474"/>
      <c r="H652" s="2474"/>
      <c r="I652" s="2474"/>
      <c r="J652" s="2474"/>
      <c r="K652" s="2474"/>
      <c r="L652" s="2474"/>
      <c r="M652" s="2474"/>
      <c r="N652" s="2474"/>
      <c r="O652" s="2474"/>
      <c r="P652" s="2474"/>
      <c r="Q652" s="2474"/>
      <c r="R652" s="2474"/>
      <c r="S652" s="2474"/>
      <c r="T652" s="2474"/>
      <c r="U652" s="2474"/>
      <c r="V652" s="2474"/>
      <c r="W652" s="2474"/>
      <c r="X652" s="2474"/>
      <c r="Y652" s="2474"/>
      <c r="Z652" s="2474"/>
      <c r="AA652" s="2474"/>
      <c r="AB652" s="2474"/>
      <c r="AC652" s="2474"/>
      <c r="AD652" s="1213"/>
      <c r="AE652" s="1213"/>
      <c r="AF652" s="1213"/>
      <c r="AG652" s="1213"/>
      <c r="AH652" s="1213"/>
      <c r="AI652" s="1213"/>
      <c r="AJ652" s="1213"/>
      <c r="AK652" s="1213"/>
      <c r="AL652" s="1213"/>
      <c r="AN652" s="1265"/>
    </row>
    <row r="653" spans="1:42" s="1226" customFormat="1" ht="12.75" customHeight="1">
      <c r="B653" s="1213"/>
      <c r="C653" s="1575"/>
      <c r="D653" s="1213"/>
      <c r="E653" s="1515"/>
      <c r="F653" s="1515"/>
      <c r="G653" s="1515"/>
      <c r="H653" s="1515"/>
      <c r="I653" s="1515"/>
      <c r="J653" s="1515"/>
      <c r="K653" s="1515"/>
      <c r="L653" s="1515"/>
      <c r="M653" s="1515"/>
      <c r="N653" s="1515"/>
      <c r="O653" s="1515"/>
      <c r="P653" s="1515"/>
      <c r="Q653" s="1515"/>
      <c r="R653" s="1515"/>
      <c r="S653" s="1515"/>
      <c r="T653" s="1515"/>
      <c r="U653" s="1515"/>
      <c r="V653" s="1515"/>
      <c r="W653" s="1515"/>
      <c r="X653" s="1515"/>
      <c r="Y653" s="1515"/>
      <c r="Z653" s="1515"/>
      <c r="AA653" s="1515"/>
      <c r="AB653" s="1515"/>
      <c r="AC653" s="1213"/>
      <c r="AD653" s="1213"/>
      <c r="AE653" s="1213"/>
      <c r="AF653" s="1213"/>
      <c r="AG653" s="1213"/>
      <c r="AH653" s="1213"/>
      <c r="AI653" s="1213"/>
      <c r="AJ653" s="1213"/>
      <c r="AK653" s="1213"/>
      <c r="AL653" s="1213"/>
      <c r="AN653" s="1265"/>
    </row>
    <row r="654" spans="1:42" s="1226" customFormat="1" ht="12.75" customHeight="1">
      <c r="B654" s="1213"/>
      <c r="C654" s="1575"/>
      <c r="D654" s="1285" t="s">
        <v>283</v>
      </c>
      <c r="E654" s="2474" t="s">
        <v>1612</v>
      </c>
      <c r="F654" s="2474"/>
      <c r="G654" s="2474"/>
      <c r="H654" s="2474"/>
      <c r="I654" s="2474"/>
      <c r="J654" s="2474"/>
      <c r="K654" s="2474"/>
      <c r="L654" s="2474"/>
      <c r="M654" s="2474"/>
      <c r="N654" s="2474"/>
      <c r="O654" s="2474"/>
      <c r="P654" s="2474"/>
      <c r="Q654" s="2474"/>
      <c r="R654" s="2474"/>
      <c r="S654" s="2474"/>
      <c r="T654" s="2474"/>
      <c r="U654" s="2474"/>
      <c r="V654" s="2474"/>
      <c r="W654" s="2474"/>
      <c r="X654" s="2474"/>
      <c r="Y654" s="2474"/>
      <c r="Z654" s="2474"/>
      <c r="AA654" s="2474"/>
      <c r="AB654" s="2474"/>
      <c r="AC654" s="2474"/>
      <c r="AD654" s="1213"/>
      <c r="AE654" s="1213"/>
      <c r="AF654" s="2475" t="s">
        <v>1542</v>
      </c>
      <c r="AG654" s="2475"/>
      <c r="AH654" s="2475"/>
      <c r="AI654" s="2475"/>
      <c r="AJ654" s="2475"/>
      <c r="AK654" s="2475"/>
      <c r="AL654" s="2475"/>
      <c r="AN654" s="1265"/>
    </row>
    <row r="655" spans="1:42" s="1226" customFormat="1" ht="12.75" customHeight="1">
      <c r="B655" s="1213"/>
      <c r="C655" s="1493"/>
      <c r="D655" s="1213"/>
      <c r="E655" s="2474"/>
      <c r="F655" s="2474"/>
      <c r="G655" s="2474"/>
      <c r="H655" s="2474"/>
      <c r="I655" s="2474"/>
      <c r="J655" s="2474"/>
      <c r="K655" s="2474"/>
      <c r="L655" s="2474"/>
      <c r="M655" s="2474"/>
      <c r="N655" s="2474"/>
      <c r="O655" s="2474"/>
      <c r="P655" s="2474"/>
      <c r="Q655" s="2474"/>
      <c r="R655" s="2474"/>
      <c r="S655" s="2474"/>
      <c r="T655" s="2474"/>
      <c r="U655" s="2474"/>
      <c r="V655" s="2474"/>
      <c r="W655" s="2474"/>
      <c r="X655" s="2474"/>
      <c r="Y655" s="2474"/>
      <c r="Z655" s="2474"/>
      <c r="AA655" s="2474"/>
      <c r="AB655" s="2474"/>
      <c r="AC655" s="2474"/>
      <c r="AD655" s="1213"/>
      <c r="AE655" s="2475"/>
      <c r="AF655" s="2475"/>
      <c r="AG655" s="2475"/>
      <c r="AH655" s="2475"/>
      <c r="AI655" s="2475"/>
      <c r="AJ655" s="2475"/>
      <c r="AK655" s="2475"/>
      <c r="AL655" s="1557"/>
      <c r="AN655" s="1265"/>
      <c r="AO655" s="1226" t="s">
        <v>615</v>
      </c>
      <c r="AP655" s="1496">
        <v>0</v>
      </c>
    </row>
    <row r="656" spans="1:42" s="1226" customFormat="1" ht="12.75" customHeight="1">
      <c r="A656" s="1561"/>
      <c r="B656" s="1213"/>
      <c r="C656" s="1213"/>
      <c r="D656" s="1285"/>
      <c r="E656" s="2474"/>
      <c r="F656" s="2474"/>
      <c r="G656" s="2474"/>
      <c r="H656" s="2474"/>
      <c r="I656" s="2474"/>
      <c r="J656" s="2474"/>
      <c r="K656" s="2474"/>
      <c r="L656" s="2474"/>
      <c r="M656" s="2474"/>
      <c r="N656" s="2474"/>
      <c r="O656" s="2474"/>
      <c r="P656" s="2474"/>
      <c r="Q656" s="2474"/>
      <c r="R656" s="2474"/>
      <c r="S656" s="2474"/>
      <c r="T656" s="2474"/>
      <c r="U656" s="2474"/>
      <c r="V656" s="2474"/>
      <c r="W656" s="2474"/>
      <c r="X656" s="2474"/>
      <c r="Y656" s="2474"/>
      <c r="Z656" s="2474"/>
      <c r="AA656" s="2474"/>
      <c r="AB656" s="2474"/>
      <c r="AC656" s="2474"/>
      <c r="AD656" s="1213"/>
      <c r="AE656" s="1213"/>
      <c r="AF656" s="1213"/>
      <c r="AG656" s="1213"/>
      <c r="AH656" s="1213"/>
      <c r="AI656" s="1213"/>
      <c r="AJ656" s="1213"/>
      <c r="AK656" s="1213"/>
      <c r="AL656" s="1213"/>
      <c r="AN656" s="1265"/>
      <c r="AO656" s="1274" t="s">
        <v>712</v>
      </c>
      <c r="AP656" s="1226">
        <v>3</v>
      </c>
    </row>
    <row r="657" spans="1:42" s="1226" customFormat="1" ht="12.75" customHeight="1">
      <c r="B657" s="1213"/>
      <c r="C657" s="1493"/>
      <c r="D657" s="1285"/>
      <c r="E657" s="1242"/>
      <c r="F657" s="1242"/>
      <c r="G657" s="1242"/>
      <c r="H657" s="1242"/>
      <c r="I657" s="1242"/>
      <c r="J657" s="1242"/>
      <c r="K657" s="1242"/>
      <c r="L657" s="1242"/>
      <c r="M657" s="1242"/>
      <c r="N657" s="1242"/>
      <c r="O657" s="1242"/>
      <c r="P657" s="1242"/>
      <c r="Q657" s="1242"/>
      <c r="R657" s="1242"/>
      <c r="S657" s="1242"/>
      <c r="T657" s="1242"/>
      <c r="U657" s="1242"/>
      <c r="V657" s="1242"/>
      <c r="W657" s="1242"/>
      <c r="X657" s="1242"/>
      <c r="Y657" s="1242"/>
      <c r="Z657" s="1242"/>
      <c r="AA657" s="1242"/>
      <c r="AB657" s="1242"/>
      <c r="AC657" s="1213"/>
      <c r="AD657" s="1213"/>
      <c r="AE657" s="1213"/>
      <c r="AF657" s="1213"/>
      <c r="AG657" s="1213"/>
      <c r="AH657" s="1213"/>
      <c r="AI657" s="1213"/>
      <c r="AJ657" s="1213"/>
      <c r="AK657" s="1213"/>
      <c r="AL657" s="1213"/>
      <c r="AN657" s="1265"/>
      <c r="AO657" s="1274" t="s">
        <v>532</v>
      </c>
      <c r="AP657" s="1226">
        <v>2</v>
      </c>
    </row>
    <row r="658" spans="1:42" s="1226" customFormat="1" ht="12.75" customHeight="1">
      <c r="A658" s="1516"/>
      <c r="B658" s="1213"/>
      <c r="C658" s="1517"/>
      <c r="D658" s="1285" t="s">
        <v>1587</v>
      </c>
      <c r="E658" s="2474" t="s">
        <v>1613</v>
      </c>
      <c r="F658" s="2474"/>
      <c r="G658" s="2474"/>
      <c r="H658" s="2474"/>
      <c r="I658" s="2474"/>
      <c r="J658" s="2474"/>
      <c r="K658" s="2474"/>
      <c r="L658" s="2474"/>
      <c r="M658" s="2474"/>
      <c r="N658" s="2474"/>
      <c r="O658" s="2474"/>
      <c r="P658" s="2474"/>
      <c r="Q658" s="2474"/>
      <c r="R658" s="2474"/>
      <c r="S658" s="2474"/>
      <c r="T658" s="2474"/>
      <c r="U658" s="2474"/>
      <c r="V658" s="2474"/>
      <c r="W658" s="2474"/>
      <c r="X658" s="2474"/>
      <c r="Y658" s="2474"/>
      <c r="Z658" s="2474"/>
      <c r="AA658" s="2474"/>
      <c r="AB658" s="2474"/>
      <c r="AC658" s="2474"/>
      <c r="AD658" s="1213"/>
      <c r="AE658" s="1213"/>
      <c r="AF658" s="2475" t="s">
        <v>1589</v>
      </c>
      <c r="AG658" s="2475"/>
      <c r="AH658" s="2475"/>
      <c r="AI658" s="2475"/>
      <c r="AJ658" s="2475"/>
      <c r="AK658" s="2475"/>
      <c r="AL658" s="2475"/>
      <c r="AN658" s="1265"/>
    </row>
    <row r="659" spans="1:42" s="1226" customFormat="1" ht="12.75" customHeight="1">
      <c r="A659" s="1516"/>
      <c r="B659" s="1213"/>
      <c r="C659" s="1517"/>
      <c r="D659" s="1285"/>
      <c r="E659" s="2474"/>
      <c r="F659" s="2474"/>
      <c r="G659" s="2474"/>
      <c r="H659" s="2474"/>
      <c r="I659" s="2474"/>
      <c r="J659" s="2474"/>
      <c r="K659" s="2474"/>
      <c r="L659" s="2474"/>
      <c r="M659" s="2474"/>
      <c r="N659" s="2474"/>
      <c r="O659" s="2474"/>
      <c r="P659" s="2474"/>
      <c r="Q659" s="2474"/>
      <c r="R659" s="2474"/>
      <c r="S659" s="2474"/>
      <c r="T659" s="2474"/>
      <c r="U659" s="2474"/>
      <c r="V659" s="2474"/>
      <c r="W659" s="2474"/>
      <c r="X659" s="2474"/>
      <c r="Y659" s="2474"/>
      <c r="Z659" s="2474"/>
      <c r="AA659" s="2474"/>
      <c r="AB659" s="2474"/>
      <c r="AC659" s="2474"/>
      <c r="AD659" s="1213"/>
      <c r="AE659" s="1557"/>
      <c r="AF659" s="1557"/>
      <c r="AG659" s="1557"/>
      <c r="AH659" s="1557"/>
      <c r="AI659" s="1557"/>
      <c r="AJ659" s="1557"/>
      <c r="AK659" s="1557"/>
      <c r="AL659" s="1557"/>
      <c r="AM659" s="1336"/>
      <c r="AN659" s="1265"/>
    </row>
    <row r="660" spans="1:42" s="1226" customFormat="1" ht="12.75" customHeight="1">
      <c r="A660" s="1516"/>
      <c r="B660" s="1213"/>
      <c r="C660" s="1517"/>
      <c r="D660" s="1285"/>
      <c r="E660" s="2474"/>
      <c r="F660" s="2474"/>
      <c r="G660" s="2474"/>
      <c r="H660" s="2474"/>
      <c r="I660" s="2474"/>
      <c r="J660" s="2474"/>
      <c r="K660" s="2474"/>
      <c r="L660" s="2474"/>
      <c r="M660" s="2474"/>
      <c r="N660" s="2474"/>
      <c r="O660" s="2474"/>
      <c r="P660" s="2474"/>
      <c r="Q660" s="2474"/>
      <c r="R660" s="2474"/>
      <c r="S660" s="2474"/>
      <c r="T660" s="2474"/>
      <c r="U660" s="2474"/>
      <c r="V660" s="2474"/>
      <c r="W660" s="2474"/>
      <c r="X660" s="2474"/>
      <c r="Y660" s="2474"/>
      <c r="Z660" s="2474"/>
      <c r="AA660" s="2474"/>
      <c r="AB660" s="2474"/>
      <c r="AC660" s="2474"/>
      <c r="AD660" s="1213"/>
      <c r="AE660" s="1557"/>
      <c r="AF660" s="1557"/>
      <c r="AG660" s="1557"/>
      <c r="AH660" s="1557"/>
      <c r="AI660" s="1557"/>
      <c r="AJ660" s="1557"/>
      <c r="AK660" s="1557"/>
      <c r="AL660" s="1557"/>
      <c r="AM660" s="1336"/>
      <c r="AN660" s="1265"/>
    </row>
    <row r="661" spans="1:42" s="1226" customFormat="1" ht="12.75" customHeight="1">
      <c r="B661" s="1213"/>
      <c r="C661" s="1493"/>
      <c r="D661" s="1285"/>
      <c r="E661" s="1263"/>
      <c r="F661" s="1263"/>
      <c r="G661" s="1263"/>
      <c r="H661" s="1263"/>
      <c r="I661" s="1263"/>
      <c r="J661" s="1263"/>
      <c r="K661" s="1263"/>
      <c r="L661" s="1263"/>
      <c r="M661" s="1263"/>
      <c r="N661" s="1263"/>
      <c r="O661" s="1263"/>
      <c r="P661" s="1263"/>
      <c r="Q661" s="1263"/>
      <c r="R661" s="1263"/>
      <c r="S661" s="1263"/>
      <c r="T661" s="1263"/>
      <c r="U661" s="1263"/>
      <c r="V661" s="1263"/>
      <c r="W661" s="1263"/>
      <c r="X661" s="1263"/>
      <c r="Y661" s="1263"/>
      <c r="Z661" s="1263"/>
      <c r="AA661" s="1263"/>
      <c r="AB661" s="1263"/>
      <c r="AC661" s="1575"/>
      <c r="AD661" s="1575"/>
      <c r="AE661" s="1213"/>
      <c r="AF661" s="1213"/>
      <c r="AG661" s="1213"/>
      <c r="AH661" s="1213"/>
      <c r="AI661" s="1213"/>
      <c r="AJ661" s="1213"/>
      <c r="AK661" s="1213"/>
      <c r="AL661" s="1557"/>
      <c r="AM661" s="1336"/>
      <c r="AN661" s="1265"/>
    </row>
    <row r="662" spans="1:42" s="1226" customFormat="1" ht="12.75" customHeight="1">
      <c r="B662" s="1213"/>
      <c r="C662" s="1493"/>
      <c r="D662" s="1285" t="s">
        <v>1588</v>
      </c>
      <c r="E662" s="2474" t="s">
        <v>1614</v>
      </c>
      <c r="F662" s="2474"/>
      <c r="G662" s="2474"/>
      <c r="H662" s="2474"/>
      <c r="I662" s="2474"/>
      <c r="J662" s="2474"/>
      <c r="K662" s="2474"/>
      <c r="L662" s="2474"/>
      <c r="M662" s="2474"/>
      <c r="N662" s="2474"/>
      <c r="O662" s="2474"/>
      <c r="P662" s="2474"/>
      <c r="Q662" s="2474"/>
      <c r="R662" s="2474"/>
      <c r="S662" s="2474"/>
      <c r="T662" s="2474"/>
      <c r="U662" s="2474"/>
      <c r="V662" s="2474"/>
      <c r="W662" s="2474"/>
      <c r="X662" s="2474"/>
      <c r="Y662" s="2474"/>
      <c r="Z662" s="2474"/>
      <c r="AA662" s="2474"/>
      <c r="AB662" s="2474"/>
      <c r="AC662" s="2474"/>
      <c r="AD662" s="1213"/>
      <c r="AE662" s="1213"/>
      <c r="AF662" s="2475" t="s">
        <v>1542</v>
      </c>
      <c r="AG662" s="2475"/>
      <c r="AH662" s="2475"/>
      <c r="AI662" s="2475"/>
      <c r="AJ662" s="2475"/>
      <c r="AK662" s="2475"/>
      <c r="AL662" s="2475"/>
      <c r="AM662" s="1336"/>
      <c r="AN662" s="1265"/>
    </row>
    <row r="663" spans="1:42" s="1226" customFormat="1" ht="12.75" customHeight="1">
      <c r="B663" s="1213"/>
      <c r="C663" s="1493"/>
      <c r="D663" s="1285"/>
      <c r="E663" s="2474"/>
      <c r="F663" s="2474"/>
      <c r="G663" s="2474"/>
      <c r="H663" s="2474"/>
      <c r="I663" s="2474"/>
      <c r="J663" s="2474"/>
      <c r="K663" s="2474"/>
      <c r="L663" s="2474"/>
      <c r="M663" s="2474"/>
      <c r="N663" s="2474"/>
      <c r="O663" s="2474"/>
      <c r="P663" s="2474"/>
      <c r="Q663" s="2474"/>
      <c r="R663" s="2474"/>
      <c r="S663" s="2474"/>
      <c r="T663" s="2474"/>
      <c r="U663" s="2474"/>
      <c r="V663" s="2474"/>
      <c r="W663" s="2474"/>
      <c r="X663" s="2474"/>
      <c r="Y663" s="2474"/>
      <c r="Z663" s="2474"/>
      <c r="AA663" s="2474"/>
      <c r="AB663" s="2474"/>
      <c r="AC663" s="2474"/>
      <c r="AD663" s="1213"/>
      <c r="AE663" s="1213"/>
      <c r="AF663" s="1213"/>
      <c r="AG663" s="1213"/>
      <c r="AH663" s="1213"/>
      <c r="AI663" s="1213"/>
      <c r="AJ663" s="1213"/>
      <c r="AK663" s="1213"/>
      <c r="AL663" s="1213"/>
      <c r="AM663" s="1336"/>
      <c r="AN663" s="1265"/>
    </row>
    <row r="664" spans="1:42" s="1226" customFormat="1" ht="12.75" customHeight="1">
      <c r="B664" s="1213"/>
      <c r="C664" s="1493"/>
      <c r="D664" s="1285"/>
      <c r="E664" s="2474"/>
      <c r="F664" s="2474"/>
      <c r="G664" s="2474"/>
      <c r="H664" s="2474"/>
      <c r="I664" s="2474"/>
      <c r="J664" s="2474"/>
      <c r="K664" s="2474"/>
      <c r="L664" s="2474"/>
      <c r="M664" s="2474"/>
      <c r="N664" s="2474"/>
      <c r="O664" s="2474"/>
      <c r="P664" s="2474"/>
      <c r="Q664" s="2474"/>
      <c r="R664" s="2474"/>
      <c r="S664" s="2474"/>
      <c r="T664" s="2474"/>
      <c r="U664" s="2474"/>
      <c r="V664" s="2474"/>
      <c r="W664" s="2474"/>
      <c r="X664" s="2474"/>
      <c r="Y664" s="2474"/>
      <c r="Z664" s="2474"/>
      <c r="AA664" s="2474"/>
      <c r="AB664" s="2474"/>
      <c r="AC664" s="2474"/>
      <c r="AD664" s="1213"/>
      <c r="AE664" s="1213"/>
      <c r="AF664" s="1213"/>
      <c r="AG664" s="1213"/>
      <c r="AH664" s="1213"/>
      <c r="AI664" s="1213"/>
      <c r="AJ664" s="1213"/>
      <c r="AK664" s="1213"/>
      <c r="AL664" s="1213"/>
      <c r="AM664" s="1336"/>
      <c r="AN664" s="1265"/>
    </row>
    <row r="665" spans="1:42" s="1226" customFormat="1" ht="12.75" customHeight="1">
      <c r="B665" s="1213"/>
      <c r="C665" s="1493"/>
      <c r="D665" s="1285"/>
      <c r="E665" s="1213"/>
      <c r="F665" s="1213"/>
      <c r="G665" s="1213"/>
      <c r="H665" s="1213"/>
      <c r="I665" s="1213"/>
      <c r="J665" s="1213"/>
      <c r="K665" s="1213"/>
      <c r="L665" s="1213"/>
      <c r="M665" s="1213"/>
      <c r="N665" s="1213"/>
      <c r="O665" s="1213"/>
      <c r="P665" s="1213"/>
      <c r="Q665" s="1213"/>
      <c r="R665" s="1213"/>
      <c r="S665" s="1213"/>
      <c r="T665" s="1213"/>
      <c r="U665" s="1213"/>
      <c r="V665" s="1213"/>
      <c r="W665" s="1213"/>
      <c r="X665" s="1213"/>
      <c r="Y665" s="1213"/>
      <c r="Z665" s="1213"/>
      <c r="AA665" s="1213"/>
      <c r="AB665" s="1213"/>
      <c r="AC665" s="1213"/>
      <c r="AD665" s="1213"/>
      <c r="AE665" s="1213"/>
      <c r="AF665" s="1213"/>
      <c r="AG665" s="1213"/>
      <c r="AH665" s="1213"/>
      <c r="AI665" s="1213"/>
      <c r="AJ665" s="1213"/>
      <c r="AK665" s="1213"/>
      <c r="AL665" s="1213"/>
      <c r="AM665" s="1336"/>
      <c r="AN665" s="1265"/>
    </row>
    <row r="666" spans="1:42" s="1226" customFormat="1" ht="12.75" customHeight="1">
      <c r="A666" s="1561"/>
      <c r="B666" s="1213"/>
      <c r="C666" s="1493"/>
      <c r="D666" s="1285" t="s">
        <v>1599</v>
      </c>
      <c r="E666" s="2474" t="s">
        <v>1615</v>
      </c>
      <c r="F666" s="2474"/>
      <c r="G666" s="2474"/>
      <c r="H666" s="2474"/>
      <c r="I666" s="2474"/>
      <c r="J666" s="2474"/>
      <c r="K666" s="2474"/>
      <c r="L666" s="2474"/>
      <c r="M666" s="2474"/>
      <c r="N666" s="2474"/>
      <c r="O666" s="2474"/>
      <c r="P666" s="2474"/>
      <c r="Q666" s="2474"/>
      <c r="R666" s="2474"/>
      <c r="S666" s="2474"/>
      <c r="T666" s="2474"/>
      <c r="U666" s="2474"/>
      <c r="V666" s="2474"/>
      <c r="W666" s="2474"/>
      <c r="X666" s="2474"/>
      <c r="Y666" s="2474"/>
      <c r="Z666" s="2474"/>
      <c r="AA666" s="2474"/>
      <c r="AB666" s="2474"/>
      <c r="AC666" s="2474"/>
      <c r="AD666" s="1213"/>
      <c r="AE666" s="1213"/>
      <c r="AF666" s="2475" t="s">
        <v>1598</v>
      </c>
      <c r="AG666" s="2475"/>
      <c r="AH666" s="2475"/>
      <c r="AI666" s="2475"/>
      <c r="AJ666" s="2475"/>
      <c r="AK666" s="2475"/>
      <c r="AL666" s="2475"/>
      <c r="AM666" s="1336"/>
      <c r="AN666" s="1265"/>
    </row>
    <row r="667" spans="1:42" s="1226" customFormat="1" ht="12.75" customHeight="1">
      <c r="A667" s="1561"/>
      <c r="B667" s="1213"/>
      <c r="C667" s="1493"/>
      <c r="D667" s="1285"/>
      <c r="E667" s="2474"/>
      <c r="F667" s="2474"/>
      <c r="G667" s="2474"/>
      <c r="H667" s="2474"/>
      <c r="I667" s="2474"/>
      <c r="J667" s="2474"/>
      <c r="K667" s="2474"/>
      <c r="L667" s="2474"/>
      <c r="M667" s="2474"/>
      <c r="N667" s="2474"/>
      <c r="O667" s="2474"/>
      <c r="P667" s="2474"/>
      <c r="Q667" s="2474"/>
      <c r="R667" s="2474"/>
      <c r="S667" s="2474"/>
      <c r="T667" s="2474"/>
      <c r="U667" s="2474"/>
      <c r="V667" s="2474"/>
      <c r="W667" s="2474"/>
      <c r="X667" s="2474"/>
      <c r="Y667" s="2474"/>
      <c r="Z667" s="2474"/>
      <c r="AA667" s="2474"/>
      <c r="AB667" s="2474"/>
      <c r="AC667" s="2474"/>
      <c r="AD667" s="1213"/>
      <c r="AE667" s="1213"/>
      <c r="AF667" s="1557"/>
      <c r="AG667" s="1557"/>
      <c r="AH667" s="1557"/>
      <c r="AI667" s="1557"/>
      <c r="AJ667" s="1557"/>
      <c r="AK667" s="1557"/>
      <c r="AL667" s="1557"/>
      <c r="AM667" s="1336"/>
      <c r="AN667" s="1265"/>
    </row>
    <row r="668" spans="1:42" s="1226" customFormat="1" ht="12.75" customHeight="1">
      <c r="A668" s="1561"/>
      <c r="B668" s="1213"/>
      <c r="C668" s="1493"/>
      <c r="D668" s="1285"/>
      <c r="E668" s="2474"/>
      <c r="F668" s="2474"/>
      <c r="G668" s="2474"/>
      <c r="H668" s="2474"/>
      <c r="I668" s="2474"/>
      <c r="J668" s="2474"/>
      <c r="K668" s="2474"/>
      <c r="L668" s="2474"/>
      <c r="M668" s="2474"/>
      <c r="N668" s="2474"/>
      <c r="O668" s="2474"/>
      <c r="P668" s="2474"/>
      <c r="Q668" s="2474"/>
      <c r="R668" s="2474"/>
      <c r="S668" s="2474"/>
      <c r="T668" s="2474"/>
      <c r="U668" s="2474"/>
      <c r="V668" s="2474"/>
      <c r="W668" s="2474"/>
      <c r="X668" s="2474"/>
      <c r="Y668" s="2474"/>
      <c r="Z668" s="2474"/>
      <c r="AA668" s="2474"/>
      <c r="AB668" s="2474"/>
      <c r="AC668" s="2474"/>
      <c r="AD668" s="1213"/>
      <c r="AE668" s="1557"/>
      <c r="AF668" s="1557"/>
      <c r="AG668" s="1557"/>
      <c r="AH668" s="1557"/>
      <c r="AI668" s="1557"/>
      <c r="AJ668" s="1557"/>
      <c r="AK668" s="1557"/>
      <c r="AL668" s="1557"/>
      <c r="AM668" s="1336"/>
      <c r="AN668" s="1265"/>
    </row>
    <row r="669" spans="1:42" s="1226" customFormat="1" ht="12.75" customHeight="1">
      <c r="A669" s="1561"/>
      <c r="B669" s="1213"/>
      <c r="C669" s="1493"/>
      <c r="D669" s="1285"/>
      <c r="E669" s="1263"/>
      <c r="F669" s="1263"/>
      <c r="G669" s="1263"/>
      <c r="H669" s="1263"/>
      <c r="I669" s="1263"/>
      <c r="J669" s="1263"/>
      <c r="K669" s="1263"/>
      <c r="L669" s="1263"/>
      <c r="M669" s="1263"/>
      <c r="N669" s="1263"/>
      <c r="O669" s="1263"/>
      <c r="P669" s="1263"/>
      <c r="Q669" s="1263"/>
      <c r="R669" s="1263"/>
      <c r="S669" s="1263"/>
      <c r="T669" s="1263"/>
      <c r="U669" s="1263"/>
      <c r="V669" s="1263"/>
      <c r="W669" s="1263"/>
      <c r="X669" s="1263"/>
      <c r="Y669" s="1263"/>
      <c r="Z669" s="1263"/>
      <c r="AA669" s="1263"/>
      <c r="AB669" s="1263"/>
      <c r="AC669" s="1263"/>
      <c r="AD669" s="1213"/>
      <c r="AE669" s="1557"/>
      <c r="AF669" s="1213"/>
      <c r="AG669" s="1213"/>
      <c r="AH669" s="1213"/>
      <c r="AI669" s="1213"/>
      <c r="AJ669" s="1213"/>
      <c r="AK669" s="1213"/>
      <c r="AL669" s="1213"/>
      <c r="AM669" s="1336"/>
      <c r="AN669" s="1265"/>
      <c r="AO669" s="1226" t="s">
        <v>615</v>
      </c>
      <c r="AP669" s="1339">
        <v>0</v>
      </c>
    </row>
    <row r="670" spans="1:42" s="1226" customFormat="1" ht="12.75" customHeight="1">
      <c r="A670" s="1561"/>
      <c r="B670" s="1213"/>
      <c r="C670" s="1493"/>
      <c r="D670" s="1285" t="s">
        <v>1601</v>
      </c>
      <c r="E670" s="2474" t="s">
        <v>1616</v>
      </c>
      <c r="F670" s="2474"/>
      <c r="G670" s="2474"/>
      <c r="H670" s="2474"/>
      <c r="I670" s="2474"/>
      <c r="J670" s="2474"/>
      <c r="K670" s="2474"/>
      <c r="L670" s="2474"/>
      <c r="M670" s="2474"/>
      <c r="N670" s="2474"/>
      <c r="O670" s="2474"/>
      <c r="P670" s="2474"/>
      <c r="Q670" s="2474"/>
      <c r="R670" s="2474"/>
      <c r="S670" s="2474"/>
      <c r="T670" s="2474"/>
      <c r="U670" s="2474"/>
      <c r="V670" s="2474"/>
      <c r="W670" s="2474"/>
      <c r="X670" s="2474"/>
      <c r="Y670" s="2474"/>
      <c r="Z670" s="2474"/>
      <c r="AA670" s="2474"/>
      <c r="AB670" s="2474"/>
      <c r="AC670" s="2474"/>
      <c r="AD670" s="1213"/>
      <c r="AE670" s="1213"/>
      <c r="AF670" s="2475" t="s">
        <v>1617</v>
      </c>
      <c r="AG670" s="2475"/>
      <c r="AH670" s="2475"/>
      <c r="AI670" s="2475"/>
      <c r="AJ670" s="2475"/>
      <c r="AK670" s="2475"/>
      <c r="AL670" s="2475"/>
      <c r="AM670" s="1336"/>
      <c r="AN670" s="1265"/>
      <c r="AO670" s="1274" t="s">
        <v>712</v>
      </c>
      <c r="AP670" s="1226">
        <v>3</v>
      </c>
    </row>
    <row r="671" spans="1:42" s="1226" customFormat="1" ht="12.75" customHeight="1">
      <c r="A671" s="1561"/>
      <c r="B671" s="1213"/>
      <c r="C671" s="1493"/>
      <c r="D671" s="1285"/>
      <c r="E671" s="2474"/>
      <c r="F671" s="2474"/>
      <c r="G671" s="2474"/>
      <c r="H671" s="2474"/>
      <c r="I671" s="2474"/>
      <c r="J671" s="2474"/>
      <c r="K671" s="2474"/>
      <c r="L671" s="2474"/>
      <c r="M671" s="2474"/>
      <c r="N671" s="2474"/>
      <c r="O671" s="2474"/>
      <c r="P671" s="2474"/>
      <c r="Q671" s="2474"/>
      <c r="R671" s="2474"/>
      <c r="S671" s="2474"/>
      <c r="T671" s="2474"/>
      <c r="U671" s="2474"/>
      <c r="V671" s="2474"/>
      <c r="W671" s="2474"/>
      <c r="X671" s="2474"/>
      <c r="Y671" s="2474"/>
      <c r="Z671" s="2474"/>
      <c r="AA671" s="2474"/>
      <c r="AB671" s="2474"/>
      <c r="AC671" s="2474"/>
      <c r="AD671" s="1213"/>
      <c r="AE671" s="1213"/>
      <c r="AF671" s="1557"/>
      <c r="AG671" s="1557"/>
      <c r="AH671" s="1557"/>
      <c r="AI671" s="1557"/>
      <c r="AJ671" s="1557"/>
      <c r="AK671" s="1557"/>
      <c r="AL671" s="1557"/>
      <c r="AM671" s="1336"/>
      <c r="AN671" s="1265"/>
      <c r="AO671" s="1274" t="s">
        <v>532</v>
      </c>
      <c r="AP671" s="1226">
        <v>2</v>
      </c>
    </row>
    <row r="672" spans="1:42" s="1226" customFormat="1" ht="12.75" customHeight="1">
      <c r="A672" s="1561"/>
      <c r="B672" s="1213"/>
      <c r="C672" s="1493"/>
      <c r="D672" s="1285"/>
      <c r="E672" s="2474"/>
      <c r="F672" s="2474"/>
      <c r="G672" s="2474"/>
      <c r="H672" s="2474"/>
      <c r="I672" s="2474"/>
      <c r="J672" s="2474"/>
      <c r="K672" s="2474"/>
      <c r="L672" s="2474"/>
      <c r="M672" s="2474"/>
      <c r="N672" s="2474"/>
      <c r="O672" s="2474"/>
      <c r="P672" s="2474"/>
      <c r="Q672" s="2474"/>
      <c r="R672" s="2474"/>
      <c r="S672" s="2474"/>
      <c r="T672" s="2474"/>
      <c r="U672" s="2474"/>
      <c r="V672" s="2474"/>
      <c r="W672" s="2474"/>
      <c r="X672" s="2474"/>
      <c r="Y672" s="2474"/>
      <c r="Z672" s="2474"/>
      <c r="AA672" s="2474"/>
      <c r="AB672" s="2474"/>
      <c r="AC672" s="2474"/>
      <c r="AD672" s="1213"/>
      <c r="AE672" s="1557"/>
      <c r="AF672" s="1557"/>
      <c r="AG672" s="1557"/>
      <c r="AH672" s="1557"/>
      <c r="AI672" s="1557"/>
      <c r="AJ672" s="1557"/>
      <c r="AK672" s="1557"/>
      <c r="AL672" s="1557"/>
      <c r="AM672" s="1336"/>
      <c r="AN672" s="1265"/>
    </row>
    <row r="673" spans="1:42" s="1226" customFormat="1" ht="12.75" customHeight="1">
      <c r="A673" s="1516"/>
      <c r="B673" s="1213"/>
      <c r="C673" s="1517"/>
      <c r="D673" s="1285"/>
      <c r="E673" s="1556"/>
      <c r="F673" s="1556"/>
      <c r="G673" s="1556"/>
      <c r="H673" s="1556"/>
      <c r="I673" s="1556"/>
      <c r="J673" s="1556"/>
      <c r="K673" s="1556"/>
      <c r="L673" s="1556"/>
      <c r="M673" s="1556"/>
      <c r="N673" s="1556"/>
      <c r="O673" s="1556"/>
      <c r="P673" s="1556"/>
      <c r="Q673" s="1556"/>
      <c r="R673" s="1556"/>
      <c r="S673" s="1556"/>
      <c r="T673" s="1556"/>
      <c r="U673" s="1556"/>
      <c r="V673" s="1556"/>
      <c r="W673" s="1556"/>
      <c r="X673" s="1556"/>
      <c r="Y673" s="1556"/>
      <c r="Z673" s="1556"/>
      <c r="AA673" s="1556"/>
      <c r="AB673" s="1556"/>
      <c r="AC673" s="1556"/>
      <c r="AD673" s="1213"/>
      <c r="AE673" s="1557"/>
      <c r="AF673" s="1557"/>
      <c r="AG673" s="1557"/>
      <c r="AH673" s="1557"/>
      <c r="AI673" s="1557"/>
      <c r="AJ673" s="1557"/>
      <c r="AK673" s="1557"/>
      <c r="AL673" s="1557"/>
      <c r="AM673" s="1336"/>
      <c r="AN673" s="1265"/>
    </row>
    <row r="674" spans="1:42" s="1226" customFormat="1" ht="12.75" customHeight="1">
      <c r="A674" s="1561"/>
      <c r="B674" s="1213"/>
      <c r="C674" s="1493"/>
      <c r="D674" s="1213" t="s">
        <v>1590</v>
      </c>
      <c r="E674" s="1559"/>
      <c r="F674" s="1559"/>
      <c r="G674" s="1559"/>
      <c r="H674" s="2476" t="s">
        <v>615</v>
      </c>
      <c r="I674" s="2476"/>
      <c r="J674" s="1278"/>
      <c r="K674" s="1278"/>
      <c r="L674" s="1213"/>
      <c r="M674" s="1213"/>
      <c r="N674" s="1213"/>
      <c r="O674" s="1213"/>
      <c r="P674" s="1213"/>
      <c r="Q674" s="1213"/>
      <c r="R674" s="1213"/>
      <c r="S674" s="1213"/>
      <c r="T674" s="1213"/>
      <c r="U674" s="1213"/>
      <c r="V674" s="1213"/>
      <c r="W674" s="1213"/>
      <c r="X674" s="1213"/>
      <c r="Y674" s="1213"/>
      <c r="Z674" s="1213"/>
      <c r="AA674" s="1213"/>
      <c r="AB674" s="1213"/>
      <c r="AC674" s="1213"/>
      <c r="AD674" s="1213"/>
      <c r="AE674" s="1213"/>
      <c r="AF674" s="1213"/>
      <c r="AG674" s="1213"/>
      <c r="AH674" s="1213"/>
      <c r="AI674" s="1213"/>
      <c r="AJ674" s="1213"/>
      <c r="AK674" s="1213"/>
      <c r="AL674" s="1213"/>
      <c r="AN674" s="1265"/>
    </row>
    <row r="675" spans="1:42" s="1226" customFormat="1" ht="12.75" customHeight="1">
      <c r="A675" s="1561"/>
      <c r="B675" s="1213"/>
      <c r="C675" s="1493"/>
      <c r="D675" s="1213"/>
      <c r="E675" s="1559"/>
      <c r="F675" s="1559"/>
      <c r="G675" s="1278"/>
      <c r="H675" s="1278"/>
      <c r="I675" s="1278"/>
      <c r="J675" s="1278"/>
      <c r="K675" s="1278"/>
      <c r="L675" s="1278"/>
      <c r="M675" s="1278"/>
      <c r="N675" s="1278"/>
      <c r="O675" s="1278"/>
      <c r="P675" s="1278"/>
      <c r="Q675" s="1278"/>
      <c r="R675" s="1278"/>
      <c r="S675" s="1278"/>
      <c r="T675" s="1278"/>
      <c r="U675" s="1278"/>
      <c r="V675" s="1278"/>
      <c r="W675" s="1278"/>
      <c r="X675" s="1278"/>
      <c r="Y675" s="1278"/>
      <c r="Z675" s="1559"/>
      <c r="AA675" s="1559"/>
      <c r="AB675" s="1559"/>
      <c r="AC675" s="1213"/>
      <c r="AD675" s="1213"/>
      <c r="AE675" s="1213"/>
      <c r="AF675" s="1213"/>
      <c r="AG675" s="1278"/>
      <c r="AH675" s="1278"/>
      <c r="AI675" s="1278"/>
      <c r="AJ675" s="1278"/>
      <c r="AK675" s="1278"/>
      <c r="AL675" s="1278"/>
      <c r="AM675" s="1227"/>
      <c r="AN675" s="1265"/>
    </row>
    <row r="676" spans="1:42" s="1226" customFormat="1" ht="12.75" customHeight="1">
      <c r="A676" s="1518"/>
      <c r="B676" s="1261"/>
      <c r="C676" s="1512"/>
      <c r="D676" s="1261"/>
      <c r="E676" s="1503"/>
      <c r="F676" s="1367"/>
      <c r="G676" s="1367"/>
      <c r="H676" s="1367"/>
      <c r="I676" s="1367"/>
      <c r="J676" s="1367"/>
      <c r="K676" s="1367"/>
      <c r="L676" s="1367"/>
      <c r="M676" s="1367"/>
      <c r="N676" s="1367"/>
      <c r="O676" s="1367"/>
      <c r="P676" s="1367"/>
      <c r="Q676" s="1367"/>
      <c r="R676" s="1367"/>
      <c r="S676" s="1367"/>
      <c r="T676" s="1367"/>
      <c r="U676" s="1367"/>
      <c r="V676" s="1367"/>
      <c r="W676" s="1367"/>
      <c r="X676" s="1367"/>
      <c r="Y676" s="1503"/>
      <c r="Z676" s="1503"/>
      <c r="AA676" s="1503"/>
      <c r="AB676" s="1261"/>
      <c r="AC676" s="1261"/>
      <c r="AD676" s="1261"/>
      <c r="AE676" s="1261"/>
      <c r="AF676" s="1261"/>
      <c r="AG676" s="1261"/>
      <c r="AH676" s="1261"/>
      <c r="AI676" s="1233" t="s">
        <v>1618</v>
      </c>
      <c r="AJ676" s="2454">
        <f>VLOOKUP($H$674,$AO$622:$AP$629,2,FALSE)</f>
        <v>0</v>
      </c>
      <c r="AK676" s="2456"/>
      <c r="AL676" s="1566"/>
      <c r="AN676" s="1265"/>
    </row>
    <row r="677" spans="1:42" s="1226" customFormat="1" ht="12.75" customHeight="1">
      <c r="A677" s="1561"/>
      <c r="B677" s="1213"/>
      <c r="C677" s="1493"/>
      <c r="D677" s="1213"/>
      <c r="E677" s="1278"/>
      <c r="F677" s="1278"/>
      <c r="G677" s="1278"/>
      <c r="H677" s="1278"/>
      <c r="I677" s="1278"/>
      <c r="J677" s="1278"/>
      <c r="K677" s="1278"/>
      <c r="L677" s="1278"/>
      <c r="M677" s="1278"/>
      <c r="N677" s="1278"/>
      <c r="O677" s="1278"/>
      <c r="P677" s="1278"/>
      <c r="Q677" s="1278"/>
      <c r="R677" s="1278"/>
      <c r="S677" s="1278"/>
      <c r="T677" s="1278"/>
      <c r="U677" s="1278"/>
      <c r="V677" s="1278"/>
      <c r="W677" s="1278"/>
      <c r="X677" s="1278"/>
      <c r="Y677" s="1278"/>
      <c r="Z677" s="1278"/>
      <c r="AA677" s="1278"/>
      <c r="AB677" s="1278"/>
      <c r="AC677" s="1278"/>
      <c r="AD677" s="1576"/>
      <c r="AE677" s="1213"/>
      <c r="AF677" s="1213"/>
      <c r="AG677" s="1213"/>
      <c r="AH677" s="1213"/>
      <c r="AI677" s="1213"/>
      <c r="AJ677" s="1213"/>
      <c r="AK677" s="1213"/>
      <c r="AL677" s="1213"/>
      <c r="AN677" s="1265"/>
    </row>
    <row r="678" spans="1:42" s="1226" customFormat="1" ht="12.75" customHeight="1">
      <c r="A678" s="1561"/>
      <c r="B678" s="1213"/>
      <c r="C678" s="1575" t="s">
        <v>1619</v>
      </c>
      <c r="D678" s="1389"/>
      <c r="E678" s="1278"/>
      <c r="F678" s="1278"/>
      <c r="G678" s="1278"/>
      <c r="H678" s="1278"/>
      <c r="I678" s="1278"/>
      <c r="J678" s="1278"/>
      <c r="K678" s="1278"/>
      <c r="L678" s="1278"/>
      <c r="M678" s="1278"/>
      <c r="N678" s="1278"/>
      <c r="O678" s="1278"/>
      <c r="P678" s="1278"/>
      <c r="Q678" s="1278"/>
      <c r="R678" s="1278"/>
      <c r="S678" s="1278"/>
      <c r="T678" s="1278"/>
      <c r="U678" s="1278"/>
      <c r="V678" s="1278"/>
      <c r="W678" s="1278"/>
      <c r="X678" s="1278"/>
      <c r="Y678" s="1278"/>
      <c r="Z678" s="1278"/>
      <c r="AA678" s="1278"/>
      <c r="AB678" s="1278"/>
      <c r="AC678" s="1278"/>
      <c r="AD678" s="1576"/>
      <c r="AE678" s="1213"/>
      <c r="AF678" s="1213"/>
      <c r="AG678" s="1213"/>
      <c r="AH678" s="1213"/>
      <c r="AI678" s="1213"/>
      <c r="AJ678" s="1213"/>
      <c r="AK678" s="1213"/>
      <c r="AL678" s="1213"/>
      <c r="AN678" s="1265"/>
    </row>
    <row r="679" spans="1:42" s="1226" customFormat="1" ht="12.75" customHeight="1">
      <c r="A679" s="1561"/>
      <c r="B679" s="1213"/>
      <c r="C679" s="1519"/>
      <c r="D679" s="1213"/>
      <c r="E679" s="1213"/>
      <c r="F679" s="1213"/>
      <c r="G679" s="1213"/>
      <c r="H679" s="1213"/>
      <c r="I679" s="1213"/>
      <c r="J679" s="1213"/>
      <c r="K679" s="1213"/>
      <c r="L679" s="1213"/>
      <c r="M679" s="1213"/>
      <c r="N679" s="1213"/>
      <c r="O679" s="1213"/>
      <c r="P679" s="1213"/>
      <c r="Q679" s="1213"/>
      <c r="R679" s="1213"/>
      <c r="S679" s="1213"/>
      <c r="T679" s="1213"/>
      <c r="U679" s="1213"/>
      <c r="V679" s="1213"/>
      <c r="W679" s="1213"/>
      <c r="X679" s="1213"/>
      <c r="Y679" s="1213"/>
      <c r="Z679" s="1213"/>
      <c r="AA679" s="1213"/>
      <c r="AB679" s="1213"/>
      <c r="AC679" s="1213"/>
      <c r="AD679" s="1213"/>
      <c r="AE679" s="1213"/>
      <c r="AF679" s="1213"/>
      <c r="AG679" s="1213"/>
      <c r="AH679" s="1213"/>
      <c r="AI679" s="1213"/>
      <c r="AJ679" s="1213"/>
      <c r="AK679" s="1213"/>
      <c r="AL679" s="1213"/>
      <c r="AN679" s="1265"/>
    </row>
    <row r="680" spans="1:42" s="1226" customFormat="1" ht="12.75" customHeight="1">
      <c r="B680" s="1213"/>
      <c r="C680" s="1493"/>
      <c r="D680" s="1285" t="s">
        <v>712</v>
      </c>
      <c r="E680" s="2474" t="s">
        <v>2000</v>
      </c>
      <c r="F680" s="2474"/>
      <c r="G680" s="2474"/>
      <c r="H680" s="2474"/>
      <c r="I680" s="2474"/>
      <c r="J680" s="2474"/>
      <c r="K680" s="2474"/>
      <c r="L680" s="2474"/>
      <c r="M680" s="2474"/>
      <c r="N680" s="2474"/>
      <c r="O680" s="2474"/>
      <c r="P680" s="2474"/>
      <c r="Q680" s="2474"/>
      <c r="R680" s="2474"/>
      <c r="S680" s="2474"/>
      <c r="T680" s="2474"/>
      <c r="U680" s="2474"/>
      <c r="V680" s="2474"/>
      <c r="W680" s="2474"/>
      <c r="X680" s="2474"/>
      <c r="Y680" s="2474"/>
      <c r="Z680" s="2474"/>
      <c r="AA680" s="2474"/>
      <c r="AB680" s="2474"/>
      <c r="AC680" s="1213"/>
      <c r="AD680" s="1213"/>
      <c r="AE680" s="1213"/>
      <c r="AF680" s="2475" t="s">
        <v>1542</v>
      </c>
      <c r="AG680" s="2475"/>
      <c r="AH680" s="2475"/>
      <c r="AI680" s="2475"/>
      <c r="AJ680" s="2475"/>
      <c r="AK680" s="2475"/>
      <c r="AL680" s="2475"/>
      <c r="AN680" s="1265"/>
    </row>
    <row r="681" spans="1:42" s="1226" customFormat="1" ht="12.75" customHeight="1">
      <c r="B681" s="1213"/>
      <c r="C681" s="1505"/>
      <c r="D681" s="1285"/>
      <c r="E681" s="2474"/>
      <c r="F681" s="2474"/>
      <c r="G681" s="2474"/>
      <c r="H681" s="2474"/>
      <c r="I681" s="2474"/>
      <c r="J681" s="2474"/>
      <c r="K681" s="2474"/>
      <c r="L681" s="2474"/>
      <c r="M681" s="2474"/>
      <c r="N681" s="2474"/>
      <c r="O681" s="2474"/>
      <c r="P681" s="2474"/>
      <c r="Q681" s="2474"/>
      <c r="R681" s="2474"/>
      <c r="S681" s="2474"/>
      <c r="T681" s="2474"/>
      <c r="U681" s="2474"/>
      <c r="V681" s="2474"/>
      <c r="W681" s="2474"/>
      <c r="X681" s="2474"/>
      <c r="Y681" s="2474"/>
      <c r="Z681" s="2474"/>
      <c r="AA681" s="2474"/>
      <c r="AB681" s="2474"/>
      <c r="AC681" s="1213"/>
      <c r="AD681" s="1213"/>
      <c r="AE681" s="1278"/>
      <c r="AF681" s="1213"/>
      <c r="AG681" s="1213"/>
      <c r="AH681" s="1213"/>
      <c r="AI681" s="1213"/>
      <c r="AJ681" s="1213"/>
      <c r="AK681" s="1213"/>
      <c r="AL681" s="1213"/>
      <c r="AN681" s="1265"/>
      <c r="AO681" s="2480"/>
      <c r="AP681" s="2480"/>
    </row>
    <row r="682" spans="1:42" s="1226" customFormat="1" ht="12.75" customHeight="1">
      <c r="B682" s="1213"/>
      <c r="C682" s="1505"/>
      <c r="D682" s="1285"/>
      <c r="E682" s="2474"/>
      <c r="F682" s="2474"/>
      <c r="G682" s="2474"/>
      <c r="H682" s="2474"/>
      <c r="I682" s="2474"/>
      <c r="J682" s="2474"/>
      <c r="K682" s="2474"/>
      <c r="L682" s="2474"/>
      <c r="M682" s="2474"/>
      <c r="N682" s="2474"/>
      <c r="O682" s="2474"/>
      <c r="P682" s="2474"/>
      <c r="Q682" s="2474"/>
      <c r="R682" s="2474"/>
      <c r="S682" s="2474"/>
      <c r="T682" s="2474"/>
      <c r="U682" s="2474"/>
      <c r="V682" s="2474"/>
      <c r="W682" s="2474"/>
      <c r="X682" s="2474"/>
      <c r="Y682" s="2474"/>
      <c r="Z682" s="2474"/>
      <c r="AA682" s="2474"/>
      <c r="AB682" s="2474"/>
      <c r="AC682" s="1213"/>
      <c r="AD682" s="1213"/>
      <c r="AE682" s="1278"/>
      <c r="AF682" s="1278"/>
      <c r="AG682" s="1278"/>
      <c r="AH682" s="1278"/>
      <c r="AI682" s="1278"/>
      <c r="AJ682" s="1278"/>
      <c r="AK682" s="1278"/>
      <c r="AL682" s="1278"/>
      <c r="AN682" s="1265"/>
    </row>
    <row r="683" spans="1:42" s="1226" customFormat="1" ht="12.75" customHeight="1">
      <c r="B683" s="1213"/>
      <c r="C683" s="1505"/>
      <c r="D683" s="1285"/>
      <c r="E683" s="2474"/>
      <c r="F683" s="2474"/>
      <c r="G683" s="2474"/>
      <c r="H683" s="2474"/>
      <c r="I683" s="2474"/>
      <c r="J683" s="2474"/>
      <c r="K683" s="2474"/>
      <c r="L683" s="2474"/>
      <c r="M683" s="2474"/>
      <c r="N683" s="2474"/>
      <c r="O683" s="2474"/>
      <c r="P683" s="2474"/>
      <c r="Q683" s="2474"/>
      <c r="R683" s="2474"/>
      <c r="S683" s="2474"/>
      <c r="T683" s="2474"/>
      <c r="U683" s="2474"/>
      <c r="V683" s="2474"/>
      <c r="W683" s="2474"/>
      <c r="X683" s="2474"/>
      <c r="Y683" s="2474"/>
      <c r="Z683" s="2474"/>
      <c r="AA683" s="2474"/>
      <c r="AB683" s="2474"/>
      <c r="AC683" s="1213"/>
      <c r="AD683" s="1213"/>
      <c r="AE683" s="1278"/>
      <c r="AF683" s="1278"/>
      <c r="AG683" s="1278"/>
      <c r="AH683" s="1278"/>
      <c r="AI683" s="1278"/>
      <c r="AJ683" s="1278"/>
      <c r="AK683" s="1278"/>
      <c r="AL683" s="1278"/>
      <c r="AN683" s="1265"/>
      <c r="AO683" s="1226" t="s">
        <v>615</v>
      </c>
      <c r="AP683" s="1496">
        <v>0</v>
      </c>
    </row>
    <row r="684" spans="1:42" s="1226" customFormat="1" ht="12.75" customHeight="1">
      <c r="B684" s="1213"/>
      <c r="C684" s="1505"/>
      <c r="D684" s="1285"/>
      <c r="E684" s="1242"/>
      <c r="F684" s="1242"/>
      <c r="G684" s="1242"/>
      <c r="H684" s="1242"/>
      <c r="I684" s="1242"/>
      <c r="J684" s="1242"/>
      <c r="K684" s="1242"/>
      <c r="L684" s="1242"/>
      <c r="M684" s="1242"/>
      <c r="N684" s="1242"/>
      <c r="O684" s="1242"/>
      <c r="P684" s="1242"/>
      <c r="Q684" s="1242"/>
      <c r="R684" s="1242"/>
      <c r="S684" s="1242"/>
      <c r="T684" s="1242"/>
      <c r="U684" s="1242"/>
      <c r="V684" s="1242"/>
      <c r="W684" s="1242"/>
      <c r="X684" s="1242"/>
      <c r="Y684" s="1242"/>
      <c r="Z684" s="1242"/>
      <c r="AA684" s="1242"/>
      <c r="AB684" s="1242"/>
      <c r="AC684" s="1213"/>
      <c r="AD684" s="1213"/>
      <c r="AE684" s="1278"/>
      <c r="AF684" s="1278"/>
      <c r="AG684" s="1278"/>
      <c r="AH684" s="1278"/>
      <c r="AI684" s="1278"/>
      <c r="AJ684" s="1278"/>
      <c r="AK684" s="1278"/>
      <c r="AL684" s="1278"/>
      <c r="AN684" s="1265"/>
      <c r="AO684" s="1274" t="s">
        <v>712</v>
      </c>
      <c r="AP684" s="1226">
        <v>2</v>
      </c>
    </row>
    <row r="685" spans="1:42" s="1226" customFormat="1" ht="12.75" customHeight="1">
      <c r="B685" s="1213"/>
      <c r="C685" s="1493"/>
      <c r="D685" s="1285" t="s">
        <v>532</v>
      </c>
      <c r="E685" s="2474" t="s">
        <v>2002</v>
      </c>
      <c r="F685" s="2474"/>
      <c r="G685" s="2474"/>
      <c r="H685" s="2474"/>
      <c r="I685" s="2474"/>
      <c r="J685" s="2474"/>
      <c r="K685" s="2474"/>
      <c r="L685" s="2474"/>
      <c r="M685" s="2474"/>
      <c r="N685" s="2474"/>
      <c r="O685" s="2474"/>
      <c r="P685" s="2474"/>
      <c r="Q685" s="2474"/>
      <c r="R685" s="2474"/>
      <c r="S685" s="2474"/>
      <c r="T685" s="2474"/>
      <c r="U685" s="2474"/>
      <c r="V685" s="2474"/>
      <c r="W685" s="2474"/>
      <c r="X685" s="2474"/>
      <c r="Y685" s="2474"/>
      <c r="Z685" s="2474"/>
      <c r="AA685" s="2474"/>
      <c r="AB685" s="2474"/>
      <c r="AC685" s="1213"/>
      <c r="AD685" s="1213"/>
      <c r="AE685" s="1213"/>
      <c r="AF685" s="2475" t="s">
        <v>1598</v>
      </c>
      <c r="AG685" s="2475"/>
      <c r="AH685" s="2475"/>
      <c r="AI685" s="2475"/>
      <c r="AJ685" s="2475"/>
      <c r="AK685" s="2475"/>
      <c r="AL685" s="2475"/>
      <c r="AN685" s="1265"/>
      <c r="AO685" s="1274" t="s">
        <v>532</v>
      </c>
      <c r="AP685" s="1226">
        <v>1</v>
      </c>
    </row>
    <row r="686" spans="1:42" s="1226" customFormat="1" ht="12" customHeight="1">
      <c r="B686" s="1213"/>
      <c r="C686" s="1493"/>
      <c r="D686" s="1213"/>
      <c r="E686" s="2474"/>
      <c r="F686" s="2474"/>
      <c r="G686" s="2474"/>
      <c r="H686" s="2474"/>
      <c r="I686" s="2474"/>
      <c r="J686" s="2474"/>
      <c r="K686" s="2474"/>
      <c r="L686" s="2474"/>
      <c r="M686" s="2474"/>
      <c r="N686" s="2474"/>
      <c r="O686" s="2474"/>
      <c r="P686" s="2474"/>
      <c r="Q686" s="2474"/>
      <c r="R686" s="2474"/>
      <c r="S686" s="2474"/>
      <c r="T686" s="2474"/>
      <c r="U686" s="2474"/>
      <c r="V686" s="2474"/>
      <c r="W686" s="2474"/>
      <c r="X686" s="2474"/>
      <c r="Y686" s="2474"/>
      <c r="Z686" s="2474"/>
      <c r="AA686" s="2474"/>
      <c r="AB686" s="2474"/>
      <c r="AC686" s="1213"/>
      <c r="AD686" s="1213"/>
      <c r="AE686" s="1278"/>
      <c r="AF686" s="1213"/>
      <c r="AG686" s="1213"/>
      <c r="AH686" s="1213"/>
      <c r="AI686" s="1213"/>
      <c r="AJ686" s="1213"/>
      <c r="AK686" s="1213"/>
      <c r="AL686" s="1213"/>
      <c r="AN686" s="1265"/>
    </row>
    <row r="687" spans="1:42" s="1226" customFormat="1" ht="12" customHeight="1">
      <c r="B687" s="1213"/>
      <c r="C687" s="1493"/>
      <c r="D687" s="1213"/>
      <c r="E687" s="2474"/>
      <c r="F687" s="2474"/>
      <c r="G687" s="2474"/>
      <c r="H687" s="2474"/>
      <c r="I687" s="2474"/>
      <c r="J687" s="2474"/>
      <c r="K687" s="2474"/>
      <c r="L687" s="2474"/>
      <c r="M687" s="2474"/>
      <c r="N687" s="2474"/>
      <c r="O687" s="2474"/>
      <c r="P687" s="2474"/>
      <c r="Q687" s="2474"/>
      <c r="R687" s="2474"/>
      <c r="S687" s="2474"/>
      <c r="T687" s="2474"/>
      <c r="U687" s="2474"/>
      <c r="V687" s="2474"/>
      <c r="W687" s="2474"/>
      <c r="X687" s="2474"/>
      <c r="Y687" s="2474"/>
      <c r="Z687" s="2474"/>
      <c r="AA687" s="2474"/>
      <c r="AB687" s="2474"/>
      <c r="AC687" s="1213"/>
      <c r="AD687" s="1213"/>
      <c r="AE687" s="1278"/>
      <c r="AF687" s="1213"/>
      <c r="AG687" s="1213"/>
      <c r="AH687" s="1213"/>
      <c r="AI687" s="1213"/>
      <c r="AJ687" s="1213"/>
      <c r="AK687" s="1213"/>
      <c r="AL687" s="1213"/>
      <c r="AN687" s="1265"/>
    </row>
    <row r="688" spans="1:42" s="1213" customFormat="1" ht="12" customHeight="1">
      <c r="A688" s="1226"/>
      <c r="C688" s="1493"/>
      <c r="E688" s="2474"/>
      <c r="F688" s="2474"/>
      <c r="G688" s="2474"/>
      <c r="H688" s="2474"/>
      <c r="I688" s="2474"/>
      <c r="J688" s="2474"/>
      <c r="K688" s="2474"/>
      <c r="L688" s="2474"/>
      <c r="M688" s="2474"/>
      <c r="N688" s="2474"/>
      <c r="O688" s="2474"/>
      <c r="P688" s="2474"/>
      <c r="Q688" s="2474"/>
      <c r="R688" s="2474"/>
      <c r="S688" s="2474"/>
      <c r="T688" s="2474"/>
      <c r="U688" s="2474"/>
      <c r="V688" s="2474"/>
      <c r="W688" s="2474"/>
      <c r="X688" s="2474"/>
      <c r="Y688" s="2474"/>
      <c r="Z688" s="2474"/>
      <c r="AA688" s="2474"/>
      <c r="AB688" s="2474"/>
      <c r="AE688" s="1278"/>
      <c r="AF688" s="1278"/>
      <c r="AG688" s="1278"/>
      <c r="AH688" s="1278"/>
      <c r="AI688" s="1278"/>
      <c r="AM688" s="1226"/>
      <c r="AN688" s="1212"/>
    </row>
    <row r="689" spans="1:42" s="1213" customFormat="1" ht="12" customHeight="1">
      <c r="A689" s="1226"/>
      <c r="C689" s="1493"/>
      <c r="E689" s="1556"/>
      <c r="F689" s="1556"/>
      <c r="G689" s="1556"/>
      <c r="H689" s="1556"/>
      <c r="I689" s="1556"/>
      <c r="J689" s="1556"/>
      <c r="K689" s="1556"/>
      <c r="L689" s="1556"/>
      <c r="M689" s="1556"/>
      <c r="N689" s="1556"/>
      <c r="O689" s="1556"/>
      <c r="P689" s="1556"/>
      <c r="Q689" s="1556"/>
      <c r="R689" s="1556"/>
      <c r="S689" s="1556"/>
      <c r="T689" s="1556"/>
      <c r="U689" s="1556"/>
      <c r="V689" s="1556"/>
      <c r="W689" s="1556"/>
      <c r="X689" s="1556"/>
      <c r="Y689" s="1556"/>
      <c r="Z689" s="1556"/>
      <c r="AA689" s="1556"/>
      <c r="AB689" s="1556"/>
      <c r="AE689" s="1278"/>
      <c r="AF689" s="1278"/>
      <c r="AG689" s="1278"/>
      <c r="AH689" s="1278"/>
      <c r="AI689" s="1278"/>
      <c r="AM689" s="1226"/>
      <c r="AN689" s="1212"/>
    </row>
    <row r="690" spans="1:42" s="1213" customFormat="1" ht="12.75" customHeight="1">
      <c r="A690" s="1226"/>
      <c r="C690" s="1493"/>
      <c r="E690" s="2474" t="s">
        <v>2001</v>
      </c>
      <c r="F690" s="2474"/>
      <c r="G690" s="2474"/>
      <c r="H690" s="2474"/>
      <c r="I690" s="2474"/>
      <c r="J690" s="2474"/>
      <c r="K690" s="2474"/>
      <c r="L690" s="2474"/>
      <c r="M690" s="2474"/>
      <c r="N690" s="2474"/>
      <c r="O690" s="2474"/>
      <c r="P690" s="2474"/>
      <c r="Q690" s="2474"/>
      <c r="R690" s="2474"/>
      <c r="S690" s="2474"/>
      <c r="T690" s="2474"/>
      <c r="U690" s="2474"/>
      <c r="V690" s="2474"/>
      <c r="W690" s="2474"/>
      <c r="X690" s="2474"/>
      <c r="Y690" s="2474"/>
      <c r="Z690" s="2474"/>
      <c r="AA690" s="2474"/>
      <c r="AB690" s="2474"/>
      <c r="AE690" s="1278"/>
      <c r="AF690" s="1278"/>
      <c r="AG690" s="1278"/>
      <c r="AH690" s="1278"/>
      <c r="AI690" s="1278"/>
      <c r="AM690" s="1226"/>
      <c r="AN690" s="1212"/>
    </row>
    <row r="691" spans="1:42" s="1213" customFormat="1" ht="12.75" customHeight="1">
      <c r="A691" s="1226"/>
      <c r="C691" s="1493"/>
      <c r="E691" s="2474"/>
      <c r="F691" s="2474"/>
      <c r="G691" s="2474"/>
      <c r="H691" s="2474"/>
      <c r="I691" s="2474"/>
      <c r="J691" s="2474"/>
      <c r="K691" s="2474"/>
      <c r="L691" s="2474"/>
      <c r="M691" s="2474"/>
      <c r="N691" s="2474"/>
      <c r="O691" s="2474"/>
      <c r="P691" s="2474"/>
      <c r="Q691" s="2474"/>
      <c r="R691" s="2474"/>
      <c r="S691" s="2474"/>
      <c r="T691" s="2474"/>
      <c r="U691" s="2474"/>
      <c r="V691" s="2474"/>
      <c r="W691" s="2474"/>
      <c r="X691" s="2474"/>
      <c r="Y691" s="2474"/>
      <c r="Z691" s="2474"/>
      <c r="AA691" s="2474"/>
      <c r="AB691" s="2474"/>
      <c r="AE691" s="1278"/>
      <c r="AF691" s="1278"/>
      <c r="AG691" s="1278"/>
      <c r="AH691" s="1278"/>
      <c r="AI691" s="1278"/>
      <c r="AM691" s="1226"/>
      <c r="AN691" s="1212"/>
    </row>
    <row r="692" spans="1:42" s="1213" customFormat="1" ht="12.75" customHeight="1">
      <c r="A692" s="1226"/>
      <c r="C692" s="1493"/>
      <c r="E692" s="2474"/>
      <c r="F692" s="2474"/>
      <c r="G692" s="2474"/>
      <c r="H692" s="2474"/>
      <c r="I692" s="2474"/>
      <c r="J692" s="2474"/>
      <c r="K692" s="2474"/>
      <c r="L692" s="2474"/>
      <c r="M692" s="2474"/>
      <c r="N692" s="2474"/>
      <c r="O692" s="2474"/>
      <c r="P692" s="2474"/>
      <c r="Q692" s="2474"/>
      <c r="R692" s="2474"/>
      <c r="S692" s="2474"/>
      <c r="T692" s="2474"/>
      <c r="U692" s="2474"/>
      <c r="V692" s="2474"/>
      <c r="W692" s="2474"/>
      <c r="X692" s="2474"/>
      <c r="Y692" s="2474"/>
      <c r="Z692" s="2474"/>
      <c r="AA692" s="2474"/>
      <c r="AB692" s="2474"/>
      <c r="AE692" s="1278"/>
      <c r="AF692" s="1278"/>
      <c r="AG692" s="1278"/>
      <c r="AH692" s="1278"/>
      <c r="AI692" s="1278"/>
      <c r="AM692" s="1226"/>
      <c r="AN692" s="1212"/>
    </row>
    <row r="693" spans="1:42" s="1213" customFormat="1" ht="12.75" customHeight="1">
      <c r="A693" s="1226"/>
      <c r="C693" s="1493"/>
      <c r="E693" s="1556"/>
      <c r="F693" s="1556"/>
      <c r="G693" s="1556"/>
      <c r="H693" s="1556"/>
      <c r="I693" s="1556"/>
      <c r="J693" s="1556"/>
      <c r="K693" s="1556"/>
      <c r="L693" s="1556"/>
      <c r="M693" s="1556"/>
      <c r="N693" s="1556"/>
      <c r="O693" s="1556"/>
      <c r="P693" s="1556"/>
      <c r="Q693" s="1556"/>
      <c r="R693" s="1556"/>
      <c r="S693" s="1556"/>
      <c r="T693" s="1556"/>
      <c r="U693" s="1556"/>
      <c r="V693" s="1556"/>
      <c r="W693" s="1556"/>
      <c r="X693" s="1556"/>
      <c r="Y693" s="1556"/>
      <c r="Z693" s="1556"/>
      <c r="AA693" s="1556"/>
      <c r="AB693" s="1556"/>
      <c r="AE693" s="1278"/>
      <c r="AF693" s="1278"/>
      <c r="AG693" s="1278"/>
      <c r="AH693" s="1278"/>
      <c r="AI693" s="1278"/>
      <c r="AM693" s="1226"/>
      <c r="AN693" s="1212"/>
    </row>
    <row r="694" spans="1:42" s="1213" customFormat="1" ht="12.75" customHeight="1">
      <c r="A694" s="1226"/>
      <c r="C694" s="1493"/>
      <c r="D694" s="1213" t="s">
        <v>1590</v>
      </c>
      <c r="E694" s="1559"/>
      <c r="F694" s="1559"/>
      <c r="G694" s="1559"/>
      <c r="H694" s="2476" t="s">
        <v>712</v>
      </c>
      <c r="I694" s="2476"/>
      <c r="J694" s="1556"/>
      <c r="K694" s="1556"/>
      <c r="L694" s="1556"/>
      <c r="M694" s="1556"/>
      <c r="N694" s="1556"/>
      <c r="O694" s="1556"/>
      <c r="P694" s="1556"/>
      <c r="Q694" s="1556"/>
      <c r="R694" s="1556"/>
      <c r="S694" s="1556"/>
      <c r="T694" s="1556"/>
      <c r="U694" s="1556"/>
      <c r="V694" s="1556"/>
      <c r="W694" s="1556"/>
      <c r="X694" s="1556"/>
      <c r="Y694" s="1556"/>
      <c r="Z694" s="1556"/>
      <c r="AA694" s="1556"/>
      <c r="AB694" s="1556"/>
      <c r="AE694" s="1278"/>
      <c r="AF694" s="1278"/>
      <c r="AG694" s="1278"/>
      <c r="AH694" s="1278"/>
      <c r="AI694" s="1278"/>
      <c r="AM694" s="1226"/>
      <c r="AN694" s="1212"/>
      <c r="AP694" s="1213" t="s">
        <v>1620</v>
      </c>
    </row>
    <row r="695" spans="1:42" s="1213" customFormat="1">
      <c r="A695" s="1226"/>
      <c r="C695" s="1493"/>
      <c r="E695" s="1556"/>
      <c r="F695" s="1556"/>
      <c r="G695" s="1556"/>
      <c r="H695" s="1556"/>
      <c r="I695" s="1556"/>
      <c r="J695" s="1556"/>
      <c r="K695" s="1556"/>
      <c r="L695" s="1556"/>
      <c r="M695" s="1556"/>
      <c r="N695" s="1556"/>
      <c r="O695" s="1556"/>
      <c r="P695" s="1556"/>
      <c r="Q695" s="1556"/>
      <c r="R695" s="1556"/>
      <c r="S695" s="1556"/>
      <c r="T695" s="1556"/>
      <c r="U695" s="1556"/>
      <c r="V695" s="1556"/>
      <c r="W695" s="1556"/>
      <c r="X695" s="1556"/>
      <c r="Y695" s="1556"/>
      <c r="Z695" s="1556"/>
      <c r="AA695" s="1556"/>
      <c r="AB695" s="1556"/>
      <c r="AE695" s="1278"/>
      <c r="AF695" s="1278"/>
      <c r="AG695" s="1278"/>
      <c r="AH695" s="1278"/>
      <c r="AI695" s="1278"/>
      <c r="AM695" s="1226"/>
      <c r="AN695" s="1212"/>
      <c r="AP695" s="1213" t="s">
        <v>1595</v>
      </c>
    </row>
    <row r="696" spans="1:42" s="1213" customFormat="1" ht="12.75" customHeight="1">
      <c r="A696" s="1269"/>
      <c r="B696" s="1261"/>
      <c r="C696" s="1512"/>
      <c r="D696" s="1261"/>
      <c r="E696" s="1261"/>
      <c r="F696" s="1261"/>
      <c r="G696" s="1261"/>
      <c r="H696" s="1261"/>
      <c r="I696" s="1261"/>
      <c r="J696" s="1520"/>
      <c r="K696" s="1520"/>
      <c r="L696" s="1367"/>
      <c r="M696" s="1367"/>
      <c r="N696" s="1367"/>
      <c r="O696" s="1367"/>
      <c r="P696" s="1367"/>
      <c r="Q696" s="1367"/>
      <c r="R696" s="1367"/>
      <c r="S696" s="1367"/>
      <c r="T696" s="1367"/>
      <c r="U696" s="1367"/>
      <c r="V696" s="1367"/>
      <c r="W696" s="1367"/>
      <c r="X696" s="1367"/>
      <c r="Y696" s="1503"/>
      <c r="Z696" s="1503"/>
      <c r="AA696" s="1503"/>
      <c r="AB696" s="1261"/>
      <c r="AC696" s="1261"/>
      <c r="AD696" s="1261"/>
      <c r="AE696" s="1261"/>
      <c r="AF696" s="1261"/>
      <c r="AG696" s="1261"/>
      <c r="AH696" s="1261"/>
      <c r="AI696" s="1233" t="s">
        <v>1621</v>
      </c>
      <c r="AJ696" s="2454">
        <f>VLOOKUP($H$694,$AO$641:$AP$643,2,FALSE)</f>
        <v>3</v>
      </c>
      <c r="AK696" s="2456"/>
      <c r="AL696" s="1566"/>
      <c r="AM696" s="1226"/>
      <c r="AN696" s="1212"/>
      <c r="AP696" s="1213" t="s">
        <v>1602</v>
      </c>
    </row>
    <row r="697" spans="1:42" s="1213" customFormat="1">
      <c r="A697" s="1226"/>
      <c r="AE697" s="1278"/>
      <c r="AF697" s="1278"/>
      <c r="AG697" s="1278"/>
      <c r="AH697" s="1278"/>
      <c r="AI697" s="1278"/>
      <c r="AM697" s="1226"/>
      <c r="AN697" s="1212"/>
      <c r="AP697" s="1213" t="s">
        <v>1622</v>
      </c>
    </row>
    <row r="698" spans="1:42" s="1213" customFormat="1" ht="12.75" customHeight="1">
      <c r="A698" s="1226"/>
      <c r="C698" s="1575" t="s">
        <v>1623</v>
      </c>
      <c r="D698" s="1389"/>
      <c r="AE698" s="1278"/>
      <c r="AF698" s="1278"/>
      <c r="AG698" s="1278"/>
      <c r="AH698" s="1278"/>
      <c r="AI698" s="1278"/>
      <c r="AM698" s="1226"/>
      <c r="AN698" s="1212"/>
      <c r="AP698" s="1213" t="s">
        <v>1624</v>
      </c>
    </row>
    <row r="699" spans="1:42" s="1213" customFormat="1" ht="12.75" customHeight="1">
      <c r="A699" s="1226"/>
      <c r="C699" s="1493"/>
      <c r="AE699" s="1278"/>
      <c r="AF699" s="1278"/>
      <c r="AG699" s="1278"/>
      <c r="AH699" s="1278"/>
      <c r="AI699" s="1278"/>
      <c r="AM699" s="1226"/>
      <c r="AN699" s="1212"/>
      <c r="AP699" s="1213" t="s">
        <v>1625</v>
      </c>
    </row>
    <row r="700" spans="1:42" s="1213" customFormat="1" ht="12.75" customHeight="1">
      <c r="A700" s="1339"/>
      <c r="C700" s="1493"/>
      <c r="D700" s="1285" t="s">
        <v>712</v>
      </c>
      <c r="E700" s="2478" t="s">
        <v>2004</v>
      </c>
      <c r="F700" s="2478"/>
      <c r="G700" s="2478"/>
      <c r="H700" s="2478"/>
      <c r="I700" s="2478"/>
      <c r="J700" s="2478"/>
      <c r="K700" s="2478"/>
      <c r="L700" s="2478"/>
      <c r="M700" s="2478"/>
      <c r="N700" s="2478"/>
      <c r="O700" s="2478"/>
      <c r="P700" s="2478"/>
      <c r="Q700" s="2478"/>
      <c r="R700" s="2478"/>
      <c r="S700" s="2478"/>
      <c r="T700" s="2478"/>
      <c r="U700" s="2478"/>
      <c r="V700" s="2478"/>
      <c r="W700" s="2478"/>
      <c r="X700" s="2478"/>
      <c r="Y700" s="2478"/>
      <c r="Z700" s="2478"/>
      <c r="AA700" s="2478"/>
      <c r="AB700" s="2478"/>
      <c r="AF700" s="2475" t="s">
        <v>1542</v>
      </c>
      <c r="AG700" s="2475"/>
      <c r="AH700" s="2475"/>
      <c r="AI700" s="2475"/>
      <c r="AJ700" s="2475"/>
      <c r="AK700" s="2475"/>
      <c r="AL700" s="2475"/>
      <c r="AM700" s="1226"/>
      <c r="AN700" s="1212"/>
      <c r="AP700" s="1213" t="s">
        <v>1626</v>
      </c>
    </row>
    <row r="701" spans="1:42" s="1213" customFormat="1" ht="11.85" customHeight="1">
      <c r="A701" s="1226"/>
      <c r="C701" s="1495"/>
      <c r="D701" s="1285"/>
      <c r="E701" s="2478"/>
      <c r="F701" s="2478"/>
      <c r="G701" s="2478"/>
      <c r="H701" s="2478"/>
      <c r="I701" s="2478"/>
      <c r="J701" s="2478"/>
      <c r="K701" s="2478"/>
      <c r="L701" s="2478"/>
      <c r="M701" s="2478"/>
      <c r="N701" s="2478"/>
      <c r="O701" s="2478"/>
      <c r="P701" s="2478"/>
      <c r="Q701" s="2478"/>
      <c r="R701" s="2478"/>
      <c r="S701" s="2478"/>
      <c r="T701" s="2478"/>
      <c r="U701" s="2478"/>
      <c r="V701" s="2478"/>
      <c r="W701" s="2478"/>
      <c r="X701" s="2478"/>
      <c r="Y701" s="2478"/>
      <c r="Z701" s="2478"/>
      <c r="AA701" s="2478"/>
      <c r="AB701" s="2478"/>
      <c r="AM701" s="1226"/>
      <c r="AN701" s="1212"/>
      <c r="AP701" s="1213" t="s">
        <v>1627</v>
      </c>
    </row>
    <row r="702" spans="1:42" s="1213" customFormat="1" ht="13.95" customHeight="1">
      <c r="A702" s="1226"/>
      <c r="B702" s="1273"/>
      <c r="C702" s="1493"/>
      <c r="D702" s="1285"/>
      <c r="E702" s="2478"/>
      <c r="F702" s="2478"/>
      <c r="G702" s="2478"/>
      <c r="H702" s="2478"/>
      <c r="I702" s="2478"/>
      <c r="J702" s="2478"/>
      <c r="K702" s="2478"/>
      <c r="L702" s="2478"/>
      <c r="M702" s="2478"/>
      <c r="N702" s="2478"/>
      <c r="O702" s="2478"/>
      <c r="P702" s="2478"/>
      <c r="Q702" s="2478"/>
      <c r="R702" s="2478"/>
      <c r="S702" s="2478"/>
      <c r="T702" s="2478"/>
      <c r="U702" s="2478"/>
      <c r="V702" s="2478"/>
      <c r="W702" s="2478"/>
      <c r="X702" s="2478"/>
      <c r="Y702" s="2478"/>
      <c r="Z702" s="2478"/>
      <c r="AA702" s="2478"/>
      <c r="AB702" s="2478"/>
      <c r="AE702" s="1278"/>
      <c r="AM702" s="1226"/>
      <c r="AN702" s="1212"/>
      <c r="AP702" s="1213" t="s">
        <v>1628</v>
      </c>
    </row>
    <row r="703" spans="1:42" s="1213" customFormat="1" ht="13.95" customHeight="1">
      <c r="A703" s="1226"/>
      <c r="B703" s="1273"/>
      <c r="C703" s="1493"/>
      <c r="D703" s="1285"/>
      <c r="E703" s="1559"/>
      <c r="F703" s="1559"/>
      <c r="G703" s="1559"/>
      <c r="H703" s="1559"/>
      <c r="I703" s="1559"/>
      <c r="J703" s="1559"/>
      <c r="K703" s="1559"/>
      <c r="L703" s="1559"/>
      <c r="M703" s="1559"/>
      <c r="N703" s="1559"/>
      <c r="O703" s="1559"/>
      <c r="P703" s="1559"/>
      <c r="Q703" s="1559"/>
      <c r="R703" s="1559"/>
      <c r="S703" s="1559"/>
      <c r="T703" s="1559"/>
      <c r="U703" s="1559"/>
      <c r="V703" s="1559"/>
      <c r="W703" s="1559"/>
      <c r="X703" s="1559"/>
      <c r="Y703" s="1559"/>
      <c r="Z703" s="1559"/>
      <c r="AA703" s="1559"/>
      <c r="AB703" s="1559"/>
      <c r="AE703" s="1278"/>
      <c r="AM703" s="1226"/>
      <c r="AN703" s="1212"/>
      <c r="AP703" s="1285" t="s">
        <v>1630</v>
      </c>
    </row>
    <row r="704" spans="1:42" s="1213" customFormat="1" ht="13.95" customHeight="1">
      <c r="A704" s="1226"/>
      <c r="C704" s="1493"/>
      <c r="D704" s="1285" t="s">
        <v>532</v>
      </c>
      <c r="E704" s="2479" t="s">
        <v>1629</v>
      </c>
      <c r="F704" s="2479"/>
      <c r="G704" s="2479"/>
      <c r="H704" s="2479"/>
      <c r="I704" s="2479"/>
      <c r="J704" s="2479"/>
      <c r="K704" s="2479"/>
      <c r="L704" s="2479"/>
      <c r="M704" s="2479"/>
      <c r="N704" s="2479"/>
      <c r="O704" s="2479"/>
      <c r="P704" s="2479"/>
      <c r="Q704" s="2479"/>
      <c r="R704" s="2479"/>
      <c r="S704" s="2479"/>
      <c r="T704" s="2479"/>
      <c r="U704" s="2479"/>
      <c r="V704" s="2479"/>
      <c r="W704" s="2479"/>
      <c r="X704" s="2479"/>
      <c r="Y704" s="2479"/>
      <c r="Z704" s="2479"/>
      <c r="AA704" s="2479"/>
      <c r="AB704" s="2479"/>
      <c r="AF704" s="2475" t="s">
        <v>1598</v>
      </c>
      <c r="AG704" s="2475"/>
      <c r="AH704" s="2475"/>
      <c r="AI704" s="2475"/>
      <c r="AJ704" s="2475"/>
      <c r="AK704" s="2475"/>
      <c r="AL704" s="2475"/>
      <c r="AM704" s="1226"/>
      <c r="AN704" s="1521"/>
    </row>
    <row r="705" spans="1:52" s="1213" customFormat="1" ht="12.75" customHeight="1">
      <c r="A705" s="1226"/>
      <c r="C705" s="1495"/>
      <c r="E705" s="2479"/>
      <c r="F705" s="2479"/>
      <c r="G705" s="2479"/>
      <c r="H705" s="2479"/>
      <c r="I705" s="2479"/>
      <c r="J705" s="2479"/>
      <c r="K705" s="2479"/>
      <c r="L705" s="2479"/>
      <c r="M705" s="2479"/>
      <c r="N705" s="2479"/>
      <c r="O705" s="2479"/>
      <c r="P705" s="2479"/>
      <c r="Q705" s="2479"/>
      <c r="R705" s="2479"/>
      <c r="S705" s="2479"/>
      <c r="T705" s="2479"/>
      <c r="U705" s="2479"/>
      <c r="V705" s="2479"/>
      <c r="W705" s="2479"/>
      <c r="X705" s="2479"/>
      <c r="Y705" s="2479"/>
      <c r="Z705" s="2479"/>
      <c r="AA705" s="2479"/>
      <c r="AB705" s="2479"/>
      <c r="AM705" s="1226"/>
      <c r="AN705" s="1212"/>
      <c r="AP705" s="1226" t="s">
        <v>615</v>
      </c>
      <c r="AQ705" s="1496">
        <v>0</v>
      </c>
    </row>
    <row r="706" spans="1:52" s="1213" customFormat="1" ht="13.95" customHeight="1">
      <c r="A706" s="1226"/>
      <c r="C706" s="1495"/>
      <c r="E706" s="2479"/>
      <c r="F706" s="2479"/>
      <c r="G706" s="2479"/>
      <c r="H706" s="2479"/>
      <c r="I706" s="2479"/>
      <c r="J706" s="2479"/>
      <c r="K706" s="2479"/>
      <c r="L706" s="2479"/>
      <c r="M706" s="2479"/>
      <c r="N706" s="2479"/>
      <c r="O706" s="2479"/>
      <c r="P706" s="2479"/>
      <c r="Q706" s="2479"/>
      <c r="R706" s="2479"/>
      <c r="S706" s="2479"/>
      <c r="T706" s="2479"/>
      <c r="U706" s="2479"/>
      <c r="V706" s="2479"/>
      <c r="W706" s="2479"/>
      <c r="X706" s="2479"/>
      <c r="Y706" s="2479"/>
      <c r="Z706" s="2479"/>
      <c r="AA706" s="2479"/>
      <c r="AB706" s="2479"/>
      <c r="AM706" s="1226"/>
      <c r="AN706" s="1212"/>
      <c r="AP706" s="1274" t="s">
        <v>712</v>
      </c>
      <c r="AQ706" s="1226">
        <v>2</v>
      </c>
    </row>
    <row r="707" spans="1:52" s="1213" customFormat="1" ht="13.95" customHeight="1">
      <c r="A707" s="1226"/>
      <c r="C707" s="1495"/>
      <c r="E707" s="1560"/>
      <c r="F707" s="1560"/>
      <c r="G707" s="1560"/>
      <c r="H707" s="1560"/>
      <c r="I707" s="1560"/>
      <c r="J707" s="1560"/>
      <c r="K707" s="1560"/>
      <c r="L707" s="1560"/>
      <c r="M707" s="1560"/>
      <c r="N707" s="1560"/>
      <c r="O707" s="1560"/>
      <c r="P707" s="1560"/>
      <c r="Q707" s="1560"/>
      <c r="R707" s="1560"/>
      <c r="S707" s="1560"/>
      <c r="T707" s="1560"/>
      <c r="U707" s="1560"/>
      <c r="V707" s="1560"/>
      <c r="W707" s="1560"/>
      <c r="X707" s="1560"/>
      <c r="Y707" s="1560"/>
      <c r="Z707" s="1560"/>
      <c r="AA707" s="1560"/>
      <c r="AB707" s="1560"/>
      <c r="AM707" s="1226"/>
      <c r="AN707" s="1212"/>
      <c r="AP707" s="1274" t="s">
        <v>532</v>
      </c>
      <c r="AQ707" s="1226">
        <v>3</v>
      </c>
    </row>
    <row r="708" spans="1:52" s="1213" customFormat="1" ht="13.95" customHeight="1">
      <c r="A708" s="1226"/>
      <c r="C708" s="1495"/>
      <c r="D708" s="1213" t="s">
        <v>1590</v>
      </c>
      <c r="E708" s="1559"/>
      <c r="F708" s="1559"/>
      <c r="G708" s="1559"/>
      <c r="H708" s="2476" t="s">
        <v>615</v>
      </c>
      <c r="I708" s="2476"/>
      <c r="J708" s="1560"/>
      <c r="K708" s="1560"/>
      <c r="L708" s="1560"/>
      <c r="M708" s="1560"/>
      <c r="N708" s="1560"/>
      <c r="O708" s="1560"/>
      <c r="P708" s="1560"/>
      <c r="Q708" s="1560"/>
      <c r="R708" s="1560"/>
      <c r="S708" s="1560"/>
      <c r="T708" s="1560"/>
      <c r="U708" s="1560"/>
      <c r="V708" s="1560"/>
      <c r="W708" s="1560"/>
      <c r="X708" s="1560"/>
      <c r="Y708" s="1560"/>
      <c r="Z708" s="1560"/>
      <c r="AA708" s="1560"/>
      <c r="AB708" s="1560"/>
      <c r="AM708" s="1226"/>
      <c r="AN708" s="1212"/>
    </row>
    <row r="709" spans="1:52" s="1213" customFormat="1" ht="14.25" customHeight="1">
      <c r="A709" s="1226"/>
      <c r="C709" s="1495"/>
      <c r="E709" s="1560"/>
      <c r="F709" s="1560"/>
      <c r="G709" s="1560"/>
      <c r="H709" s="1560"/>
      <c r="I709" s="1560"/>
      <c r="J709" s="1560"/>
      <c r="K709" s="1560"/>
      <c r="L709" s="1560"/>
      <c r="M709" s="1560"/>
      <c r="N709" s="1560"/>
      <c r="O709" s="1560"/>
      <c r="P709" s="1560"/>
      <c r="Q709" s="1560"/>
      <c r="R709" s="1560"/>
      <c r="S709" s="1560"/>
      <c r="T709" s="1560"/>
      <c r="U709" s="1560"/>
      <c r="V709" s="1560"/>
      <c r="W709" s="1560"/>
      <c r="X709" s="1560"/>
      <c r="Y709" s="1560"/>
      <c r="Z709" s="1560"/>
      <c r="AA709" s="1560"/>
      <c r="AB709" s="1560"/>
      <c r="AM709" s="1226"/>
      <c r="AN709" s="1212"/>
    </row>
    <row r="710" spans="1:52" s="1213" customFormat="1" ht="12.75" customHeight="1">
      <c r="A710" s="1269"/>
      <c r="B710" s="1261"/>
      <c r="C710" s="1502"/>
      <c r="D710" s="1261"/>
      <c r="E710" s="1261"/>
      <c r="F710" s="1261"/>
      <c r="G710" s="1261"/>
      <c r="H710" s="1261"/>
      <c r="I710" s="1261"/>
      <c r="J710" s="997"/>
      <c r="K710" s="997"/>
      <c r="L710" s="997"/>
      <c r="M710" s="997"/>
      <c r="N710" s="997"/>
      <c r="O710" s="997"/>
      <c r="P710" s="997"/>
      <c r="Q710" s="997"/>
      <c r="R710" s="997"/>
      <c r="S710" s="997"/>
      <c r="T710" s="997"/>
      <c r="U710" s="1367"/>
      <c r="V710" s="1367"/>
      <c r="W710" s="1367"/>
      <c r="X710" s="1367"/>
      <c r="Y710" s="1503"/>
      <c r="Z710" s="1503"/>
      <c r="AA710" s="1503"/>
      <c r="AB710" s="1261"/>
      <c r="AC710" s="1261"/>
      <c r="AD710" s="1261"/>
      <c r="AE710" s="1261"/>
      <c r="AF710" s="1261"/>
      <c r="AG710" s="1261"/>
      <c r="AH710" s="1261"/>
      <c r="AI710" s="1233" t="s">
        <v>1631</v>
      </c>
      <c r="AJ710" s="2454">
        <f>VLOOKUP($H$708,$AO$641:$AP$643,2,FALSE)</f>
        <v>0</v>
      </c>
      <c r="AK710" s="2456"/>
      <c r="AL710" s="1566"/>
      <c r="AM710" s="1226"/>
      <c r="AN710" s="1212"/>
      <c r="AP710" s="2454"/>
      <c r="AQ710" s="2456"/>
    </row>
    <row r="711" spans="1:52" s="1213" customFormat="1">
      <c r="A711" s="1226"/>
      <c r="B711" s="1273"/>
      <c r="C711" s="1493"/>
      <c r="D711" s="149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M711" s="1226"/>
      <c r="AN711" s="1212"/>
      <c r="AT711" s="1211"/>
      <c r="AU711" s="1211"/>
      <c r="AV711" s="1211"/>
      <c r="AW711" s="1211"/>
      <c r="AX711" s="1211"/>
      <c r="AY711" s="1211"/>
      <c r="AZ711" s="1211"/>
    </row>
    <row r="712" spans="1:52" s="1213" customFormat="1">
      <c r="A712" s="1226"/>
      <c r="C712" s="1575" t="s">
        <v>1632</v>
      </c>
      <c r="D712" s="1522"/>
      <c r="E712" s="1278"/>
      <c r="F712" s="1278"/>
      <c r="G712" s="1278"/>
      <c r="H712" s="1278"/>
      <c r="I712" s="1278"/>
      <c r="J712" s="1278"/>
      <c r="K712" s="1278"/>
      <c r="L712" s="1278"/>
      <c r="M712" s="1278"/>
      <c r="N712" s="1278"/>
      <c r="O712" s="1278"/>
      <c r="P712" s="1278"/>
      <c r="Q712" s="1278"/>
      <c r="R712" s="1278"/>
      <c r="S712" s="1278"/>
      <c r="T712" s="1278"/>
      <c r="U712" s="1278"/>
      <c r="V712" s="1278"/>
      <c r="W712" s="1278"/>
      <c r="X712" s="1278"/>
      <c r="Y712" s="1278"/>
      <c r="Z712" s="1278"/>
      <c r="AA712" s="1278"/>
      <c r="AB712" s="1278"/>
      <c r="AM712" s="1226"/>
      <c r="AN712" s="1212"/>
      <c r="AT712" s="1211"/>
      <c r="AU712" s="1211"/>
      <c r="AV712" s="1211"/>
      <c r="AW712" s="1211"/>
      <c r="AX712" s="1211"/>
      <c r="AY712" s="1211"/>
      <c r="AZ712" s="1211"/>
    </row>
    <row r="713" spans="1:52" s="1213" customFormat="1">
      <c r="A713" s="1226"/>
      <c r="B713" s="1273"/>
      <c r="C713" s="1493"/>
      <c r="D713" s="1498"/>
      <c r="E713" s="1278"/>
      <c r="F713" s="1278"/>
      <c r="G713" s="1278"/>
      <c r="H713" s="1278"/>
      <c r="I713" s="1278"/>
      <c r="J713" s="1278"/>
      <c r="K713" s="1278"/>
      <c r="L713" s="1278"/>
      <c r="M713" s="1278"/>
      <c r="N713" s="1278"/>
      <c r="O713" s="1278"/>
      <c r="P713" s="1278"/>
      <c r="Q713" s="1278"/>
      <c r="R713" s="1278"/>
      <c r="S713" s="1278"/>
      <c r="T713" s="1278"/>
      <c r="U713" s="1278"/>
      <c r="V713" s="1278"/>
      <c r="W713" s="1278"/>
      <c r="X713" s="1278"/>
      <c r="Y713" s="1278"/>
      <c r="Z713" s="1278"/>
      <c r="AA713" s="1278"/>
      <c r="AB713" s="1278"/>
      <c r="AM713" s="1226"/>
      <c r="AN713" s="1212"/>
      <c r="AT713" s="1211"/>
      <c r="AU713" s="1211"/>
      <c r="AV713" s="1211"/>
      <c r="AW713" s="1211"/>
      <c r="AX713" s="1211"/>
      <c r="AY713" s="1211"/>
      <c r="AZ713" s="1211"/>
    </row>
    <row r="714" spans="1:52" s="1213" customFormat="1">
      <c r="A714" s="1226"/>
      <c r="C714" s="1493"/>
      <c r="D714" s="1285" t="s">
        <v>712</v>
      </c>
      <c r="E714" s="2474" t="s">
        <v>2005</v>
      </c>
      <c r="F714" s="2474"/>
      <c r="G714" s="2474"/>
      <c r="H714" s="2474"/>
      <c r="I714" s="2474"/>
      <c r="J714" s="2474"/>
      <c r="K714" s="2474"/>
      <c r="L714" s="2474"/>
      <c r="M714" s="2474"/>
      <c r="N714" s="2474"/>
      <c r="O714" s="2474"/>
      <c r="P714" s="2474"/>
      <c r="Q714" s="2474"/>
      <c r="R714" s="2474"/>
      <c r="S714" s="2474"/>
      <c r="T714" s="2474"/>
      <c r="U714" s="2474"/>
      <c r="V714" s="2474"/>
      <c r="W714" s="2474"/>
      <c r="X714" s="2474"/>
      <c r="Y714" s="2474"/>
      <c r="Z714" s="2474"/>
      <c r="AA714" s="2474"/>
      <c r="AB714" s="2474"/>
      <c r="AF714" s="2475" t="s">
        <v>1542</v>
      </c>
      <c r="AG714" s="2475"/>
      <c r="AH714" s="2475"/>
      <c r="AI714" s="2475"/>
      <c r="AJ714" s="2475"/>
      <c r="AK714" s="2475"/>
      <c r="AL714" s="2475"/>
      <c r="AM714" s="1226"/>
      <c r="AN714" s="1212"/>
      <c r="AT714" s="1211"/>
      <c r="AU714" s="1211"/>
      <c r="AV714" s="1211"/>
      <c r="AW714" s="1211"/>
      <c r="AX714" s="1211"/>
      <c r="AY714" s="1211"/>
      <c r="AZ714" s="1211"/>
    </row>
    <row r="715" spans="1:52" s="1213" customFormat="1">
      <c r="A715" s="1226"/>
      <c r="C715" s="1495"/>
      <c r="D715" s="1285"/>
      <c r="E715" s="2474"/>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M715" s="1226"/>
      <c r="AN715" s="1212"/>
      <c r="AT715" s="1211"/>
      <c r="AU715" s="1211"/>
      <c r="AV715" s="1211"/>
      <c r="AW715" s="1211"/>
      <c r="AX715" s="1211"/>
      <c r="AY715" s="1211"/>
      <c r="AZ715" s="1211"/>
    </row>
    <row r="716" spans="1:52" s="1213" customFormat="1">
      <c r="A716" s="1226"/>
      <c r="B716" s="1273"/>
      <c r="C716" s="1493"/>
      <c r="D716" s="1285"/>
      <c r="E716" s="1278"/>
      <c r="F716" s="1278"/>
      <c r="G716" s="1278"/>
      <c r="H716" s="1278"/>
      <c r="I716" s="1278"/>
      <c r="J716" s="1278"/>
      <c r="K716" s="1278"/>
      <c r="L716" s="1278"/>
      <c r="M716" s="1278"/>
      <c r="N716" s="1278"/>
      <c r="O716" s="1278"/>
      <c r="P716" s="1278"/>
      <c r="Q716" s="1278"/>
      <c r="R716" s="1278"/>
      <c r="S716" s="1278"/>
      <c r="T716" s="1278"/>
      <c r="U716" s="1278"/>
      <c r="V716" s="1278"/>
      <c r="W716" s="1278"/>
      <c r="X716" s="1278"/>
      <c r="Y716" s="1278"/>
      <c r="Z716" s="1278"/>
      <c r="AA716" s="1278"/>
      <c r="AB716" s="1278"/>
      <c r="AM716" s="1226"/>
      <c r="AN716" s="1212"/>
      <c r="AT716" s="1211"/>
      <c r="AU716" s="1211"/>
      <c r="AV716" s="1211"/>
      <c r="AW716" s="1211"/>
      <c r="AX716" s="1211"/>
      <c r="AY716" s="1211"/>
      <c r="AZ716" s="1211"/>
    </row>
    <row r="717" spans="1:52" s="1213" customFormat="1" ht="12.75" customHeight="1">
      <c r="A717" s="1226"/>
      <c r="C717" s="1493"/>
      <c r="D717" s="1285" t="s">
        <v>532</v>
      </c>
      <c r="E717" s="2474" t="s">
        <v>1633</v>
      </c>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F717" s="2475" t="s">
        <v>1598</v>
      </c>
      <c r="AG717" s="2475"/>
      <c r="AH717" s="2475"/>
      <c r="AI717" s="2475"/>
      <c r="AJ717" s="2475"/>
      <c r="AK717" s="2475"/>
      <c r="AL717" s="2475"/>
      <c r="AM717" s="1226"/>
      <c r="AN717" s="1212"/>
      <c r="AT717" s="1211"/>
      <c r="AU717" s="1211"/>
      <c r="AV717" s="1211"/>
      <c r="AW717" s="1211"/>
      <c r="AX717" s="1211"/>
      <c r="AY717" s="1211"/>
      <c r="AZ717" s="1211"/>
    </row>
    <row r="718" spans="1:52" s="1213" customFormat="1">
      <c r="A718" s="1226"/>
      <c r="C718" s="1495"/>
      <c r="E718" s="2474"/>
      <c r="F718" s="2474"/>
      <c r="G718" s="2474"/>
      <c r="H718" s="2474"/>
      <c r="I718" s="2474"/>
      <c r="J718" s="2474"/>
      <c r="K718" s="2474"/>
      <c r="L718" s="2474"/>
      <c r="M718" s="2474"/>
      <c r="N718" s="2474"/>
      <c r="O718" s="2474"/>
      <c r="P718" s="2474"/>
      <c r="Q718" s="2474"/>
      <c r="R718" s="2474"/>
      <c r="S718" s="2474"/>
      <c r="T718" s="2474"/>
      <c r="U718" s="2474"/>
      <c r="V718" s="2474"/>
      <c r="W718" s="2474"/>
      <c r="X718" s="2474"/>
      <c r="Y718" s="2474"/>
      <c r="Z718" s="2474"/>
      <c r="AA718" s="2474"/>
      <c r="AB718" s="2474"/>
      <c r="AM718" s="1226"/>
      <c r="AN718" s="1212"/>
      <c r="AT718" s="1211"/>
      <c r="AU718" s="1211"/>
      <c r="AV718" s="1211"/>
      <c r="AW718" s="1211"/>
      <c r="AX718" s="1211"/>
      <c r="AY718" s="1211"/>
      <c r="AZ718" s="1211"/>
    </row>
    <row r="719" spans="1:52" s="1213" customFormat="1">
      <c r="A719" s="1226"/>
      <c r="C719" s="1495"/>
      <c r="E719" s="1556"/>
      <c r="F719" s="1556"/>
      <c r="G719" s="1556"/>
      <c r="H719" s="1556"/>
      <c r="I719" s="1556"/>
      <c r="J719" s="1556"/>
      <c r="K719" s="1556"/>
      <c r="L719" s="1556"/>
      <c r="M719" s="1556"/>
      <c r="N719" s="1556"/>
      <c r="O719" s="1556"/>
      <c r="P719" s="1556"/>
      <c r="Q719" s="1556"/>
      <c r="R719" s="1556"/>
      <c r="S719" s="1556"/>
      <c r="T719" s="1556"/>
      <c r="U719" s="1556"/>
      <c r="V719" s="1556"/>
      <c r="W719" s="1556"/>
      <c r="X719" s="1556"/>
      <c r="Y719" s="1556"/>
      <c r="Z719" s="1556"/>
      <c r="AA719" s="1556"/>
      <c r="AB719" s="1556"/>
      <c r="AM719" s="1226"/>
      <c r="AN719" s="1212"/>
      <c r="AT719" s="1211"/>
      <c r="AU719" s="1211"/>
      <c r="AV719" s="1211"/>
      <c r="AW719" s="1211"/>
      <c r="AX719" s="1211"/>
      <c r="AY719" s="1211"/>
      <c r="AZ719" s="1211"/>
    </row>
    <row r="720" spans="1:52" s="1213" customFormat="1" ht="12.75" customHeight="1">
      <c r="A720" s="1226"/>
      <c r="C720" s="1495"/>
      <c r="D720" s="1213" t="s">
        <v>1590</v>
      </c>
      <c r="E720" s="1559"/>
      <c r="F720" s="1559"/>
      <c r="G720" s="1559"/>
      <c r="H720" s="2476" t="s">
        <v>615</v>
      </c>
      <c r="I720" s="2476"/>
      <c r="J720" s="1556"/>
      <c r="K720" s="1556"/>
      <c r="L720" s="1556"/>
      <c r="M720" s="1556"/>
      <c r="N720" s="1556"/>
      <c r="O720" s="1556"/>
      <c r="P720" s="1556"/>
      <c r="Q720" s="1556"/>
      <c r="R720" s="1556"/>
      <c r="S720" s="1556"/>
      <c r="T720" s="1556"/>
      <c r="U720" s="1556"/>
      <c r="V720" s="1556"/>
      <c r="W720" s="1556"/>
      <c r="X720" s="1556"/>
      <c r="Y720" s="1556"/>
      <c r="Z720" s="1556"/>
      <c r="AA720" s="1556"/>
      <c r="AB720" s="1556"/>
      <c r="AM720" s="1226"/>
      <c r="AN720" s="1212"/>
      <c r="AT720" s="1211"/>
      <c r="AU720" s="1211"/>
      <c r="AV720" s="1211"/>
      <c r="AW720" s="1211"/>
      <c r="AX720" s="1211"/>
      <c r="AY720" s="1211"/>
      <c r="AZ720" s="1211"/>
    </row>
    <row r="721" spans="1:81" s="1213" customFormat="1">
      <c r="A721" s="1226"/>
      <c r="C721" s="1495"/>
      <c r="E721" s="1556"/>
      <c r="F721" s="1556"/>
      <c r="G721" s="1556"/>
      <c r="H721" s="1556"/>
      <c r="I721" s="1556"/>
      <c r="J721" s="1556"/>
      <c r="K721" s="1556"/>
      <c r="L721" s="1556"/>
      <c r="M721" s="1556"/>
      <c r="N721" s="1556"/>
      <c r="O721" s="1556"/>
      <c r="P721" s="1556"/>
      <c r="Q721" s="1556"/>
      <c r="R721" s="1556"/>
      <c r="S721" s="1556"/>
      <c r="T721" s="1556"/>
      <c r="U721" s="1556"/>
      <c r="V721" s="1556"/>
      <c r="W721" s="1556"/>
      <c r="X721" s="1556"/>
      <c r="Y721" s="1556"/>
      <c r="Z721" s="1556"/>
      <c r="AA721" s="1556"/>
      <c r="AB721" s="1556"/>
      <c r="AM721" s="1226"/>
      <c r="AN721" s="1212"/>
      <c r="AS721" s="1211"/>
      <c r="AT721" s="1211"/>
      <c r="AU721" s="1211"/>
      <c r="AV721" s="1211"/>
      <c r="AW721" s="1211"/>
      <c r="AX721" s="1211"/>
      <c r="AY721" s="1211"/>
      <c r="AZ721" s="1211"/>
      <c r="BA721" s="1211"/>
      <c r="BB721" s="1211"/>
      <c r="BC721" s="1211"/>
      <c r="BD721" s="1329"/>
      <c r="BE721" s="1329"/>
      <c r="BF721" s="1329"/>
      <c r="BG721" s="1329"/>
      <c r="BH721" s="1329"/>
      <c r="BI721" s="1211"/>
      <c r="BJ721" s="1211"/>
      <c r="BK721" s="1211"/>
      <c r="BL721" s="1211"/>
      <c r="BM721" s="1211"/>
      <c r="BN721" s="1211"/>
      <c r="BO721" s="1211"/>
      <c r="BP721" s="1211"/>
      <c r="BQ721" s="1211"/>
      <c r="BR721" s="1211"/>
      <c r="BS721" s="1211"/>
      <c r="BT721" s="1211"/>
      <c r="BU721" s="1211"/>
      <c r="BV721" s="1211"/>
      <c r="BW721" s="1211"/>
      <c r="BX721" s="1211"/>
      <c r="BY721" s="1211"/>
      <c r="BZ721" s="1211"/>
      <c r="CA721" s="1211"/>
      <c r="CB721" s="1211"/>
      <c r="CC721" s="1211"/>
    </row>
    <row r="722" spans="1:81" s="1213" customFormat="1">
      <c r="A722" s="1269"/>
      <c r="B722" s="1261"/>
      <c r="C722" s="1502"/>
      <c r="D722" s="1261"/>
      <c r="E722" s="1520"/>
      <c r="F722" s="1520"/>
      <c r="G722" s="1520"/>
      <c r="H722" s="1520"/>
      <c r="I722" s="1520"/>
      <c r="J722" s="1520"/>
      <c r="K722" s="1520"/>
      <c r="L722" s="1520"/>
      <c r="M722" s="1520"/>
      <c r="N722" s="1520"/>
      <c r="O722" s="1520"/>
      <c r="P722" s="1520"/>
      <c r="Q722" s="1520"/>
      <c r="R722" s="1520"/>
      <c r="S722" s="1520"/>
      <c r="T722" s="1520"/>
      <c r="U722" s="1520"/>
      <c r="V722" s="1367"/>
      <c r="W722" s="1367"/>
      <c r="X722" s="1367"/>
      <c r="Y722" s="1503"/>
      <c r="Z722" s="1503"/>
      <c r="AA722" s="1503"/>
      <c r="AB722" s="1261"/>
      <c r="AC722" s="1261"/>
      <c r="AD722" s="1261"/>
      <c r="AE722" s="1261"/>
      <c r="AF722" s="1261"/>
      <c r="AG722" s="1261"/>
      <c r="AH722" s="1261"/>
      <c r="AI722" s="1233" t="s">
        <v>1634</v>
      </c>
      <c r="AJ722" s="2454">
        <f>VLOOKUP($H$720,$AO$655:$AP$657,2,FALSE)</f>
        <v>0</v>
      </c>
      <c r="AK722" s="2456"/>
      <c r="AL722" s="1566"/>
      <c r="AM722" s="1226"/>
      <c r="AN722" s="1212"/>
      <c r="AS722" s="1211"/>
      <c r="AT722" s="1211"/>
      <c r="AU722" s="1211"/>
      <c r="AV722" s="1211"/>
      <c r="AW722" s="1211"/>
      <c r="AX722" s="1211"/>
      <c r="AY722" s="1211"/>
      <c r="AZ722" s="1211"/>
      <c r="BA722" s="1211"/>
      <c r="BB722" s="1211"/>
      <c r="BC722" s="1211"/>
      <c r="BD722" s="1329"/>
      <c r="BE722" s="1329"/>
      <c r="BF722" s="1329"/>
      <c r="BG722" s="1329"/>
      <c r="BH722" s="1329"/>
      <c r="BI722" s="1211"/>
      <c r="BJ722" s="1211"/>
      <c r="BK722" s="1211"/>
      <c r="BL722" s="1211"/>
      <c r="BM722" s="1211"/>
      <c r="BN722" s="1211"/>
      <c r="BO722" s="1211"/>
      <c r="BP722" s="1211"/>
      <c r="BQ722" s="1211"/>
      <c r="BR722" s="1211"/>
      <c r="BS722" s="1211"/>
      <c r="BT722" s="1211"/>
      <c r="BU722" s="1211"/>
      <c r="BV722" s="1211"/>
      <c r="BW722" s="1211"/>
      <c r="BX722" s="1211"/>
      <c r="BY722" s="1211"/>
      <c r="BZ722" s="1211"/>
      <c r="CA722" s="1211"/>
      <c r="CB722" s="1211"/>
      <c r="CC722" s="1211"/>
    </row>
    <row r="723" spans="1:81" s="1213" customFormat="1" ht="12.75" customHeight="1">
      <c r="A723" s="1226"/>
      <c r="C723" s="1495"/>
      <c r="J723" s="1556"/>
      <c r="K723" s="1556"/>
      <c r="L723" s="1556"/>
      <c r="M723" s="1556"/>
      <c r="AM723" s="1226"/>
      <c r="AN723" s="1212"/>
      <c r="AS723" s="1211"/>
      <c r="AT723" s="1211"/>
      <c r="AU723" s="1211"/>
      <c r="AV723" s="1211"/>
      <c r="AW723" s="1211"/>
      <c r="AX723" s="1211"/>
      <c r="AY723" s="1211"/>
      <c r="AZ723" s="1211"/>
      <c r="BA723" s="1211"/>
      <c r="BB723" s="1211"/>
      <c r="BC723" s="1211"/>
      <c r="BD723" s="1329"/>
      <c r="BE723" s="1329"/>
      <c r="BF723" s="1329"/>
      <c r="BG723" s="1329"/>
      <c r="BH723" s="1329"/>
      <c r="BI723" s="1211"/>
      <c r="BJ723" s="1211"/>
      <c r="BK723" s="1211"/>
      <c r="BL723" s="1211"/>
      <c r="BM723" s="1211"/>
      <c r="BN723" s="1211"/>
      <c r="BO723" s="1211"/>
      <c r="BP723" s="1211"/>
      <c r="BQ723" s="1211"/>
      <c r="BR723" s="1211"/>
      <c r="BS723" s="1211"/>
      <c r="BT723" s="1211"/>
      <c r="BU723" s="1211"/>
      <c r="BV723" s="1211"/>
      <c r="BW723" s="1211"/>
      <c r="BX723" s="1211"/>
      <c r="BY723" s="1211"/>
      <c r="BZ723" s="1211"/>
      <c r="CA723" s="1211"/>
      <c r="CB723" s="1211"/>
      <c r="CC723" s="1211"/>
    </row>
    <row r="724" spans="1:81" s="1213" customFormat="1" ht="12.75" customHeight="1">
      <c r="A724" s="1226"/>
      <c r="C724" s="1575" t="s">
        <v>1635</v>
      </c>
      <c r="AM724" s="1226"/>
      <c r="AN724" s="1212"/>
      <c r="AS724" s="1211"/>
      <c r="AT724" s="1211"/>
      <c r="AU724" s="1211"/>
      <c r="AV724" s="1211"/>
      <c r="AW724" s="1211"/>
      <c r="AX724" s="1211"/>
      <c r="AY724" s="1211"/>
      <c r="AZ724" s="1211"/>
      <c r="BA724" s="1211"/>
      <c r="BB724" s="1211"/>
      <c r="BC724" s="1211"/>
      <c r="BD724" s="1329"/>
      <c r="BE724" s="1329"/>
      <c r="BF724" s="1329"/>
      <c r="BG724" s="1329"/>
      <c r="BH724" s="1329"/>
      <c r="BI724" s="1211"/>
      <c r="BJ724" s="1211"/>
      <c r="BK724" s="1211"/>
      <c r="BL724" s="1211"/>
      <c r="BM724" s="1211"/>
      <c r="BN724" s="1211"/>
      <c r="BO724" s="1211"/>
      <c r="BP724" s="1211"/>
      <c r="BQ724" s="1211"/>
      <c r="BR724" s="1211"/>
      <c r="BS724" s="1211"/>
      <c r="BT724" s="1211"/>
      <c r="BU724" s="1211"/>
      <c r="BV724" s="1211"/>
      <c r="BW724" s="1211"/>
      <c r="BX724" s="1211"/>
      <c r="BY724" s="1211"/>
      <c r="BZ724" s="1211"/>
      <c r="CA724" s="1211"/>
      <c r="CB724" s="1211"/>
      <c r="CC724" s="1211"/>
    </row>
    <row r="725" spans="1:81" s="1213" customFormat="1">
      <c r="A725" s="1226"/>
      <c r="B725" s="1273"/>
      <c r="C725" s="1523"/>
      <c r="D725" s="1273"/>
      <c r="E725" s="1273"/>
      <c r="H725" s="1273"/>
      <c r="I725" s="1273"/>
      <c r="J725" s="1273"/>
      <c r="K725" s="1273"/>
      <c r="L725" s="1273"/>
      <c r="M725" s="1273"/>
      <c r="N725" s="1273"/>
      <c r="O725" s="1273"/>
      <c r="P725" s="1273"/>
      <c r="Q725" s="1273"/>
      <c r="R725" s="1273"/>
      <c r="S725" s="1273"/>
      <c r="X725" s="1566"/>
      <c r="Y725" s="1566"/>
      <c r="Z725" s="1566"/>
      <c r="AA725" s="1566"/>
      <c r="AB725" s="1566"/>
      <c r="AM725" s="1226"/>
      <c r="AN725" s="1212"/>
      <c r="AS725" s="1211"/>
      <c r="AT725" s="1211"/>
      <c r="AU725" s="1211"/>
      <c r="AV725" s="1211"/>
      <c r="AW725" s="1211"/>
      <c r="AX725" s="1211"/>
      <c r="AY725" s="1211"/>
      <c r="AZ725" s="1211"/>
      <c r="BA725" s="1211"/>
      <c r="BB725" s="1211"/>
      <c r="BC725" s="1211"/>
      <c r="BD725" s="1329"/>
      <c r="BE725" s="1329"/>
      <c r="BF725" s="1329"/>
      <c r="BG725" s="1329"/>
      <c r="BH725" s="1329"/>
      <c r="BI725" s="1211"/>
      <c r="BJ725" s="1211"/>
      <c r="BK725" s="1211"/>
      <c r="BL725" s="1211"/>
      <c r="BM725" s="1211"/>
      <c r="BN725" s="1211"/>
      <c r="BO725" s="1211"/>
      <c r="BP725" s="1211"/>
      <c r="BQ725" s="1211"/>
      <c r="BR725" s="1211"/>
      <c r="BS725" s="1211"/>
      <c r="BT725" s="1211"/>
      <c r="BU725" s="1211"/>
      <c r="BV725" s="1211"/>
      <c r="BW725" s="1211"/>
      <c r="BX725" s="1211"/>
      <c r="BY725" s="1211"/>
      <c r="BZ725" s="1211"/>
      <c r="CA725" s="1211"/>
      <c r="CB725" s="1211"/>
      <c r="CC725" s="1211"/>
    </row>
    <row r="726" spans="1:81" s="1213" customFormat="1">
      <c r="A726" s="1226"/>
      <c r="C726" s="1493"/>
      <c r="D726" s="1285" t="s">
        <v>712</v>
      </c>
      <c r="E726" s="2474" t="s">
        <v>1636</v>
      </c>
      <c r="F726" s="2474"/>
      <c r="G726" s="2474"/>
      <c r="H726" s="2474"/>
      <c r="I726" s="2474"/>
      <c r="J726" s="2474"/>
      <c r="K726" s="2474"/>
      <c r="L726" s="2474"/>
      <c r="M726" s="2474"/>
      <c r="N726" s="2474"/>
      <c r="O726" s="2474"/>
      <c r="P726" s="2474"/>
      <c r="Q726" s="2474"/>
      <c r="R726" s="2474"/>
      <c r="S726" s="2474"/>
      <c r="T726" s="2474"/>
      <c r="U726" s="2474"/>
      <c r="V726" s="2474"/>
      <c r="W726" s="2474"/>
      <c r="X726" s="2474"/>
      <c r="Y726" s="2474"/>
      <c r="Z726" s="2474"/>
      <c r="AA726" s="2474"/>
      <c r="AB726" s="2474"/>
      <c r="AF726" s="2475" t="s">
        <v>1542</v>
      </c>
      <c r="AG726" s="2475"/>
      <c r="AH726" s="2475"/>
      <c r="AI726" s="2475"/>
      <c r="AJ726" s="2475"/>
      <c r="AK726" s="2475"/>
      <c r="AL726" s="2475"/>
      <c r="AM726" s="1226"/>
      <c r="AN726" s="1212"/>
      <c r="AT726" s="1211"/>
      <c r="AU726" s="1211"/>
      <c r="AV726" s="1211"/>
      <c r="AW726" s="1211"/>
      <c r="AX726" s="1211"/>
      <c r="AY726" s="1211"/>
      <c r="AZ726" s="1211"/>
    </row>
    <row r="727" spans="1:81" s="1213" customFormat="1">
      <c r="A727" s="1226"/>
      <c r="C727" s="1493"/>
      <c r="D727" s="1285"/>
      <c r="E727" s="2474"/>
      <c r="F727" s="2474"/>
      <c r="G727" s="2474"/>
      <c r="H727" s="2474"/>
      <c r="I727" s="2474"/>
      <c r="J727" s="2474"/>
      <c r="K727" s="2474"/>
      <c r="L727" s="2474"/>
      <c r="M727" s="2474"/>
      <c r="N727" s="2474"/>
      <c r="O727" s="2474"/>
      <c r="P727" s="2474"/>
      <c r="Q727" s="2474"/>
      <c r="R727" s="2474"/>
      <c r="S727" s="2474"/>
      <c r="T727" s="2474"/>
      <c r="U727" s="2474"/>
      <c r="V727" s="2474"/>
      <c r="W727" s="2474"/>
      <c r="X727" s="2474"/>
      <c r="Y727" s="2474"/>
      <c r="Z727" s="2474"/>
      <c r="AA727" s="2474"/>
      <c r="AB727" s="2474"/>
      <c r="AF727" s="1557"/>
      <c r="AG727" s="1557"/>
      <c r="AH727" s="1557"/>
      <c r="AI727" s="1557"/>
      <c r="AJ727" s="1557"/>
      <c r="AK727" s="1557"/>
      <c r="AL727" s="1557"/>
      <c r="AM727" s="1226"/>
      <c r="AN727" s="1212"/>
      <c r="AT727" s="1211"/>
      <c r="AU727" s="1211"/>
      <c r="AV727" s="1211"/>
      <c r="AW727" s="1211"/>
      <c r="AX727" s="1211"/>
      <c r="AY727" s="1211"/>
      <c r="AZ727" s="1211"/>
    </row>
    <row r="728" spans="1:81" s="1213" customFormat="1">
      <c r="A728" s="1226"/>
      <c r="C728" s="1495"/>
      <c r="D728" s="1285"/>
      <c r="E728" s="2474"/>
      <c r="F728" s="2474"/>
      <c r="G728" s="2474"/>
      <c r="H728" s="2474"/>
      <c r="I728" s="2474"/>
      <c r="J728" s="2474"/>
      <c r="K728" s="2474"/>
      <c r="L728" s="2474"/>
      <c r="M728" s="2474"/>
      <c r="N728" s="2474"/>
      <c r="O728" s="2474"/>
      <c r="P728" s="2474"/>
      <c r="Q728" s="2474"/>
      <c r="R728" s="2474"/>
      <c r="S728" s="2474"/>
      <c r="T728" s="2474"/>
      <c r="U728" s="2474"/>
      <c r="V728" s="2474"/>
      <c r="W728" s="2474"/>
      <c r="X728" s="2474"/>
      <c r="Y728" s="2474"/>
      <c r="Z728" s="2474"/>
      <c r="AA728" s="2474"/>
      <c r="AB728" s="2474"/>
      <c r="AM728" s="1226"/>
      <c r="AN728" s="1212"/>
    </row>
    <row r="729" spans="1:81" s="1213" customFormat="1" ht="12.75" customHeight="1">
      <c r="A729" s="1226"/>
      <c r="C729" s="1495"/>
      <c r="D729" s="1285"/>
      <c r="E729" s="2474"/>
      <c r="F729" s="2474"/>
      <c r="G729" s="2474"/>
      <c r="H729" s="2474"/>
      <c r="I729" s="2474"/>
      <c r="J729" s="2474"/>
      <c r="K729" s="2474"/>
      <c r="L729" s="2474"/>
      <c r="M729" s="2474"/>
      <c r="N729" s="2474"/>
      <c r="O729" s="2474"/>
      <c r="P729" s="2474"/>
      <c r="Q729" s="2474"/>
      <c r="R729" s="2474"/>
      <c r="S729" s="2474"/>
      <c r="T729" s="2474"/>
      <c r="U729" s="2474"/>
      <c r="V729" s="2474"/>
      <c r="W729" s="2474"/>
      <c r="X729" s="2474"/>
      <c r="Y729" s="2474"/>
      <c r="Z729" s="2474"/>
      <c r="AA729" s="2474"/>
      <c r="AB729" s="2474"/>
      <c r="AM729" s="1226"/>
      <c r="AN729" s="1209"/>
      <c r="AO729" s="1211"/>
    </row>
    <row r="730" spans="1:81" s="1213" customFormat="1">
      <c r="A730" s="1561"/>
      <c r="B730" s="1566"/>
      <c r="C730" s="1493"/>
      <c r="D730" s="1285"/>
      <c r="E730" s="1515"/>
      <c r="F730" s="1515"/>
      <c r="G730" s="1515"/>
      <c r="H730" s="1515"/>
      <c r="I730" s="1515"/>
      <c r="J730" s="1515"/>
      <c r="K730" s="1515"/>
      <c r="L730" s="1515"/>
      <c r="M730" s="1515"/>
      <c r="N730" s="1515"/>
      <c r="O730" s="1515"/>
      <c r="P730" s="1515"/>
      <c r="Q730" s="1515"/>
      <c r="R730" s="1515"/>
      <c r="S730" s="1515"/>
      <c r="T730" s="1515"/>
      <c r="U730" s="1515"/>
      <c r="V730" s="1515"/>
      <c r="W730" s="1515"/>
      <c r="X730" s="1515"/>
      <c r="Y730" s="1515"/>
      <c r="Z730" s="1515"/>
      <c r="AA730" s="1515"/>
      <c r="AB730" s="1515"/>
      <c r="AM730" s="1226"/>
      <c r="AN730" s="1212"/>
      <c r="AO730" s="1210"/>
      <c r="AP730" s="1211"/>
    </row>
    <row r="731" spans="1:81" s="1213" customFormat="1">
      <c r="A731" s="1226"/>
      <c r="C731" s="1493"/>
      <c r="D731" s="1285" t="s">
        <v>532</v>
      </c>
      <c r="E731" s="2474" t="s">
        <v>1637</v>
      </c>
      <c r="F731" s="2474"/>
      <c r="G731" s="2474"/>
      <c r="H731" s="2474"/>
      <c r="I731" s="2474"/>
      <c r="J731" s="2474"/>
      <c r="K731" s="2474"/>
      <c r="L731" s="2474"/>
      <c r="M731" s="2474"/>
      <c r="N731" s="2474"/>
      <c r="O731" s="2474"/>
      <c r="P731" s="2474"/>
      <c r="Q731" s="2474"/>
      <c r="R731" s="2474"/>
      <c r="S731" s="2474"/>
      <c r="T731" s="2474"/>
      <c r="U731" s="2474"/>
      <c r="V731" s="2474"/>
      <c r="W731" s="2474"/>
      <c r="X731" s="2474"/>
      <c r="Y731" s="2474"/>
      <c r="Z731" s="2474"/>
      <c r="AA731" s="2474"/>
      <c r="AB731" s="1242"/>
      <c r="AF731" s="2475" t="s">
        <v>1598</v>
      </c>
      <c r="AG731" s="2475"/>
      <c r="AH731" s="2475"/>
      <c r="AI731" s="2475"/>
      <c r="AJ731" s="2475"/>
      <c r="AK731" s="2475"/>
      <c r="AL731" s="2475"/>
      <c r="AM731" s="1226"/>
      <c r="AN731" s="1212"/>
      <c r="AO731" s="1210"/>
      <c r="AP731" s="1211"/>
    </row>
    <row r="732" spans="1:81" s="1213" customFormat="1">
      <c r="A732" s="1226"/>
      <c r="C732" s="1493"/>
      <c r="D732" s="1285"/>
      <c r="E732" s="2474"/>
      <c r="F732" s="2474"/>
      <c r="G732" s="2474"/>
      <c r="H732" s="2474"/>
      <c r="I732" s="2474"/>
      <c r="J732" s="2474"/>
      <c r="K732" s="2474"/>
      <c r="L732" s="2474"/>
      <c r="M732" s="2474"/>
      <c r="N732" s="2474"/>
      <c r="O732" s="2474"/>
      <c r="P732" s="2474"/>
      <c r="Q732" s="2474"/>
      <c r="R732" s="2474"/>
      <c r="S732" s="2474"/>
      <c r="T732" s="2474"/>
      <c r="U732" s="2474"/>
      <c r="V732" s="2474"/>
      <c r="W732" s="2474"/>
      <c r="X732" s="2474"/>
      <c r="Y732" s="2474"/>
      <c r="Z732" s="2474"/>
      <c r="AA732" s="2474"/>
      <c r="AB732" s="1242"/>
      <c r="AF732" s="1557"/>
      <c r="AG732" s="1557"/>
      <c r="AH732" s="1557"/>
      <c r="AI732" s="1557"/>
      <c r="AJ732" s="1557"/>
      <c r="AK732" s="1557"/>
      <c r="AL732" s="1557"/>
      <c r="AM732" s="1226"/>
      <c r="AN732" s="1212"/>
      <c r="AO732" s="1210"/>
      <c r="AP732" s="1211"/>
    </row>
    <row r="733" spans="1:81" s="1213" customFormat="1">
      <c r="A733" s="1226"/>
      <c r="C733" s="1493"/>
      <c r="E733" s="2474"/>
      <c r="F733" s="2474"/>
      <c r="G733" s="2474"/>
      <c r="H733" s="2474"/>
      <c r="I733" s="2474"/>
      <c r="J733" s="2474"/>
      <c r="K733" s="2474"/>
      <c r="L733" s="2474"/>
      <c r="M733" s="2474"/>
      <c r="N733" s="2474"/>
      <c r="O733" s="2474"/>
      <c r="P733" s="2474"/>
      <c r="Q733" s="2474"/>
      <c r="R733" s="2474"/>
      <c r="S733" s="2474"/>
      <c r="T733" s="2474"/>
      <c r="U733" s="2474"/>
      <c r="V733" s="2474"/>
      <c r="W733" s="2474"/>
      <c r="X733" s="2474"/>
      <c r="Y733" s="2474"/>
      <c r="Z733" s="2474"/>
      <c r="AA733" s="2474"/>
      <c r="AB733" s="1242"/>
      <c r="AC733" s="1557"/>
      <c r="AD733" s="1557"/>
      <c r="AE733" s="1557"/>
      <c r="AF733" s="1557"/>
      <c r="AG733" s="1557"/>
      <c r="AH733" s="1557"/>
      <c r="AI733" s="1557"/>
      <c r="AM733" s="1226"/>
      <c r="AN733" s="1212"/>
      <c r="AO733" s="1210"/>
      <c r="AP733" s="1211"/>
    </row>
    <row r="734" spans="1:81" s="1213" customFormat="1">
      <c r="A734" s="1226"/>
      <c r="C734" s="1493"/>
      <c r="E734" s="2474"/>
      <c r="F734" s="2474"/>
      <c r="G734" s="2474"/>
      <c r="H734" s="2474"/>
      <c r="I734" s="2474"/>
      <c r="J734" s="2474"/>
      <c r="K734" s="2474"/>
      <c r="L734" s="2474"/>
      <c r="M734" s="2474"/>
      <c r="N734" s="2474"/>
      <c r="O734" s="2474"/>
      <c r="P734" s="2474"/>
      <c r="Q734" s="2474"/>
      <c r="R734" s="2474"/>
      <c r="S734" s="2474"/>
      <c r="T734" s="2474"/>
      <c r="U734" s="2474"/>
      <c r="V734" s="2474"/>
      <c r="W734" s="2474"/>
      <c r="X734" s="2474"/>
      <c r="Y734" s="2474"/>
      <c r="Z734" s="2474"/>
      <c r="AA734" s="2474"/>
      <c r="AB734" s="1242"/>
      <c r="AC734" s="1557"/>
      <c r="AD734" s="1557"/>
      <c r="AE734" s="1557"/>
      <c r="AF734" s="1557"/>
      <c r="AG734" s="1557"/>
      <c r="AH734" s="1557"/>
      <c r="AI734" s="1557"/>
      <c r="AM734" s="1226"/>
      <c r="AN734" s="1212"/>
      <c r="AO734" s="1210"/>
      <c r="AP734" s="1211"/>
    </row>
    <row r="735" spans="1:81" s="1213" customFormat="1">
      <c r="A735" s="1226"/>
      <c r="C735" s="1493"/>
      <c r="E735" s="1263"/>
      <c r="F735" s="1263"/>
      <c r="G735" s="1263"/>
      <c r="H735" s="1263"/>
      <c r="I735" s="1263"/>
      <c r="J735" s="1263"/>
      <c r="K735" s="1263"/>
      <c r="L735" s="1263"/>
      <c r="M735" s="1263"/>
      <c r="N735" s="1263"/>
      <c r="O735" s="1263"/>
      <c r="P735" s="1263"/>
      <c r="Q735" s="1263"/>
      <c r="R735" s="1263"/>
      <c r="S735" s="1263"/>
      <c r="T735" s="1263"/>
      <c r="U735" s="1263"/>
      <c r="V735" s="1263"/>
      <c r="W735" s="1263"/>
      <c r="X735" s="1263"/>
      <c r="Y735" s="1263"/>
      <c r="Z735" s="1263"/>
      <c r="AA735" s="1263"/>
      <c r="AB735" s="1263"/>
      <c r="AC735" s="1557"/>
      <c r="AD735" s="1557"/>
      <c r="AE735" s="1557"/>
      <c r="AF735" s="1557"/>
      <c r="AG735" s="1557"/>
      <c r="AH735" s="1557"/>
      <c r="AI735" s="1557"/>
      <c r="AM735" s="1226"/>
      <c r="AN735" s="1212"/>
    </row>
    <row r="736" spans="1:81" s="1213" customFormat="1" ht="12.75" customHeight="1">
      <c r="A736" s="1226"/>
      <c r="C736" s="1493"/>
      <c r="D736" s="1213" t="s">
        <v>1590</v>
      </c>
      <c r="E736" s="1559"/>
      <c r="F736" s="1559"/>
      <c r="G736" s="1559"/>
      <c r="H736" s="2476" t="s">
        <v>615</v>
      </c>
      <c r="I736" s="2476"/>
      <c r="J736" s="1263"/>
      <c r="K736" s="1263"/>
      <c r="L736" s="1263"/>
      <c r="M736" s="1263"/>
      <c r="N736" s="1263"/>
      <c r="O736" s="1263"/>
      <c r="P736" s="1263"/>
      <c r="Q736" s="1263"/>
      <c r="R736" s="1263"/>
      <c r="S736" s="1263"/>
      <c r="T736" s="1263"/>
      <c r="U736" s="1263"/>
      <c r="V736" s="1263"/>
      <c r="W736" s="1263"/>
      <c r="X736" s="1263"/>
      <c r="Y736" s="1263"/>
      <c r="Z736" s="1263"/>
      <c r="AA736" s="1263"/>
      <c r="AB736" s="1263"/>
      <c r="AC736" s="1557"/>
      <c r="AD736" s="1557"/>
      <c r="AE736" s="1557"/>
      <c r="AF736" s="1557"/>
      <c r="AG736" s="1557"/>
      <c r="AH736" s="1557"/>
      <c r="AI736" s="1557"/>
      <c r="AM736" s="1226"/>
      <c r="AN736" s="1212"/>
    </row>
    <row r="737" spans="1:74" s="1213" customFormat="1" ht="12.75" customHeight="1">
      <c r="A737" s="1226"/>
      <c r="C737" s="1493"/>
      <c r="E737" s="1263"/>
      <c r="F737" s="1263"/>
      <c r="G737" s="1263"/>
      <c r="H737" s="1263"/>
      <c r="I737" s="1263"/>
      <c r="J737" s="1263"/>
      <c r="K737" s="1263"/>
      <c r="L737" s="1263"/>
      <c r="M737" s="1263"/>
      <c r="N737" s="1263"/>
      <c r="O737" s="1263"/>
      <c r="P737" s="1263"/>
      <c r="Q737" s="1263"/>
      <c r="R737" s="1263"/>
      <c r="S737" s="1263"/>
      <c r="T737" s="1263"/>
      <c r="U737" s="1263"/>
      <c r="V737" s="1263"/>
      <c r="W737" s="1263"/>
      <c r="X737" s="1263"/>
      <c r="Y737" s="1263"/>
      <c r="Z737" s="1263"/>
      <c r="AA737" s="1263"/>
      <c r="AB737" s="1263"/>
      <c r="AC737" s="1557"/>
      <c r="AD737" s="1557"/>
      <c r="AE737" s="1557"/>
      <c r="AF737" s="1557"/>
      <c r="AG737" s="1557"/>
      <c r="AH737" s="1557"/>
      <c r="AI737" s="1557"/>
      <c r="AM737" s="1226"/>
      <c r="AN737" s="1209"/>
      <c r="AO737" s="1210"/>
      <c r="AP737" s="1211"/>
      <c r="AQ737" s="1211"/>
      <c r="AR737" s="1211"/>
      <c r="AS737" s="1211"/>
      <c r="AT737" s="1211"/>
      <c r="AU737" s="1211"/>
      <c r="AV737" s="1211"/>
      <c r="AW737" s="1211"/>
      <c r="AX737" s="1211"/>
      <c r="AY737" s="1211"/>
      <c r="AZ737" s="1211"/>
      <c r="BA737" s="1211"/>
      <c r="BB737" s="1211"/>
      <c r="BC737" s="1211"/>
      <c r="BD737" s="1329"/>
      <c r="BE737" s="1329"/>
      <c r="BF737" s="1329"/>
      <c r="BG737" s="1329"/>
      <c r="BH737" s="1329"/>
      <c r="BI737" s="1211"/>
      <c r="BJ737" s="1211"/>
      <c r="BK737" s="1211"/>
      <c r="BL737" s="1211"/>
      <c r="BM737" s="1211"/>
      <c r="BN737" s="1211"/>
      <c r="BO737" s="1211"/>
      <c r="BP737" s="1211"/>
      <c r="BQ737" s="1211"/>
      <c r="BR737" s="1211"/>
      <c r="BS737" s="1211"/>
      <c r="BT737" s="1211"/>
      <c r="BU737" s="1211"/>
      <c r="BV737" s="1211"/>
    </row>
    <row r="738" spans="1:74" s="1213" customFormat="1">
      <c r="A738" s="1269"/>
      <c r="B738" s="1261"/>
      <c r="C738" s="1512"/>
      <c r="D738" s="1261"/>
      <c r="E738" s="1524"/>
      <c r="F738" s="1524"/>
      <c r="G738" s="1524"/>
      <c r="H738" s="1524"/>
      <c r="I738" s="1524"/>
      <c r="J738" s="1524"/>
      <c r="K738" s="1524"/>
      <c r="L738" s="1524"/>
      <c r="M738" s="1524"/>
      <c r="N738" s="1524"/>
      <c r="O738" s="1524"/>
      <c r="P738" s="1524"/>
      <c r="Q738" s="1524"/>
      <c r="R738" s="1524"/>
      <c r="S738" s="1524"/>
      <c r="T738" s="1524"/>
      <c r="U738" s="1524"/>
      <c r="V738" s="1524"/>
      <c r="W738" s="1524"/>
      <c r="X738" s="1524"/>
      <c r="Y738" s="1524"/>
      <c r="Z738" s="1524"/>
      <c r="AA738" s="1524"/>
      <c r="AB738" s="1525"/>
      <c r="AC738" s="1525"/>
      <c r="AD738" s="1525"/>
      <c r="AE738" s="1525"/>
      <c r="AF738" s="1525"/>
      <c r="AG738" s="1525"/>
      <c r="AH738" s="1261"/>
      <c r="AI738" s="1233" t="s">
        <v>1638</v>
      </c>
      <c r="AJ738" s="2454">
        <f>VLOOKUP($H$736,$AO$669:$AP$671,2,FALSE)</f>
        <v>0</v>
      </c>
      <c r="AK738" s="2456"/>
      <c r="AL738" s="1566"/>
      <c r="AM738" s="1226"/>
      <c r="AN738" s="1209"/>
      <c r="AO738" s="1210"/>
      <c r="AP738" s="1211"/>
      <c r="AQ738" s="1211"/>
      <c r="AR738" s="1211"/>
      <c r="AS738" s="1211"/>
      <c r="AT738" s="1211"/>
      <c r="AU738" s="1211"/>
      <c r="AV738" s="1211"/>
      <c r="AW738" s="1211"/>
      <c r="AX738" s="1211"/>
      <c r="AY738" s="1211"/>
      <c r="AZ738" s="1211"/>
      <c r="BA738" s="1211"/>
      <c r="BB738" s="1211"/>
      <c r="BC738" s="1211"/>
      <c r="BD738" s="1329"/>
      <c r="BE738" s="1329"/>
      <c r="BF738" s="1329"/>
      <c r="BG738" s="1329"/>
      <c r="BH738" s="1329"/>
      <c r="BI738" s="1211"/>
      <c r="BJ738" s="1211"/>
      <c r="BK738" s="1211"/>
      <c r="BL738" s="1211"/>
      <c r="BM738" s="1211"/>
      <c r="BN738" s="1211"/>
      <c r="BO738" s="1211"/>
      <c r="BP738" s="1211"/>
      <c r="BQ738" s="1211"/>
      <c r="BR738" s="1211"/>
      <c r="BS738" s="1211"/>
      <c r="BT738" s="1211"/>
      <c r="BU738" s="1211"/>
      <c r="BV738" s="1211"/>
    </row>
    <row r="739" spans="1:74" s="1213" customFormat="1" ht="12.75" customHeight="1">
      <c r="A739" s="1339"/>
      <c r="C739" s="1495"/>
      <c r="J739" s="1263"/>
      <c r="K739" s="1263"/>
      <c r="L739" s="1556"/>
      <c r="M739" s="1556"/>
      <c r="N739" s="1556"/>
      <c r="O739" s="1556"/>
      <c r="P739" s="1556"/>
      <c r="Q739" s="1556"/>
      <c r="R739" s="1556"/>
      <c r="S739" s="1556"/>
      <c r="T739" s="1556"/>
      <c r="U739" s="1556"/>
      <c r="V739" s="1278"/>
      <c r="W739" s="1278"/>
      <c r="X739" s="1278"/>
      <c r="Y739" s="1278"/>
      <c r="Z739" s="1559"/>
      <c r="AA739" s="1559"/>
      <c r="AB739" s="1559"/>
      <c r="AM739" s="1226"/>
      <c r="AN739" s="1209"/>
      <c r="AO739" s="1210"/>
      <c r="AP739" s="1211"/>
      <c r="AQ739" s="1211"/>
      <c r="AR739" s="1211"/>
      <c r="AS739" s="1211"/>
      <c r="AT739" s="1211"/>
      <c r="AU739" s="1211"/>
      <c r="AV739" s="1211"/>
      <c r="AW739" s="1211"/>
      <c r="AX739" s="1211"/>
      <c r="AY739" s="1211"/>
      <c r="AZ739" s="1211"/>
      <c r="BA739" s="1211"/>
      <c r="BB739" s="1211"/>
      <c r="BC739" s="1211"/>
      <c r="BD739" s="1329"/>
      <c r="BE739" s="1329"/>
      <c r="BF739" s="1329"/>
      <c r="BG739" s="1329"/>
      <c r="BH739" s="1329"/>
      <c r="BI739" s="1211"/>
      <c r="BJ739" s="1211"/>
      <c r="BK739" s="1211"/>
      <c r="BL739" s="1211"/>
      <c r="BM739" s="1211"/>
      <c r="BN739" s="1211"/>
      <c r="BO739" s="1211"/>
      <c r="BP739" s="1211"/>
      <c r="BQ739" s="1211"/>
      <c r="BR739" s="1211"/>
      <c r="BS739" s="1211"/>
      <c r="BT739" s="1211"/>
      <c r="BU739" s="1211"/>
      <c r="BV739" s="1211"/>
    </row>
    <row r="740" spans="1:74" s="1213" customFormat="1">
      <c r="A740" s="1226"/>
      <c r="C740" s="1575" t="s">
        <v>1628</v>
      </c>
      <c r="D740" s="1278"/>
      <c r="AM740" s="1226"/>
      <c r="AN740" s="1209"/>
      <c r="AO740" s="1210"/>
      <c r="AP740" s="1211"/>
      <c r="AQ740" s="1211"/>
      <c r="AR740" s="1211"/>
      <c r="AS740" s="1211"/>
      <c r="AT740" s="1211"/>
      <c r="AU740" s="1211"/>
      <c r="AV740" s="1211"/>
      <c r="AW740" s="1211"/>
      <c r="AX740" s="1211"/>
      <c r="AY740" s="1211"/>
      <c r="AZ740" s="1211"/>
      <c r="BA740" s="1211"/>
      <c r="BB740" s="1211"/>
      <c r="BC740" s="1211"/>
      <c r="BD740" s="1329"/>
      <c r="BE740" s="1329"/>
      <c r="BF740" s="1329"/>
      <c r="BG740" s="1329"/>
      <c r="BH740" s="1329"/>
      <c r="BI740" s="1211"/>
      <c r="BJ740" s="1211"/>
      <c r="BK740" s="1211"/>
      <c r="BL740" s="1211"/>
      <c r="BM740" s="1211"/>
      <c r="BN740" s="1211"/>
      <c r="BO740" s="1211"/>
      <c r="BP740" s="1211"/>
      <c r="BQ740" s="1211"/>
      <c r="BR740" s="1211"/>
      <c r="BS740" s="1211"/>
      <c r="BT740" s="1211"/>
      <c r="BU740" s="1211"/>
      <c r="BV740" s="1211"/>
    </row>
    <row r="741" spans="1:74" s="1213" customFormat="1">
      <c r="A741" s="1226"/>
      <c r="B741" s="1278"/>
      <c r="E741" s="1278"/>
      <c r="F741" s="1278"/>
      <c r="G741" s="1278"/>
      <c r="H741" s="1278"/>
      <c r="I741" s="1278"/>
      <c r="J741" s="1278"/>
      <c r="K741" s="1278"/>
      <c r="L741" s="1278"/>
      <c r="M741" s="1278"/>
      <c r="N741" s="1278"/>
      <c r="O741" s="1278"/>
      <c r="P741" s="1278"/>
      <c r="Q741" s="1278"/>
      <c r="R741" s="1278"/>
      <c r="S741" s="1278"/>
      <c r="T741" s="1278"/>
      <c r="U741" s="1278"/>
      <c r="V741" s="1278"/>
      <c r="W741" s="1278"/>
      <c r="X741" s="1278"/>
      <c r="Y741" s="1278"/>
      <c r="Z741" s="1278"/>
      <c r="AA741" s="1278"/>
      <c r="AB741" s="1278"/>
      <c r="AC741" s="1278"/>
      <c r="AD741" s="1278"/>
      <c r="AE741" s="1278"/>
      <c r="AF741" s="1278"/>
      <c r="AG741" s="1278"/>
      <c r="AH741" s="1278"/>
      <c r="AM741" s="1226"/>
      <c r="AN741" s="1209"/>
      <c r="AO741" s="1210"/>
      <c r="AP741" s="1211"/>
      <c r="AQ741" s="1211"/>
      <c r="AR741" s="1211"/>
      <c r="AS741" s="1211"/>
      <c r="AT741" s="1211"/>
      <c r="AU741" s="1211"/>
      <c r="AV741" s="1211"/>
      <c r="AW741" s="1211"/>
      <c r="AX741" s="1211"/>
      <c r="AY741" s="1211"/>
      <c r="AZ741" s="1211"/>
      <c r="BA741" s="1211"/>
      <c r="BB741" s="1211"/>
      <c r="BC741" s="1211"/>
      <c r="BD741" s="1329"/>
      <c r="BE741" s="1329"/>
      <c r="BF741" s="1329"/>
      <c r="BG741" s="1329"/>
      <c r="BH741" s="1329"/>
      <c r="BI741" s="1211"/>
      <c r="BJ741" s="1211"/>
      <c r="BK741" s="1211"/>
      <c r="BL741" s="1211"/>
      <c r="BM741" s="1211"/>
      <c r="BN741" s="1211"/>
      <c r="BO741" s="1211"/>
      <c r="BP741" s="1211"/>
      <c r="BQ741" s="1211"/>
      <c r="BR741" s="1211"/>
      <c r="BS741" s="1211"/>
      <c r="BT741" s="1211"/>
      <c r="BU741" s="1211"/>
      <c r="BV741" s="1211"/>
    </row>
    <row r="742" spans="1:74" s="1213" customFormat="1">
      <c r="A742" s="1226"/>
      <c r="C742" s="1493"/>
      <c r="D742" s="1285" t="s">
        <v>712</v>
      </c>
      <c r="E742" s="2474" t="s">
        <v>1639</v>
      </c>
      <c r="F742" s="2474"/>
      <c r="G742" s="2474"/>
      <c r="H742" s="2474"/>
      <c r="I742" s="2474"/>
      <c r="J742" s="2474"/>
      <c r="K742" s="2474"/>
      <c r="L742" s="2474"/>
      <c r="M742" s="2474"/>
      <c r="N742" s="2474"/>
      <c r="O742" s="2474"/>
      <c r="P742" s="2474"/>
      <c r="Q742" s="2474"/>
      <c r="R742" s="2474"/>
      <c r="S742" s="2474"/>
      <c r="T742" s="2474"/>
      <c r="U742" s="2474"/>
      <c r="V742" s="2474"/>
      <c r="W742" s="2474"/>
      <c r="X742" s="2474"/>
      <c r="Y742" s="2474"/>
      <c r="Z742" s="2474"/>
      <c r="AA742" s="2474"/>
      <c r="AB742" s="2474"/>
      <c r="AF742" s="2475" t="s">
        <v>1598</v>
      </c>
      <c r="AG742" s="2475"/>
      <c r="AH742" s="2475"/>
      <c r="AI742" s="2475"/>
      <c r="AJ742" s="2475"/>
      <c r="AK742" s="2475"/>
      <c r="AL742" s="2475"/>
      <c r="AM742" s="1226"/>
      <c r="AN742" s="1209"/>
      <c r="AO742" s="1210"/>
      <c r="AP742" s="1211"/>
      <c r="AQ742" s="1211"/>
      <c r="AR742" s="1211"/>
      <c r="AS742" s="1211"/>
      <c r="AT742" s="1211"/>
      <c r="AU742" s="1211"/>
      <c r="AV742" s="1211"/>
      <c r="AW742" s="1211"/>
      <c r="AX742" s="1211"/>
      <c r="AY742" s="1211"/>
      <c r="AZ742" s="1211"/>
      <c r="BA742" s="1211"/>
      <c r="BB742" s="1211"/>
      <c r="BC742" s="1211"/>
      <c r="BD742" s="1329"/>
      <c r="BE742" s="1329"/>
      <c r="BF742" s="1329"/>
      <c r="BG742" s="1329"/>
      <c r="BH742" s="1329"/>
      <c r="BI742" s="1211"/>
      <c r="BJ742" s="1211"/>
      <c r="BK742" s="1211"/>
      <c r="BL742" s="1211"/>
      <c r="BM742" s="1211"/>
      <c r="BN742" s="1211"/>
      <c r="BO742" s="1211"/>
      <c r="BP742" s="1211"/>
      <c r="BQ742" s="1211"/>
      <c r="BR742" s="1211"/>
      <c r="BS742" s="1211"/>
      <c r="BT742" s="1211"/>
      <c r="BU742" s="1211"/>
      <c r="BV742" s="1211"/>
    </row>
    <row r="743" spans="1:74" s="1213" customFormat="1">
      <c r="A743" s="1226"/>
      <c r="C743" s="1495"/>
      <c r="D743" s="1285"/>
      <c r="E743" s="2474"/>
      <c r="F743" s="2474"/>
      <c r="G743" s="2474"/>
      <c r="H743" s="2474"/>
      <c r="I743" s="2474"/>
      <c r="J743" s="2474"/>
      <c r="K743" s="2474"/>
      <c r="L743" s="2474"/>
      <c r="M743" s="2474"/>
      <c r="N743" s="2474"/>
      <c r="O743" s="2474"/>
      <c r="P743" s="2474"/>
      <c r="Q743" s="2474"/>
      <c r="R743" s="2474"/>
      <c r="S743" s="2474"/>
      <c r="T743" s="2474"/>
      <c r="U743" s="2474"/>
      <c r="V743" s="2474"/>
      <c r="W743" s="2474"/>
      <c r="X743" s="2474"/>
      <c r="Y743" s="2474"/>
      <c r="Z743" s="2474"/>
      <c r="AA743" s="2474"/>
      <c r="AB743" s="2474"/>
      <c r="AM743" s="1226"/>
      <c r="AN743" s="1209"/>
      <c r="AO743" s="1210"/>
      <c r="AP743" s="1211"/>
      <c r="AQ743" s="1211"/>
      <c r="AR743" s="1211"/>
      <c r="AS743" s="1211"/>
      <c r="AT743" s="1211"/>
      <c r="AU743" s="1211"/>
      <c r="AV743" s="1211"/>
      <c r="AW743" s="1211"/>
      <c r="AX743" s="1211"/>
      <c r="AY743" s="1211"/>
      <c r="AZ743" s="1211"/>
      <c r="BA743" s="1211"/>
      <c r="BB743" s="1211"/>
      <c r="BC743" s="1211"/>
      <c r="BD743" s="1329"/>
      <c r="BE743" s="1329"/>
      <c r="BF743" s="1329"/>
      <c r="BG743" s="1329"/>
      <c r="BH743" s="1329"/>
      <c r="BI743" s="1211"/>
      <c r="BJ743" s="1211"/>
      <c r="BK743" s="1211"/>
      <c r="BL743" s="1211"/>
      <c r="BM743" s="1211"/>
      <c r="BN743" s="1211"/>
      <c r="BO743" s="1211"/>
      <c r="BP743" s="1211"/>
      <c r="BQ743" s="1211"/>
      <c r="BR743" s="1211"/>
      <c r="BS743" s="1211"/>
      <c r="BT743" s="1211"/>
      <c r="BU743" s="1211"/>
      <c r="BV743" s="1211"/>
    </row>
    <row r="744" spans="1:74" s="1213" customFormat="1">
      <c r="A744" s="1226"/>
      <c r="B744" s="1278"/>
      <c r="C744" s="1505"/>
      <c r="D744" s="1285"/>
      <c r="E744" s="1278"/>
      <c r="F744" s="1278"/>
      <c r="G744" s="1278"/>
      <c r="H744" s="1278"/>
      <c r="I744" s="1278"/>
      <c r="J744" s="1278"/>
      <c r="K744" s="1278"/>
      <c r="L744" s="1278"/>
      <c r="M744" s="1278"/>
      <c r="N744" s="1278"/>
      <c r="O744" s="1278"/>
      <c r="P744" s="1278"/>
      <c r="Q744" s="1278"/>
      <c r="R744" s="1278"/>
      <c r="S744" s="1278"/>
      <c r="T744" s="1278"/>
      <c r="U744" s="1278"/>
      <c r="V744" s="1278"/>
      <c r="W744" s="1278"/>
      <c r="X744" s="1278"/>
      <c r="Y744" s="1278"/>
      <c r="Z744" s="1278"/>
      <c r="AA744" s="1278"/>
      <c r="AB744" s="1278"/>
      <c r="AE744" s="1278"/>
      <c r="AF744" s="1278"/>
      <c r="AG744" s="1278"/>
      <c r="AH744" s="1278"/>
      <c r="AI744" s="1278"/>
      <c r="AJ744" s="1278"/>
      <c r="AM744" s="1226"/>
      <c r="AN744" s="1209"/>
      <c r="AO744" s="1210"/>
      <c r="AP744" s="1211"/>
      <c r="AQ744" s="1211"/>
      <c r="AR744" s="1211"/>
      <c r="AS744" s="1211"/>
      <c r="AT744" s="1211"/>
      <c r="AU744" s="1211"/>
      <c r="AV744" s="1211"/>
      <c r="AW744" s="1211"/>
      <c r="AX744" s="1211"/>
      <c r="AY744" s="1211"/>
      <c r="AZ744" s="1211"/>
      <c r="BA744" s="1211"/>
      <c r="BB744" s="1211"/>
      <c r="BC744" s="1211"/>
      <c r="BD744" s="1329"/>
      <c r="BE744" s="1329"/>
      <c r="BF744" s="1329"/>
      <c r="BG744" s="1329"/>
      <c r="BH744" s="1329"/>
      <c r="BI744" s="1211"/>
      <c r="BJ744" s="1211"/>
      <c r="BK744" s="1211"/>
      <c r="BL744" s="1211"/>
      <c r="BM744" s="1211"/>
      <c r="BN744" s="1211"/>
      <c r="BO744" s="1211"/>
      <c r="BP744" s="1211"/>
      <c r="BQ744" s="1211"/>
      <c r="BR744" s="1211"/>
      <c r="BS744" s="1211"/>
      <c r="BT744" s="1211"/>
      <c r="BU744" s="1211"/>
      <c r="BV744" s="1211"/>
    </row>
    <row r="745" spans="1:74" s="1213" customFormat="1">
      <c r="A745" s="1339"/>
      <c r="C745" s="1493"/>
      <c r="D745" s="1285" t="s">
        <v>532</v>
      </c>
      <c r="E745" s="2474" t="s">
        <v>1640</v>
      </c>
      <c r="F745" s="2474"/>
      <c r="G745" s="2474"/>
      <c r="H745" s="2474"/>
      <c r="I745" s="2474"/>
      <c r="J745" s="2474"/>
      <c r="K745" s="2474"/>
      <c r="L745" s="2474"/>
      <c r="M745" s="2474"/>
      <c r="N745" s="2474"/>
      <c r="O745" s="2474"/>
      <c r="P745" s="2474"/>
      <c r="Q745" s="2474"/>
      <c r="R745" s="2474"/>
      <c r="S745" s="2474"/>
      <c r="T745" s="2474"/>
      <c r="U745" s="2474"/>
      <c r="V745" s="2474"/>
      <c r="W745" s="2474"/>
      <c r="X745" s="2474"/>
      <c r="Y745" s="2474"/>
      <c r="Z745" s="2474"/>
      <c r="AA745" s="2474"/>
      <c r="AB745" s="2474"/>
      <c r="AF745" s="2475" t="s">
        <v>1617</v>
      </c>
      <c r="AG745" s="2475"/>
      <c r="AH745" s="2475"/>
      <c r="AI745" s="2475"/>
      <c r="AJ745" s="2475"/>
      <c r="AK745" s="2475"/>
      <c r="AL745" s="2475"/>
      <c r="AM745" s="1226"/>
      <c r="AN745" s="1209"/>
      <c r="AO745" s="1210"/>
      <c r="AP745" s="1211"/>
      <c r="AQ745" s="1211"/>
      <c r="AR745" s="1211"/>
      <c r="AS745" s="1211"/>
      <c r="AT745" s="1211"/>
      <c r="AU745" s="1211"/>
      <c r="AV745" s="1211"/>
      <c r="AW745" s="1211"/>
      <c r="AX745" s="1211"/>
      <c r="AY745" s="1211"/>
      <c r="AZ745" s="1211"/>
      <c r="BA745" s="1211"/>
      <c r="BB745" s="1211"/>
      <c r="BC745" s="1211"/>
      <c r="BD745" s="1329"/>
      <c r="BE745" s="1329"/>
      <c r="BF745" s="1329"/>
      <c r="BG745" s="1329"/>
      <c r="BH745" s="1329"/>
      <c r="BI745" s="1211"/>
      <c r="BJ745" s="1211"/>
      <c r="BK745" s="1211"/>
      <c r="BL745" s="1211"/>
      <c r="BM745" s="1211"/>
      <c r="BN745" s="1211"/>
      <c r="BO745" s="1211"/>
      <c r="BP745" s="1211"/>
      <c r="BQ745" s="1211"/>
      <c r="BR745" s="1211"/>
      <c r="BS745" s="1211"/>
      <c r="BT745" s="1211"/>
      <c r="BU745" s="1211"/>
      <c r="BV745" s="1211"/>
    </row>
    <row r="746" spans="1:74" s="1213" customFormat="1" ht="12.75" customHeight="1">
      <c r="A746" s="1339"/>
      <c r="C746" s="1493"/>
      <c r="D746" s="1285"/>
      <c r="E746" s="2474"/>
      <c r="F746" s="2474"/>
      <c r="G746" s="2474"/>
      <c r="H746" s="2474"/>
      <c r="I746" s="2474"/>
      <c r="J746" s="2474"/>
      <c r="K746" s="2474"/>
      <c r="L746" s="2474"/>
      <c r="M746" s="2474"/>
      <c r="N746" s="2474"/>
      <c r="O746" s="2474"/>
      <c r="P746" s="2474"/>
      <c r="Q746" s="2474"/>
      <c r="R746" s="2474"/>
      <c r="S746" s="2474"/>
      <c r="T746" s="2474"/>
      <c r="U746" s="2474"/>
      <c r="V746" s="2474"/>
      <c r="W746" s="2474"/>
      <c r="X746" s="2474"/>
      <c r="Y746" s="2474"/>
      <c r="Z746" s="2474"/>
      <c r="AA746" s="2474"/>
      <c r="AB746" s="2474"/>
      <c r="AE746" s="1557"/>
      <c r="AM746" s="1226"/>
      <c r="AN746" s="1209"/>
      <c r="AO746" s="1210"/>
      <c r="AP746" s="1211"/>
      <c r="AQ746" s="1211"/>
      <c r="AR746" s="1211"/>
      <c r="AS746" s="1211"/>
      <c r="AT746" s="1211"/>
      <c r="AU746" s="1211"/>
      <c r="AV746" s="1211"/>
      <c r="AW746" s="1211"/>
      <c r="AX746" s="1211"/>
      <c r="AY746" s="1211"/>
      <c r="AZ746" s="1211"/>
      <c r="BA746" s="1211"/>
      <c r="BB746" s="1211"/>
      <c r="BC746" s="1211"/>
      <c r="BD746" s="1329"/>
      <c r="BE746" s="1329"/>
      <c r="BF746" s="1329"/>
      <c r="BG746" s="1329"/>
      <c r="BH746" s="1329"/>
      <c r="BI746" s="1211"/>
      <c r="BJ746" s="1211"/>
      <c r="BK746" s="1211"/>
      <c r="BL746" s="1211"/>
      <c r="BM746" s="1211"/>
      <c r="BN746" s="1211"/>
      <c r="BO746" s="1211"/>
      <c r="BP746" s="1211"/>
      <c r="BQ746" s="1211"/>
      <c r="BR746" s="1211"/>
      <c r="BS746" s="1211"/>
      <c r="BT746" s="1211"/>
      <c r="BU746" s="1211"/>
      <c r="BV746" s="1211"/>
    </row>
    <row r="747" spans="1:74" s="1213" customFormat="1">
      <c r="A747" s="1226"/>
      <c r="C747" s="1495"/>
      <c r="E747" s="1556"/>
      <c r="F747" s="1556"/>
      <c r="G747" s="1556"/>
      <c r="H747" s="1556"/>
      <c r="I747" s="1556"/>
      <c r="J747" s="1556"/>
      <c r="K747" s="1556"/>
      <c r="L747" s="1556"/>
      <c r="M747" s="1556"/>
      <c r="N747" s="1556"/>
      <c r="O747" s="1556"/>
      <c r="P747" s="1556"/>
      <c r="Q747" s="1556"/>
      <c r="R747" s="1556"/>
      <c r="S747" s="1556"/>
      <c r="T747" s="1556"/>
      <c r="U747" s="1556"/>
      <c r="V747" s="1556"/>
      <c r="W747" s="1556"/>
      <c r="X747" s="1556"/>
      <c r="Y747" s="1556"/>
      <c r="Z747" s="1556"/>
      <c r="AA747" s="1556"/>
      <c r="AB747" s="1556"/>
      <c r="AE747" s="1278"/>
      <c r="AF747" s="1278"/>
      <c r="AG747" s="1278"/>
      <c r="AH747" s="1278"/>
      <c r="AM747" s="1226"/>
      <c r="AN747" s="1209"/>
      <c r="AO747" s="1210"/>
      <c r="AP747" s="1211"/>
      <c r="AQ747" s="1211"/>
      <c r="AR747" s="1211"/>
      <c r="AS747" s="1211"/>
      <c r="AT747" s="1211"/>
      <c r="AU747" s="1211"/>
      <c r="AV747" s="1211"/>
      <c r="AW747" s="1211"/>
      <c r="AX747" s="1211"/>
      <c r="AY747" s="1211"/>
      <c r="AZ747" s="1211"/>
      <c r="BA747" s="1211"/>
      <c r="BB747" s="1211"/>
      <c r="BC747" s="1211"/>
      <c r="BD747" s="1329"/>
      <c r="BE747" s="1329"/>
      <c r="BF747" s="1329"/>
      <c r="BG747" s="1329"/>
      <c r="BH747" s="1329"/>
      <c r="BI747" s="1211"/>
      <c r="BJ747" s="1211"/>
      <c r="BK747" s="1211"/>
      <c r="BL747" s="1211"/>
      <c r="BM747" s="1211"/>
      <c r="BN747" s="1211"/>
      <c r="BO747" s="1211"/>
      <c r="BP747" s="1211"/>
      <c r="BQ747" s="1211"/>
      <c r="BR747" s="1211"/>
      <c r="BS747" s="1211"/>
      <c r="BT747" s="1211"/>
      <c r="BU747" s="1211"/>
      <c r="BV747" s="1211"/>
    </row>
    <row r="748" spans="1:74" s="1213" customFormat="1" ht="12.75" customHeight="1">
      <c r="A748" s="1226"/>
      <c r="D748" s="1213" t="s">
        <v>1590</v>
      </c>
      <c r="E748" s="1559"/>
      <c r="F748" s="1559"/>
      <c r="G748" s="1559"/>
      <c r="H748" s="2476" t="s">
        <v>615</v>
      </c>
      <c r="I748" s="2476"/>
      <c r="J748" s="1556"/>
      <c r="K748" s="1556"/>
      <c r="L748" s="1556"/>
      <c r="M748" s="1556"/>
      <c r="N748" s="1556"/>
      <c r="O748" s="1556"/>
      <c r="P748" s="1556"/>
      <c r="W748" s="1556"/>
      <c r="X748" s="1556"/>
      <c r="Y748" s="1556"/>
      <c r="Z748" s="1556"/>
      <c r="AA748" s="1556"/>
      <c r="AB748" s="1556"/>
      <c r="AE748" s="1278"/>
      <c r="AF748" s="1278"/>
      <c r="AG748" s="1278"/>
      <c r="AH748" s="1278"/>
      <c r="AM748" s="1226"/>
      <c r="AN748" s="1209"/>
      <c r="AO748" s="1210"/>
      <c r="AP748" s="1211"/>
      <c r="AQ748" s="1211"/>
      <c r="AR748" s="1211"/>
      <c r="AS748" s="1211"/>
      <c r="AT748" s="1211"/>
      <c r="AU748" s="1211"/>
      <c r="AV748" s="1211"/>
      <c r="AW748" s="1211"/>
      <c r="AX748" s="1211"/>
      <c r="AY748" s="1211"/>
      <c r="AZ748" s="1211"/>
      <c r="BA748" s="1211"/>
      <c r="BB748" s="1211"/>
      <c r="BC748" s="1211"/>
      <c r="BD748" s="1329"/>
      <c r="BE748" s="1329"/>
      <c r="BF748" s="1329"/>
      <c r="BG748" s="1329"/>
      <c r="BH748" s="1329"/>
      <c r="BI748" s="1211"/>
      <c r="BJ748" s="1211"/>
      <c r="BK748" s="1211"/>
      <c r="BL748" s="1211"/>
      <c r="BM748" s="1211"/>
      <c r="BN748" s="1211"/>
      <c r="BO748" s="1211"/>
      <c r="BP748" s="1211"/>
      <c r="BQ748" s="1211"/>
      <c r="BR748" s="1211"/>
      <c r="BS748" s="1211"/>
      <c r="BT748" s="1211"/>
      <c r="BU748" s="1211"/>
      <c r="BV748" s="1211"/>
    </row>
    <row r="749" spans="1:74" s="1213" customFormat="1" ht="12.75" customHeight="1">
      <c r="A749" s="1226"/>
      <c r="B749" s="1278"/>
      <c r="C749" s="1505"/>
      <c r="D749" s="1278"/>
      <c r="E749" s="1278"/>
      <c r="F749" s="1278"/>
      <c r="G749" s="1278"/>
      <c r="H749" s="1278"/>
      <c r="I749" s="1278"/>
      <c r="J749" s="1278"/>
      <c r="K749" s="1278"/>
      <c r="L749" s="1278"/>
      <c r="M749" s="1278"/>
      <c r="N749" s="1278"/>
      <c r="O749" s="1278"/>
      <c r="P749" s="1278"/>
      <c r="Q749" s="1278"/>
      <c r="R749" s="1278"/>
      <c r="S749" s="1278"/>
      <c r="T749" s="1278"/>
      <c r="U749" s="1278"/>
      <c r="V749" s="1278"/>
      <c r="W749" s="1278"/>
      <c r="X749" s="1278"/>
      <c r="Y749" s="1278"/>
      <c r="Z749" s="1278"/>
      <c r="AA749" s="1278"/>
      <c r="AB749" s="1278"/>
      <c r="AC749" s="1278"/>
      <c r="AD749" s="1278"/>
      <c r="AE749" s="1278"/>
      <c r="AF749" s="1278"/>
      <c r="AG749" s="1278"/>
      <c r="AH749" s="1278"/>
      <c r="AM749" s="1226"/>
      <c r="AN749" s="1209"/>
      <c r="AO749" s="1210"/>
      <c r="AP749" s="1211"/>
      <c r="AQ749" s="1211"/>
      <c r="AR749" s="1211"/>
      <c r="AS749" s="1211"/>
      <c r="AT749" s="1211"/>
      <c r="AU749" s="1211"/>
      <c r="AV749" s="1211"/>
      <c r="AW749" s="1211"/>
      <c r="AX749" s="1211"/>
      <c r="AY749" s="1211"/>
      <c r="AZ749" s="1211"/>
      <c r="BA749" s="1211"/>
      <c r="BB749" s="1211"/>
      <c r="BC749" s="1211"/>
      <c r="BD749" s="1329"/>
      <c r="BE749" s="1329"/>
      <c r="BF749" s="1329"/>
      <c r="BG749" s="1329"/>
      <c r="BH749" s="1329"/>
      <c r="BI749" s="1211"/>
      <c r="BJ749" s="1211"/>
      <c r="BK749" s="1211"/>
      <c r="BL749" s="1211"/>
      <c r="BM749" s="1211"/>
      <c r="BN749" s="1211"/>
      <c r="BO749" s="1211"/>
      <c r="BP749" s="1211"/>
      <c r="BQ749" s="1211"/>
      <c r="BR749" s="1211"/>
      <c r="BS749" s="1211"/>
      <c r="BT749" s="1211"/>
      <c r="BU749" s="1211"/>
      <c r="BV749" s="1211"/>
    </row>
    <row r="750" spans="1:74" s="1213" customFormat="1" ht="13.95" customHeight="1">
      <c r="A750" s="1269"/>
      <c r="B750" s="1367"/>
      <c r="C750" s="1526"/>
      <c r="D750" s="1367"/>
      <c r="E750" s="1367"/>
      <c r="F750" s="1367"/>
      <c r="G750" s="1367"/>
      <c r="H750" s="1367"/>
      <c r="I750" s="1367"/>
      <c r="J750" s="1367"/>
      <c r="K750" s="1367"/>
      <c r="L750" s="1367"/>
      <c r="M750" s="1367"/>
      <c r="N750" s="1367"/>
      <c r="O750" s="1367"/>
      <c r="P750" s="1367"/>
      <c r="Q750" s="1367"/>
      <c r="R750" s="1367"/>
      <c r="S750" s="1367"/>
      <c r="T750" s="1367"/>
      <c r="U750" s="1367"/>
      <c r="V750" s="1367"/>
      <c r="W750" s="1367"/>
      <c r="X750" s="1367"/>
      <c r="Y750" s="1367"/>
      <c r="Z750" s="1367"/>
      <c r="AA750" s="1367"/>
      <c r="AB750" s="1367"/>
      <c r="AC750" s="1367"/>
      <c r="AD750" s="1367"/>
      <c r="AE750" s="1367"/>
      <c r="AF750" s="1367"/>
      <c r="AG750" s="1367"/>
      <c r="AH750" s="1261"/>
      <c r="AI750" s="1233" t="s">
        <v>1641</v>
      </c>
      <c r="AJ750" s="2454">
        <f>VLOOKUP($H$748,$AO$683:$AP$685,2,FALSE)</f>
        <v>0</v>
      </c>
      <c r="AK750" s="2456"/>
      <c r="AL750" s="1566"/>
      <c r="AM750" s="1226"/>
      <c r="AN750" s="1209"/>
      <c r="AO750" s="1210"/>
      <c r="AP750" s="1211"/>
      <c r="AQ750" s="1211"/>
      <c r="AR750" s="1211"/>
      <c r="AS750" s="1211"/>
      <c r="AT750" s="1211"/>
      <c r="AU750" s="1211"/>
      <c r="AV750" s="1211"/>
      <c r="AW750" s="1211"/>
      <c r="AX750" s="1211"/>
      <c r="AY750" s="1211"/>
      <c r="AZ750" s="1211"/>
      <c r="BA750" s="1211"/>
      <c r="BB750" s="1211"/>
      <c r="BC750" s="1211"/>
      <c r="BD750" s="1329"/>
      <c r="BE750" s="1329"/>
      <c r="BF750" s="1329"/>
      <c r="BG750" s="1329"/>
      <c r="BH750" s="1329"/>
      <c r="BI750" s="1211"/>
      <c r="BJ750" s="1211"/>
      <c r="BK750" s="1211"/>
      <c r="BL750" s="1211"/>
      <c r="BM750" s="1211"/>
      <c r="BN750" s="1211"/>
      <c r="BO750" s="1211"/>
      <c r="BP750" s="1211"/>
      <c r="BQ750" s="1211"/>
      <c r="BR750" s="1211"/>
      <c r="BS750" s="1211"/>
      <c r="BT750" s="1211"/>
      <c r="BU750" s="1211"/>
      <c r="BV750" s="1211"/>
    </row>
    <row r="751" spans="1:74" s="1213" customFormat="1">
      <c r="A751" s="1226"/>
      <c r="B751" s="1278"/>
      <c r="C751" s="1505"/>
      <c r="D751" s="1278"/>
      <c r="E751" s="1278"/>
      <c r="F751" s="1278"/>
      <c r="G751" s="1278"/>
      <c r="H751" s="1278"/>
      <c r="I751" s="1278"/>
      <c r="J751" s="1278"/>
      <c r="K751" s="1278"/>
      <c r="L751" s="1278"/>
      <c r="M751" s="1278"/>
      <c r="N751" s="1278"/>
      <c r="O751" s="1278"/>
      <c r="P751" s="1278"/>
      <c r="Q751" s="1278"/>
      <c r="R751" s="1278"/>
      <c r="S751" s="1278"/>
      <c r="T751" s="1278"/>
      <c r="U751" s="1278"/>
      <c r="V751" s="1278"/>
      <c r="W751" s="1278"/>
      <c r="X751" s="1278"/>
      <c r="Y751" s="1278"/>
      <c r="Z751" s="1278"/>
      <c r="AA751" s="1278"/>
      <c r="AB751" s="1278"/>
      <c r="AC751" s="1278"/>
      <c r="AD751" s="1278"/>
      <c r="AE751" s="1278"/>
      <c r="AF751" s="1278"/>
      <c r="AG751" s="1278"/>
      <c r="AI751" s="1563"/>
      <c r="AJ751" s="1566"/>
      <c r="AK751" s="1566"/>
      <c r="AL751" s="1566"/>
      <c r="AM751" s="1226"/>
      <c r="AN751" s="1209"/>
      <c r="AO751" s="1210"/>
      <c r="AP751" s="1211"/>
      <c r="AQ751" s="1211"/>
      <c r="AR751" s="1211"/>
      <c r="AS751" s="1211"/>
      <c r="AT751" s="1211"/>
      <c r="AU751" s="1211"/>
      <c r="AV751" s="1211"/>
      <c r="AW751" s="1211"/>
      <c r="AX751" s="1211"/>
      <c r="AY751" s="1211"/>
      <c r="AZ751" s="1211"/>
      <c r="BA751" s="1211"/>
      <c r="BB751" s="1211"/>
      <c r="BC751" s="1211"/>
      <c r="BD751" s="1329"/>
      <c r="BE751" s="1329"/>
      <c r="BF751" s="1329"/>
      <c r="BG751" s="1329"/>
      <c r="BH751" s="1329"/>
      <c r="BI751" s="1211"/>
      <c r="BJ751" s="1211"/>
      <c r="BK751" s="1211"/>
      <c r="BL751" s="1211"/>
      <c r="BM751" s="1211"/>
      <c r="BN751" s="1211"/>
      <c r="BO751" s="1211"/>
      <c r="BP751" s="1211"/>
      <c r="BQ751" s="1211"/>
      <c r="BR751" s="1211"/>
      <c r="BS751" s="1211"/>
      <c r="BT751" s="1211"/>
      <c r="BU751" s="1211"/>
      <c r="BV751" s="1211"/>
    </row>
    <row r="752" spans="1:74" s="1213" customFormat="1">
      <c r="A752" s="1226"/>
      <c r="B752" s="1278"/>
      <c r="C752" s="1575" t="s">
        <v>1630</v>
      </c>
      <c r="D752" s="1278"/>
      <c r="E752" s="1278"/>
      <c r="F752" s="1278"/>
      <c r="G752" s="1278"/>
      <c r="H752" s="1278"/>
      <c r="I752" s="1278"/>
      <c r="J752" s="1278"/>
      <c r="K752" s="1278"/>
      <c r="L752" s="1278"/>
      <c r="M752" s="1278"/>
      <c r="N752" s="1278"/>
      <c r="O752" s="1278"/>
      <c r="P752" s="1278"/>
      <c r="Q752" s="1278"/>
      <c r="R752" s="1278"/>
      <c r="S752" s="1278"/>
      <c r="T752" s="1278"/>
      <c r="U752" s="1278"/>
      <c r="V752" s="1278"/>
      <c r="W752" s="1278"/>
      <c r="X752" s="1278"/>
      <c r="Y752" s="1278"/>
      <c r="Z752" s="1278"/>
      <c r="AA752" s="1278"/>
      <c r="AB752" s="1278"/>
      <c r="AC752" s="1278"/>
      <c r="AD752" s="1278"/>
      <c r="AE752" s="1278"/>
      <c r="AF752" s="1278"/>
      <c r="AG752" s="1278"/>
      <c r="AI752" s="1563"/>
      <c r="AJ752" s="1566"/>
      <c r="AK752" s="1566"/>
      <c r="AL752" s="1566"/>
      <c r="AM752" s="1226"/>
      <c r="AN752" s="1209"/>
      <c r="AO752" s="1210"/>
      <c r="AP752" s="1211"/>
      <c r="AQ752" s="1211"/>
      <c r="AR752" s="1211"/>
      <c r="AS752" s="1211"/>
      <c r="AT752" s="1211"/>
      <c r="AU752" s="1211"/>
      <c r="AV752" s="1211"/>
      <c r="AW752" s="1211"/>
      <c r="AX752" s="1211"/>
      <c r="AY752" s="1211"/>
      <c r="AZ752" s="1211"/>
      <c r="BA752" s="1211"/>
      <c r="BB752" s="1211"/>
      <c r="BC752" s="1211"/>
      <c r="BD752" s="1329"/>
      <c r="BE752" s="1329"/>
      <c r="BF752" s="1329"/>
      <c r="BG752" s="1329"/>
      <c r="BH752" s="1329"/>
      <c r="BI752" s="1211"/>
      <c r="BJ752" s="1211"/>
      <c r="BK752" s="1211"/>
      <c r="BL752" s="1211"/>
      <c r="BM752" s="1211"/>
      <c r="BN752" s="1211"/>
      <c r="BO752" s="1211"/>
      <c r="BP752" s="1211"/>
      <c r="BQ752" s="1211"/>
      <c r="BR752" s="1211"/>
      <c r="BS752" s="1211"/>
      <c r="BT752" s="1211"/>
      <c r="BU752" s="1211"/>
      <c r="BV752" s="1211"/>
    </row>
    <row r="753" spans="1:81" s="1213" customFormat="1">
      <c r="A753" s="1226"/>
      <c r="B753" s="1278"/>
      <c r="C753" s="1505"/>
      <c r="D753" s="1278"/>
      <c r="E753" s="1278"/>
      <c r="F753" s="1278"/>
      <c r="G753" s="1278"/>
      <c r="H753" s="1278"/>
      <c r="I753" s="1278"/>
      <c r="J753" s="1278"/>
      <c r="K753" s="1278"/>
      <c r="L753" s="1278"/>
      <c r="M753" s="1278"/>
      <c r="N753" s="1278"/>
      <c r="O753" s="1278"/>
      <c r="P753" s="1278"/>
      <c r="Q753" s="1278"/>
      <c r="R753" s="1278"/>
      <c r="S753" s="1278"/>
      <c r="T753" s="1278"/>
      <c r="U753" s="1278"/>
      <c r="V753" s="1278"/>
      <c r="W753" s="1278"/>
      <c r="X753" s="1278"/>
      <c r="Y753" s="1278"/>
      <c r="Z753" s="1278"/>
      <c r="AA753" s="1278"/>
      <c r="AB753" s="1278"/>
      <c r="AC753" s="1278"/>
      <c r="AD753" s="1278"/>
      <c r="AE753" s="1278"/>
      <c r="AF753" s="1278"/>
      <c r="AG753" s="1278"/>
      <c r="AI753" s="1563"/>
      <c r="AJ753" s="1566"/>
      <c r="AK753" s="1566"/>
      <c r="AL753" s="1566"/>
      <c r="AM753" s="1226"/>
      <c r="AN753" s="1212"/>
    </row>
    <row r="754" spans="1:81" s="1213" customFormat="1" ht="13.65" customHeight="1">
      <c r="A754" s="1226"/>
      <c r="B754" s="1278"/>
      <c r="C754" s="1505"/>
      <c r="D754" s="1285" t="s">
        <v>712</v>
      </c>
      <c r="E754" s="2474" t="s">
        <v>1999</v>
      </c>
      <c r="F754" s="2474"/>
      <c r="G754" s="2474"/>
      <c r="H754" s="2474"/>
      <c r="I754" s="2474"/>
      <c r="J754" s="2474"/>
      <c r="K754" s="2474"/>
      <c r="L754" s="2474"/>
      <c r="M754" s="2474"/>
      <c r="N754" s="2474"/>
      <c r="O754" s="2474"/>
      <c r="P754" s="2474"/>
      <c r="Q754" s="2474"/>
      <c r="R754" s="2474"/>
      <c r="S754" s="2474"/>
      <c r="T754" s="2474"/>
      <c r="U754" s="2474"/>
      <c r="V754" s="2474"/>
      <c r="W754" s="2474"/>
      <c r="X754" s="2474"/>
      <c r="Y754" s="2474"/>
      <c r="Z754" s="2474"/>
      <c r="AA754" s="2474"/>
      <c r="AB754" s="2474"/>
      <c r="AC754" s="2474"/>
      <c r="AD754" s="2474"/>
      <c r="AF754" s="2475" t="s">
        <v>1598</v>
      </c>
      <c r="AG754" s="2475"/>
      <c r="AH754" s="2475"/>
      <c r="AI754" s="2475"/>
      <c r="AJ754" s="2475"/>
      <c r="AK754" s="2475"/>
      <c r="AL754" s="2475"/>
      <c r="AM754" s="1276"/>
      <c r="AN754" s="1212"/>
    </row>
    <row r="755" spans="1:81" s="1213" customFormat="1" ht="13.65" customHeight="1">
      <c r="A755" s="1226"/>
      <c r="B755" s="1278"/>
      <c r="C755" s="1505"/>
      <c r="D755" s="1285"/>
      <c r="E755" s="2474"/>
      <c r="F755" s="2474"/>
      <c r="G755" s="2474"/>
      <c r="H755" s="2474"/>
      <c r="I755" s="2474"/>
      <c r="J755" s="2474"/>
      <c r="K755" s="2474"/>
      <c r="L755" s="2474"/>
      <c r="M755" s="2474"/>
      <c r="N755" s="2474"/>
      <c r="O755" s="2474"/>
      <c r="P755" s="2474"/>
      <c r="Q755" s="2474"/>
      <c r="R755" s="2474"/>
      <c r="S755" s="2474"/>
      <c r="T755" s="2474"/>
      <c r="U755" s="2474"/>
      <c r="V755" s="2474"/>
      <c r="W755" s="2474"/>
      <c r="X755" s="2474"/>
      <c r="Y755" s="2474"/>
      <c r="Z755" s="2474"/>
      <c r="AA755" s="2474"/>
      <c r="AB755" s="2474"/>
      <c r="AC755" s="2474"/>
      <c r="AD755" s="2474"/>
      <c r="AF755" s="1557"/>
      <c r="AG755" s="1557"/>
      <c r="AH755" s="1557"/>
      <c r="AI755" s="1557"/>
      <c r="AJ755" s="1557"/>
      <c r="AK755" s="1557"/>
      <c r="AL755" s="1557"/>
      <c r="AM755" s="1276"/>
      <c r="AN755" s="1212"/>
    </row>
    <row r="756" spans="1:81" s="1213" customFormat="1">
      <c r="A756" s="1226"/>
      <c r="B756" s="1278"/>
      <c r="C756" s="1505"/>
      <c r="D756" s="1285"/>
      <c r="E756" s="2474"/>
      <c r="F756" s="2474"/>
      <c r="G756" s="2474"/>
      <c r="H756" s="2474"/>
      <c r="I756" s="2474"/>
      <c r="J756" s="2474"/>
      <c r="K756" s="2474"/>
      <c r="L756" s="2474"/>
      <c r="M756" s="2474"/>
      <c r="N756" s="2474"/>
      <c r="O756" s="2474"/>
      <c r="P756" s="2474"/>
      <c r="Q756" s="2474"/>
      <c r="R756" s="2474"/>
      <c r="S756" s="2474"/>
      <c r="T756" s="2474"/>
      <c r="U756" s="2474"/>
      <c r="V756" s="2474"/>
      <c r="W756" s="2474"/>
      <c r="X756" s="2474"/>
      <c r="Y756" s="2474"/>
      <c r="Z756" s="2474"/>
      <c r="AA756" s="2474"/>
      <c r="AB756" s="2474"/>
      <c r="AC756" s="2474"/>
      <c r="AD756" s="2474"/>
      <c r="AL756" s="1557"/>
      <c r="AM756" s="1276"/>
      <c r="AN756" s="1209"/>
      <c r="AO756" s="1210"/>
      <c r="AP756" s="1211"/>
      <c r="AQ756" s="1211"/>
      <c r="AR756" s="1211"/>
      <c r="AS756" s="1211"/>
      <c r="AT756" s="1211"/>
      <c r="AU756" s="1211"/>
      <c r="AV756" s="1211"/>
      <c r="AW756" s="1211"/>
      <c r="AX756" s="1211"/>
      <c r="AY756" s="1211"/>
      <c r="AZ756" s="1211"/>
      <c r="BA756" s="1211"/>
      <c r="BB756" s="1211"/>
      <c r="BC756" s="1211"/>
      <c r="BD756" s="1329"/>
      <c r="BE756" s="1329"/>
      <c r="BF756" s="1329"/>
      <c r="BG756" s="1329"/>
      <c r="BH756" s="1329"/>
      <c r="BI756" s="1211"/>
      <c r="BJ756" s="1211"/>
      <c r="BK756" s="1211"/>
      <c r="BL756" s="1211"/>
      <c r="BM756" s="1211"/>
      <c r="BN756" s="1211"/>
      <c r="BO756" s="1211"/>
      <c r="BP756" s="1211"/>
      <c r="BQ756" s="1211"/>
      <c r="BR756" s="1211"/>
      <c r="BS756" s="1211"/>
      <c r="BT756" s="1211"/>
      <c r="BU756" s="1211"/>
    </row>
    <row r="757" spans="1:81" s="1213" customFormat="1" ht="18.600000000000001" customHeight="1">
      <c r="A757" s="1226"/>
      <c r="B757" s="1278"/>
      <c r="C757" s="1505"/>
      <c r="D757" s="1285"/>
      <c r="E757" s="2474"/>
      <c r="F757" s="2474"/>
      <c r="G757" s="2474"/>
      <c r="H757" s="2474"/>
      <c r="I757" s="2474"/>
      <c r="J757" s="2474"/>
      <c r="K757" s="2474"/>
      <c r="L757" s="2474"/>
      <c r="M757" s="2474"/>
      <c r="N757" s="2474"/>
      <c r="O757" s="2474"/>
      <c r="P757" s="2474"/>
      <c r="Q757" s="2474"/>
      <c r="R757" s="2474"/>
      <c r="S757" s="2474"/>
      <c r="T757" s="2474"/>
      <c r="U757" s="2474"/>
      <c r="V757" s="2474"/>
      <c r="W757" s="2474"/>
      <c r="X757" s="2474"/>
      <c r="Y757" s="2474"/>
      <c r="Z757" s="2474"/>
      <c r="AA757" s="2474"/>
      <c r="AB757" s="2474"/>
      <c r="AC757" s="2474"/>
      <c r="AD757" s="2474"/>
      <c r="AE757" s="1557"/>
      <c r="AF757" s="1557"/>
      <c r="AG757" s="1557"/>
      <c r="AH757" s="1557"/>
      <c r="AI757" s="1557"/>
      <c r="AJ757" s="1557"/>
      <c r="AK757" s="1557"/>
      <c r="AL757" s="1557"/>
      <c r="AM757" s="1276"/>
      <c r="AN757" s="1209"/>
      <c r="AO757" s="1210"/>
      <c r="AP757" s="1211"/>
      <c r="AQ757" s="1211"/>
      <c r="AR757" s="1211"/>
      <c r="AS757" s="1211"/>
      <c r="AT757" s="1211"/>
      <c r="AU757" s="1211"/>
      <c r="AV757" s="1211"/>
      <c r="AW757" s="1211"/>
      <c r="AX757" s="1211"/>
      <c r="AY757" s="1211"/>
      <c r="AZ757" s="1211"/>
      <c r="BA757" s="1211"/>
      <c r="BB757" s="1211"/>
      <c r="BC757" s="1211"/>
      <c r="BD757" s="1329"/>
      <c r="BE757" s="1329"/>
      <c r="BF757" s="1329"/>
      <c r="BG757" s="1329"/>
      <c r="BH757" s="1329"/>
      <c r="BI757" s="1211"/>
      <c r="BJ757" s="1211"/>
      <c r="BK757" s="1211"/>
      <c r="BL757" s="1211"/>
      <c r="BM757" s="1211"/>
      <c r="BN757" s="1211"/>
      <c r="BO757" s="1211"/>
      <c r="BP757" s="1211"/>
      <c r="BQ757" s="1211"/>
      <c r="BR757" s="1211"/>
      <c r="BS757" s="1211"/>
      <c r="BT757" s="1211"/>
      <c r="BU757" s="1211"/>
    </row>
    <row r="758" spans="1:81" s="1226" customFormat="1" ht="12.75" customHeight="1">
      <c r="B758" s="1278"/>
      <c r="C758" s="1505"/>
      <c r="D758" s="1285"/>
      <c r="E758" s="1573"/>
      <c r="F758" s="1573"/>
      <c r="G758" s="1573"/>
      <c r="H758" s="1573"/>
      <c r="I758" s="1573"/>
      <c r="J758" s="1573"/>
      <c r="K758" s="1573"/>
      <c r="L758" s="1573"/>
      <c r="M758" s="1573"/>
      <c r="N758" s="1573"/>
      <c r="O758" s="1573"/>
      <c r="P758" s="1573"/>
      <c r="Q758" s="1573"/>
      <c r="R758" s="1573"/>
      <c r="S758" s="1573"/>
      <c r="T758" s="1573"/>
      <c r="U758" s="1573"/>
      <c r="V758" s="1573"/>
      <c r="W758" s="1573"/>
      <c r="X758" s="1573"/>
      <c r="Y758" s="1573"/>
      <c r="Z758" s="1573"/>
      <c r="AA758" s="1573"/>
      <c r="AB758" s="1573"/>
      <c r="AC758" s="1573"/>
      <c r="AD758" s="1573"/>
      <c r="AE758" s="1557"/>
      <c r="AF758" s="1213"/>
      <c r="AG758" s="1213"/>
      <c r="AH758" s="1213"/>
      <c r="AI758" s="1213"/>
      <c r="AJ758" s="1213"/>
      <c r="AK758" s="1213"/>
      <c r="AL758" s="1213"/>
      <c r="AM758" s="1276"/>
      <c r="AN758" s="1265"/>
    </row>
    <row r="759" spans="1:81" s="1226" customFormat="1" ht="12.75" customHeight="1">
      <c r="B759" s="1278"/>
      <c r="C759" s="1505"/>
      <c r="D759" s="1285" t="s">
        <v>532</v>
      </c>
      <c r="E759" s="2477" t="s">
        <v>2006</v>
      </c>
      <c r="F759" s="2477"/>
      <c r="G759" s="2477"/>
      <c r="H759" s="2477"/>
      <c r="I759" s="2477"/>
      <c r="J759" s="2477"/>
      <c r="K759" s="2477"/>
      <c r="L759" s="2477"/>
      <c r="M759" s="2477"/>
      <c r="N759" s="2477"/>
      <c r="O759" s="2477"/>
      <c r="P759" s="2477"/>
      <c r="Q759" s="2477"/>
      <c r="R759" s="2477"/>
      <c r="S759" s="2477"/>
      <c r="T759" s="2477"/>
      <c r="U759" s="2477"/>
      <c r="V759" s="2477"/>
      <c r="W759" s="2477"/>
      <c r="X759" s="2477"/>
      <c r="Y759" s="2477"/>
      <c r="Z759" s="2477"/>
      <c r="AA759" s="2477"/>
      <c r="AB759" s="2477"/>
      <c r="AC759" s="2477"/>
      <c r="AD759" s="2477"/>
      <c r="AE759" s="1213"/>
      <c r="AF759" s="2475" t="s">
        <v>1542</v>
      </c>
      <c r="AG759" s="2475"/>
      <c r="AH759" s="2475"/>
      <c r="AI759" s="2475"/>
      <c r="AJ759" s="2475"/>
      <c r="AK759" s="2475"/>
      <c r="AL759" s="2475"/>
      <c r="AM759" s="1276"/>
      <c r="AN759" s="1265"/>
    </row>
    <row r="760" spans="1:81" s="1226" customFormat="1" ht="12.75" customHeight="1">
      <c r="B760" s="1278"/>
      <c r="C760" s="1505"/>
      <c r="D760" s="1285"/>
      <c r="E760" s="2477"/>
      <c r="F760" s="2477"/>
      <c r="G760" s="2477"/>
      <c r="H760" s="2477"/>
      <c r="I760" s="2477"/>
      <c r="J760" s="2477"/>
      <c r="K760" s="2477"/>
      <c r="L760" s="2477"/>
      <c r="M760" s="2477"/>
      <c r="N760" s="2477"/>
      <c r="O760" s="2477"/>
      <c r="P760" s="2477"/>
      <c r="Q760" s="2477"/>
      <c r="R760" s="2477"/>
      <c r="S760" s="2477"/>
      <c r="T760" s="2477"/>
      <c r="U760" s="2477"/>
      <c r="V760" s="2477"/>
      <c r="W760" s="2477"/>
      <c r="X760" s="2477"/>
      <c r="Y760" s="2477"/>
      <c r="Z760" s="2477"/>
      <c r="AA760" s="2477"/>
      <c r="AB760" s="2477"/>
      <c r="AC760" s="2477"/>
      <c r="AD760" s="2477"/>
      <c r="AE760" s="1557"/>
      <c r="AF760" s="1557"/>
      <c r="AG760" s="1557"/>
      <c r="AH760" s="1557"/>
      <c r="AI760" s="1557"/>
      <c r="AJ760" s="1557"/>
      <c r="AK760" s="1557"/>
      <c r="AL760" s="1557"/>
      <c r="AM760" s="1276"/>
      <c r="AN760" s="1265"/>
    </row>
    <row r="761" spans="1:81" s="1226" customFormat="1" ht="12.75" customHeight="1">
      <c r="B761" s="1278"/>
      <c r="C761" s="1505"/>
      <c r="D761" s="1285"/>
      <c r="E761" s="2477"/>
      <c r="F761" s="2477"/>
      <c r="G761" s="2477"/>
      <c r="H761" s="2477"/>
      <c r="I761" s="2477"/>
      <c r="J761" s="2477"/>
      <c r="K761" s="2477"/>
      <c r="L761" s="2477"/>
      <c r="M761" s="2477"/>
      <c r="N761" s="2477"/>
      <c r="O761" s="2477"/>
      <c r="P761" s="2477"/>
      <c r="Q761" s="2477"/>
      <c r="R761" s="2477"/>
      <c r="S761" s="2477"/>
      <c r="T761" s="2477"/>
      <c r="U761" s="2477"/>
      <c r="V761" s="2477"/>
      <c r="W761" s="2477"/>
      <c r="X761" s="2477"/>
      <c r="Y761" s="2477"/>
      <c r="Z761" s="2477"/>
      <c r="AA761" s="2477"/>
      <c r="AB761" s="2477"/>
      <c r="AC761" s="2477"/>
      <c r="AD761" s="2477"/>
      <c r="AE761" s="1557"/>
      <c r="AF761" s="1557"/>
      <c r="AG761" s="1557"/>
      <c r="AH761" s="1557"/>
      <c r="AI761" s="1557"/>
      <c r="AJ761" s="1557"/>
      <c r="AK761" s="1557"/>
      <c r="AL761" s="1557"/>
      <c r="AM761" s="1276"/>
      <c r="AN761" s="1265"/>
    </row>
    <row r="762" spans="1:81" s="1226" customFormat="1" ht="12.75" customHeight="1">
      <c r="B762" s="1278"/>
      <c r="C762" s="1505"/>
      <c r="D762" s="1285"/>
      <c r="E762" s="2477"/>
      <c r="F762" s="2477"/>
      <c r="G762" s="2477"/>
      <c r="H762" s="2477"/>
      <c r="I762" s="2477"/>
      <c r="J762" s="2477"/>
      <c r="K762" s="2477"/>
      <c r="L762" s="2477"/>
      <c r="M762" s="2477"/>
      <c r="N762" s="2477"/>
      <c r="O762" s="2477"/>
      <c r="P762" s="2477"/>
      <c r="Q762" s="2477"/>
      <c r="R762" s="2477"/>
      <c r="S762" s="2477"/>
      <c r="T762" s="2477"/>
      <c r="U762" s="2477"/>
      <c r="V762" s="2477"/>
      <c r="W762" s="2477"/>
      <c r="X762" s="2477"/>
      <c r="Y762" s="2477"/>
      <c r="Z762" s="2477"/>
      <c r="AA762" s="2477"/>
      <c r="AB762" s="2477"/>
      <c r="AC762" s="2477"/>
      <c r="AD762" s="2477"/>
      <c r="AE762" s="1557"/>
      <c r="AF762" s="1557"/>
      <c r="AG762" s="1557"/>
      <c r="AH762" s="1557"/>
      <c r="AI762" s="1557"/>
      <c r="AJ762" s="1557"/>
      <c r="AK762" s="1557"/>
      <c r="AL762" s="1557"/>
      <c r="AM762" s="1276"/>
      <c r="AN762" s="1265"/>
    </row>
    <row r="763" spans="1:81" s="1226" customFormat="1" ht="12.75" customHeight="1">
      <c r="A763" s="1213"/>
      <c r="B763" s="1213"/>
      <c r="C763" s="1213"/>
      <c r="D763" s="1213"/>
      <c r="E763" s="1213"/>
      <c r="F763" s="1213"/>
      <c r="G763" s="1213"/>
      <c r="H763" s="1213"/>
      <c r="I763" s="1213"/>
      <c r="J763" s="1213"/>
      <c r="K763" s="1213"/>
      <c r="L763" s="1213"/>
      <c r="M763" s="1213"/>
      <c r="N763" s="1213"/>
      <c r="O763" s="1213"/>
      <c r="P763" s="1213"/>
      <c r="Q763" s="1213"/>
      <c r="R763" s="1213"/>
      <c r="S763" s="1213"/>
      <c r="T763" s="1213"/>
      <c r="U763" s="1213"/>
      <c r="V763" s="1213"/>
      <c r="W763" s="1213"/>
      <c r="X763" s="1213"/>
      <c r="Y763" s="1213"/>
      <c r="Z763" s="1213"/>
      <c r="AA763" s="1213"/>
      <c r="AB763" s="1213"/>
      <c r="AC763" s="1213"/>
      <c r="AD763" s="1213"/>
      <c r="AE763" s="1213"/>
      <c r="AF763" s="1213"/>
      <c r="AG763" s="1213"/>
      <c r="AH763" s="1213"/>
      <c r="AI763" s="1213"/>
      <c r="AJ763" s="1213"/>
      <c r="AK763" s="1213"/>
      <c r="AL763" s="1213"/>
      <c r="AM763" s="1213"/>
      <c r="AN763" s="1265"/>
    </row>
    <row r="764" spans="1:81" s="1226" customFormat="1" ht="12.75" customHeight="1">
      <c r="B764" s="1278"/>
      <c r="C764" s="1505"/>
      <c r="D764" s="1213" t="s">
        <v>1590</v>
      </c>
      <c r="E764" s="1559"/>
      <c r="F764" s="1559"/>
      <c r="G764" s="1559"/>
      <c r="H764" s="2476" t="s">
        <v>615</v>
      </c>
      <c r="I764" s="2476"/>
      <c r="J764" s="1556"/>
      <c r="K764" s="1556"/>
      <c r="L764" s="1556"/>
      <c r="M764" s="1556"/>
      <c r="N764" s="1556"/>
      <c r="O764" s="1556"/>
      <c r="P764" s="1556"/>
      <c r="Q764" s="1556"/>
      <c r="R764" s="1556"/>
      <c r="S764" s="1556"/>
      <c r="T764" s="1556"/>
      <c r="U764" s="1556"/>
      <c r="V764" s="1556"/>
      <c r="W764" s="1556"/>
      <c r="X764" s="1556"/>
      <c r="Y764" s="1556"/>
      <c r="Z764" s="1556"/>
      <c r="AA764" s="1556"/>
      <c r="AB764" s="1556"/>
      <c r="AC764" s="1556"/>
      <c r="AD764" s="1556"/>
      <c r="AE764" s="1556"/>
      <c r="AF764" s="1556"/>
      <c r="AG764" s="1278"/>
      <c r="AH764" s="1213"/>
      <c r="AI764" s="1563"/>
      <c r="AJ764" s="1566"/>
      <c r="AK764" s="1566"/>
      <c r="AL764" s="1566"/>
      <c r="AN764" s="1265"/>
    </row>
    <row r="765" spans="1:81" s="1226" customFormat="1" ht="12.75" customHeight="1">
      <c r="B765" s="1278"/>
      <c r="C765" s="1505"/>
      <c r="D765" s="1278"/>
      <c r="E765" s="1278"/>
      <c r="F765" s="1278"/>
      <c r="G765" s="1278"/>
      <c r="H765" s="1278"/>
      <c r="I765" s="1278"/>
      <c r="J765" s="1278"/>
      <c r="K765" s="1278"/>
      <c r="L765" s="1278"/>
      <c r="M765" s="1278"/>
      <c r="N765" s="1278"/>
      <c r="O765" s="1278"/>
      <c r="P765" s="1278"/>
      <c r="Q765" s="1278"/>
      <c r="R765" s="1278"/>
      <c r="S765" s="1278"/>
      <c r="T765" s="1278"/>
      <c r="U765" s="1278"/>
      <c r="V765" s="1278"/>
      <c r="W765" s="1278"/>
      <c r="X765" s="1278"/>
      <c r="Y765" s="1278"/>
      <c r="Z765" s="1278"/>
      <c r="AA765" s="1278"/>
      <c r="AB765" s="1278"/>
      <c r="AC765" s="1278"/>
      <c r="AD765" s="1278"/>
      <c r="AE765" s="1278"/>
      <c r="AF765" s="1278"/>
      <c r="AG765" s="1278"/>
      <c r="AH765" s="1213"/>
      <c r="AI765" s="1563"/>
      <c r="AJ765" s="1566"/>
      <c r="AK765" s="1566"/>
      <c r="AL765" s="1566"/>
      <c r="AN765" s="1265"/>
    </row>
    <row r="766" spans="1:81" s="1226" customFormat="1" ht="12.75" customHeight="1">
      <c r="A766" s="1269"/>
      <c r="B766" s="1367"/>
      <c r="C766" s="1526"/>
      <c r="D766" s="1367"/>
      <c r="E766" s="1367"/>
      <c r="F766" s="1367"/>
      <c r="G766" s="1367"/>
      <c r="H766" s="1367"/>
      <c r="I766" s="1367"/>
      <c r="J766" s="1367"/>
      <c r="K766" s="1367"/>
      <c r="L766" s="1367"/>
      <c r="M766" s="1367"/>
      <c r="N766" s="1367"/>
      <c r="O766" s="1367"/>
      <c r="P766" s="1367"/>
      <c r="Q766" s="1367"/>
      <c r="R766" s="1367"/>
      <c r="S766" s="1367"/>
      <c r="T766" s="1367"/>
      <c r="U766" s="1367"/>
      <c r="V766" s="1367"/>
      <c r="W766" s="1367"/>
      <c r="X766" s="1367"/>
      <c r="Y766" s="1367"/>
      <c r="Z766" s="1367"/>
      <c r="AA766" s="1367"/>
      <c r="AB766" s="1367"/>
      <c r="AC766" s="1367"/>
      <c r="AD766" s="1367"/>
      <c r="AE766" s="1367"/>
      <c r="AF766" s="1367"/>
      <c r="AG766" s="1367"/>
      <c r="AH766" s="1261"/>
      <c r="AI766" s="1233" t="s">
        <v>1642</v>
      </c>
      <c r="AJ766" s="2454">
        <f>VLOOKUP($H$764,$AP$705:$AQ$707,2,FALSE)</f>
        <v>0</v>
      </c>
      <c r="AK766" s="2456"/>
      <c r="AL766" s="1566"/>
      <c r="AN766" s="1265"/>
    </row>
    <row r="767" spans="1:81" s="1213" customFormat="1">
      <c r="A767" s="1226"/>
      <c r="B767" s="1278"/>
      <c r="C767" s="1505"/>
      <c r="D767" s="1278"/>
      <c r="E767" s="1278"/>
      <c r="F767" s="1278"/>
      <c r="G767" s="1278"/>
      <c r="H767" s="1278"/>
      <c r="I767" s="1278"/>
      <c r="J767" s="1278"/>
      <c r="K767" s="1278"/>
      <c r="L767" s="1278"/>
      <c r="M767" s="1278"/>
      <c r="N767" s="1278"/>
      <c r="O767" s="1278"/>
      <c r="P767" s="1278"/>
      <c r="Q767" s="1278"/>
      <c r="R767" s="1278"/>
      <c r="S767" s="1278"/>
      <c r="T767" s="1278"/>
      <c r="U767" s="1278"/>
      <c r="V767" s="1278"/>
      <c r="W767" s="1278"/>
      <c r="X767" s="1278"/>
      <c r="Y767" s="1278"/>
      <c r="Z767" s="1278"/>
      <c r="AA767" s="1278"/>
      <c r="AB767" s="1278"/>
      <c r="AC767" s="1278"/>
      <c r="AD767" s="1278"/>
      <c r="AE767" s="1278"/>
      <c r="AF767" s="1278"/>
      <c r="AG767" s="1278"/>
      <c r="AI767" s="1563"/>
      <c r="AJ767" s="1566"/>
      <c r="AK767" s="1566"/>
      <c r="AL767" s="1566"/>
      <c r="AM767" s="1226"/>
      <c r="AN767" s="1212"/>
      <c r="AS767" s="1499"/>
      <c r="AT767" s="1499"/>
      <c r="AU767" s="1499"/>
      <c r="AV767" s="1499"/>
      <c r="AW767" s="1499"/>
      <c r="AX767" s="1499"/>
      <c r="AY767" s="1499"/>
      <c r="AZ767" s="1499"/>
      <c r="BA767" s="1499"/>
      <c r="BB767" s="1499"/>
      <c r="BC767" s="1499"/>
      <c r="BD767" s="1527"/>
      <c r="BE767" s="1527"/>
      <c r="BF767" s="1527"/>
      <c r="BG767" s="1527"/>
      <c r="BH767" s="1527"/>
      <c r="BI767" s="1499"/>
      <c r="BJ767" s="1499"/>
      <c r="BK767" s="1499"/>
      <c r="BL767" s="1499"/>
      <c r="BM767" s="1499"/>
      <c r="BN767" s="1499"/>
      <c r="BO767" s="1499"/>
      <c r="BP767" s="1499"/>
      <c r="BQ767" s="1499"/>
      <c r="BR767" s="1499"/>
      <c r="BS767" s="1499"/>
      <c r="BT767" s="1499"/>
      <c r="BU767" s="1499"/>
      <c r="BV767" s="1499"/>
      <c r="BW767" s="1499"/>
      <c r="BX767" s="1499"/>
      <c r="BY767" s="1499"/>
      <c r="BZ767" s="1499"/>
      <c r="CA767" s="1499"/>
      <c r="CB767" s="1499"/>
      <c r="CC767" s="1499"/>
    </row>
    <row r="768" spans="1:81" s="1213" customFormat="1">
      <c r="A768" s="1226"/>
      <c r="B768" s="1278"/>
      <c r="C768" s="1575" t="s">
        <v>1643</v>
      </c>
      <c r="D768" s="1278"/>
      <c r="E768" s="1278"/>
      <c r="F768" s="1278"/>
      <c r="G768" s="1278"/>
      <c r="H768" s="1278"/>
      <c r="I768" s="1278"/>
      <c r="J768" s="1278"/>
      <c r="K768" s="1278"/>
      <c r="L768" s="1278"/>
      <c r="M768" s="1278"/>
      <c r="N768" s="1278"/>
      <c r="O768" s="1278"/>
      <c r="P768" s="1278"/>
      <c r="Q768" s="1278"/>
      <c r="R768" s="1278"/>
      <c r="S768" s="1278"/>
      <c r="T768" s="1278"/>
      <c r="U768" s="1278"/>
      <c r="V768" s="1278"/>
      <c r="W768" s="1278"/>
      <c r="X768" s="1278"/>
      <c r="Y768" s="1278"/>
      <c r="Z768" s="1278"/>
      <c r="AA768" s="1278"/>
      <c r="AB768" s="1278"/>
      <c r="AC768" s="1278"/>
      <c r="AD768" s="1278"/>
      <c r="AE768" s="1278"/>
      <c r="AF768" s="1278"/>
      <c r="AG768" s="1278"/>
      <c r="AI768" s="1563"/>
      <c r="AJ768" s="1566"/>
      <c r="AK768" s="1566"/>
      <c r="AL768" s="1566"/>
      <c r="AM768" s="1226"/>
      <c r="AN768" s="1212"/>
      <c r="AT768" s="1499"/>
      <c r="AU768" s="1499"/>
      <c r="AV768" s="1499"/>
      <c r="AW768" s="1499"/>
      <c r="AX768" s="1499"/>
      <c r="AY768" s="1499"/>
      <c r="AZ768" s="1499"/>
    </row>
    <row r="769" spans="1:81" s="1213" customFormat="1">
      <c r="A769" s="1226"/>
      <c r="B769" s="1278"/>
      <c r="C769" s="1505"/>
      <c r="D769" s="1278"/>
      <c r="E769" s="1278"/>
      <c r="F769" s="1278"/>
      <c r="G769" s="1278"/>
      <c r="H769" s="1278"/>
      <c r="I769" s="1278"/>
      <c r="J769" s="1278"/>
      <c r="K769" s="1278"/>
      <c r="L769" s="1278"/>
      <c r="M769" s="1278"/>
      <c r="N769" s="1278"/>
      <c r="O769" s="1278"/>
      <c r="P769" s="1278"/>
      <c r="Q769" s="1278"/>
      <c r="R769" s="1278"/>
      <c r="S769" s="1278"/>
      <c r="T769" s="1278"/>
      <c r="U769" s="1278"/>
      <c r="V769" s="1278"/>
      <c r="W769" s="1278"/>
      <c r="X769" s="1278"/>
      <c r="Y769" s="1278"/>
      <c r="Z769" s="1278"/>
      <c r="AA769" s="1278"/>
      <c r="AB769" s="1278"/>
      <c r="AC769" s="1278"/>
      <c r="AD769" s="1278"/>
      <c r="AL769" s="1566"/>
      <c r="AM769" s="1226"/>
      <c r="AN769" s="1212"/>
      <c r="AO769" s="1226" t="s">
        <v>615</v>
      </c>
      <c r="AP769" s="1507">
        <v>0</v>
      </c>
      <c r="AS769" s="1499"/>
      <c r="AT769" s="1499"/>
      <c r="AU769" s="1499"/>
      <c r="AV769" s="1499"/>
      <c r="AW769" s="1499"/>
      <c r="AX769" s="1499"/>
      <c r="AY769" s="1499"/>
      <c r="AZ769" s="1499"/>
      <c r="BA769" s="1499"/>
      <c r="BB769" s="1499"/>
      <c r="BC769" s="1499"/>
      <c r="BD769" s="1527"/>
      <c r="BE769" s="1527"/>
      <c r="BF769" s="1527"/>
      <c r="BG769" s="1527"/>
      <c r="BH769" s="1527"/>
      <c r="BI769" s="1499"/>
      <c r="BJ769" s="1499"/>
      <c r="BK769" s="1499"/>
      <c r="BL769" s="1499"/>
      <c r="BM769" s="1499"/>
      <c r="BN769" s="1499"/>
      <c r="BO769" s="1499"/>
      <c r="BP769" s="1499"/>
      <c r="BQ769" s="1499"/>
      <c r="BR769" s="1499"/>
      <c r="BS769" s="1499"/>
      <c r="BT769" s="1499"/>
      <c r="BU769" s="1499"/>
      <c r="BV769" s="1499"/>
      <c r="BW769" s="1499"/>
      <c r="BX769" s="1499"/>
      <c r="BY769" s="1499"/>
      <c r="BZ769" s="1499"/>
      <c r="CA769" s="1499"/>
      <c r="CB769" s="1499"/>
      <c r="CC769" s="1499"/>
    </row>
    <row r="770" spans="1:81" s="1213" customFormat="1" ht="13.65" customHeight="1">
      <c r="A770" s="1226"/>
      <c r="B770" s="1278"/>
      <c r="C770" s="1505"/>
      <c r="D770" s="1285" t="s">
        <v>712</v>
      </c>
      <c r="E770" s="2474" t="s">
        <v>2733</v>
      </c>
      <c r="F770" s="2474"/>
      <c r="G770" s="2474"/>
      <c r="H770" s="2474"/>
      <c r="I770" s="2474"/>
      <c r="J770" s="2474"/>
      <c r="K770" s="2474"/>
      <c r="L770" s="2474"/>
      <c r="M770" s="2474"/>
      <c r="N770" s="2474"/>
      <c r="O770" s="2474"/>
      <c r="P770" s="2474"/>
      <c r="Q770" s="2474"/>
      <c r="R770" s="2474"/>
      <c r="S770" s="2474"/>
      <c r="T770" s="2474"/>
      <c r="U770" s="2474"/>
      <c r="V770" s="2474"/>
      <c r="W770" s="2474"/>
      <c r="X770" s="2474"/>
      <c r="Y770" s="2474"/>
      <c r="Z770" s="2474"/>
      <c r="AA770" s="2474"/>
      <c r="AB770" s="2474"/>
      <c r="AC770" s="2474"/>
      <c r="AD770" s="2474"/>
      <c r="AF770" s="2475" t="s">
        <v>1542</v>
      </c>
      <c r="AG770" s="2475"/>
      <c r="AH770" s="2475"/>
      <c r="AI770" s="2475"/>
      <c r="AJ770" s="2475"/>
      <c r="AK770" s="2475"/>
      <c r="AL770" s="2475"/>
      <c r="AM770" s="1276"/>
      <c r="AN770" s="1212"/>
      <c r="AO770" s="1274" t="s">
        <v>568</v>
      </c>
      <c r="AP770" s="1226">
        <v>3</v>
      </c>
      <c r="AT770" s="1499"/>
      <c r="AU770" s="1499"/>
      <c r="AV770" s="1499"/>
      <c r="AW770" s="1499"/>
      <c r="AX770" s="1499"/>
      <c r="AY770" s="1499"/>
      <c r="AZ770" s="1499"/>
    </row>
    <row r="771" spans="1:81" s="1213" customFormat="1" ht="13.65" customHeight="1">
      <c r="A771" s="1226"/>
      <c r="B771" s="1278"/>
      <c r="C771" s="1505"/>
      <c r="D771" s="1285"/>
      <c r="E771" s="2474"/>
      <c r="F771" s="2474"/>
      <c r="G771" s="2474"/>
      <c r="H771" s="2474"/>
      <c r="I771" s="2474"/>
      <c r="J771" s="2474"/>
      <c r="K771" s="2474"/>
      <c r="L771" s="2474"/>
      <c r="M771" s="2474"/>
      <c r="N771" s="2474"/>
      <c r="O771" s="2474"/>
      <c r="P771" s="2474"/>
      <c r="Q771" s="2474"/>
      <c r="R771" s="2474"/>
      <c r="S771" s="2474"/>
      <c r="T771" s="2474"/>
      <c r="U771" s="2474"/>
      <c r="V771" s="2474"/>
      <c r="W771" s="2474"/>
      <c r="X771" s="2474"/>
      <c r="Y771" s="2474"/>
      <c r="Z771" s="2474"/>
      <c r="AA771" s="2474"/>
      <c r="AB771" s="2474"/>
      <c r="AC771" s="2474"/>
      <c r="AD771" s="2474"/>
      <c r="AF771" s="1557"/>
      <c r="AG771" s="1557"/>
      <c r="AH771" s="1557"/>
      <c r="AI771" s="1557"/>
      <c r="AJ771" s="1557"/>
      <c r="AK771" s="1557"/>
      <c r="AL771" s="1557"/>
      <c r="AM771" s="1276"/>
      <c r="AN771" s="1212"/>
      <c r="AO771" s="1274"/>
      <c r="AP771" s="1226"/>
      <c r="AT771" s="1499"/>
      <c r="AU771" s="1499"/>
      <c r="AV771" s="1499"/>
      <c r="AW771" s="1499"/>
      <c r="AX771" s="1499"/>
      <c r="AY771" s="1499"/>
      <c r="AZ771" s="1499"/>
    </row>
    <row r="772" spans="1:81" s="1213" customFormat="1">
      <c r="A772" s="1226"/>
      <c r="B772" s="1278"/>
      <c r="C772" s="1505"/>
      <c r="D772" s="1285"/>
      <c r="E772" s="2474"/>
      <c r="F772" s="2474"/>
      <c r="G772" s="2474"/>
      <c r="H772" s="2474"/>
      <c r="I772" s="2474"/>
      <c r="J772" s="2474"/>
      <c r="K772" s="2474"/>
      <c r="L772" s="2474"/>
      <c r="M772" s="2474"/>
      <c r="N772" s="2474"/>
      <c r="O772" s="2474"/>
      <c r="P772" s="2474"/>
      <c r="Q772" s="2474"/>
      <c r="R772" s="2474"/>
      <c r="S772" s="2474"/>
      <c r="T772" s="2474"/>
      <c r="U772" s="2474"/>
      <c r="V772" s="2474"/>
      <c r="W772" s="2474"/>
      <c r="X772" s="2474"/>
      <c r="Y772" s="2474"/>
      <c r="Z772" s="2474"/>
      <c r="AA772" s="2474"/>
      <c r="AB772" s="2474"/>
      <c r="AC772" s="2474"/>
      <c r="AD772" s="2474"/>
      <c r="AE772" s="1557"/>
      <c r="AF772" s="1557"/>
      <c r="AG772" s="1557"/>
      <c r="AH772" s="1557"/>
      <c r="AI772" s="1557"/>
      <c r="AJ772" s="1557"/>
      <c r="AK772" s="1557"/>
      <c r="AL772" s="1557"/>
      <c r="AM772" s="1276"/>
      <c r="AN772" s="1212"/>
      <c r="AO772" s="1274"/>
      <c r="AP772" s="1226"/>
      <c r="AT772" s="1499"/>
      <c r="AU772" s="1499"/>
      <c r="AV772" s="1499"/>
      <c r="AW772" s="1499"/>
      <c r="AX772" s="1499"/>
      <c r="AY772" s="1499"/>
      <c r="AZ772" s="1499"/>
    </row>
    <row r="773" spans="1:81" s="1213" customFormat="1">
      <c r="A773" s="1226"/>
      <c r="B773" s="1278"/>
      <c r="C773" s="1505"/>
      <c r="D773" s="1285"/>
      <c r="E773" s="2474"/>
      <c r="F773" s="2474"/>
      <c r="G773" s="2474"/>
      <c r="H773" s="2474"/>
      <c r="I773" s="2474"/>
      <c r="J773" s="2474"/>
      <c r="K773" s="2474"/>
      <c r="L773" s="2474"/>
      <c r="M773" s="2474"/>
      <c r="N773" s="2474"/>
      <c r="O773" s="2474"/>
      <c r="P773" s="2474"/>
      <c r="Q773" s="2474"/>
      <c r="R773" s="2474"/>
      <c r="S773" s="2474"/>
      <c r="T773" s="2474"/>
      <c r="U773" s="2474"/>
      <c r="V773" s="2474"/>
      <c r="W773" s="2474"/>
      <c r="X773" s="2474"/>
      <c r="Y773" s="2474"/>
      <c r="Z773" s="2474"/>
      <c r="AA773" s="2474"/>
      <c r="AB773" s="2474"/>
      <c r="AC773" s="2474"/>
      <c r="AD773" s="2474"/>
      <c r="AE773" s="1557"/>
      <c r="AF773" s="1557"/>
      <c r="AG773" s="1557"/>
      <c r="AH773" s="1557"/>
      <c r="AI773" s="1557"/>
      <c r="AJ773" s="1557"/>
      <c r="AK773" s="1557"/>
      <c r="AL773" s="1557"/>
      <c r="AM773" s="1276"/>
      <c r="AN773" s="1212"/>
      <c r="AO773" s="1408"/>
      <c r="AT773" s="1499"/>
      <c r="AU773" s="1499"/>
      <c r="AV773" s="1499"/>
      <c r="AW773" s="1499"/>
      <c r="AX773" s="1499"/>
      <c r="AY773" s="1499"/>
      <c r="AZ773" s="1499"/>
    </row>
    <row r="774" spans="1:81" s="1213" customFormat="1">
      <c r="A774" s="1226"/>
      <c r="B774" s="1278"/>
      <c r="C774" s="1505"/>
      <c r="D774" s="1285"/>
      <c r="E774" s="1556"/>
      <c r="F774" s="1556"/>
      <c r="G774" s="1556"/>
      <c r="H774" s="1556"/>
      <c r="I774" s="1556"/>
      <c r="J774" s="1556"/>
      <c r="K774" s="1556"/>
      <c r="L774" s="1556"/>
      <c r="M774" s="1556"/>
      <c r="N774" s="1556"/>
      <c r="O774" s="1556"/>
      <c r="P774" s="1556"/>
      <c r="Q774" s="1556"/>
      <c r="R774" s="1556"/>
      <c r="S774" s="1556"/>
      <c r="T774" s="1556"/>
      <c r="U774" s="1556"/>
      <c r="V774" s="1556"/>
      <c r="W774" s="1556"/>
      <c r="X774" s="1556"/>
      <c r="Y774" s="1556"/>
      <c r="Z774" s="1556"/>
      <c r="AA774" s="1556"/>
      <c r="AB774" s="1556"/>
      <c r="AC774" s="1556"/>
      <c r="AD774" s="1556"/>
      <c r="AE774" s="1557"/>
      <c r="AF774" s="1557"/>
      <c r="AG774" s="1557"/>
      <c r="AH774" s="1557"/>
      <c r="AI774" s="1557"/>
      <c r="AJ774" s="1557"/>
      <c r="AK774" s="1557"/>
      <c r="AL774" s="1557"/>
      <c r="AM774" s="1276"/>
      <c r="AN774" s="1212"/>
      <c r="AO774" s="1408"/>
      <c r="AT774" s="1499"/>
      <c r="AU774" s="1499"/>
      <c r="AV774" s="1499"/>
      <c r="AW774" s="1499"/>
      <c r="AX774" s="1499"/>
      <c r="AY774" s="1499"/>
      <c r="AZ774" s="1499"/>
    </row>
    <row r="775" spans="1:81" s="1213" customFormat="1">
      <c r="A775" s="1226"/>
      <c r="B775" s="1278"/>
      <c r="C775" s="1505"/>
      <c r="D775" s="1213" t="s">
        <v>1590</v>
      </c>
      <c r="E775" s="1559"/>
      <c r="F775" s="1559"/>
      <c r="G775" s="1559"/>
      <c r="H775" s="2476" t="s">
        <v>615</v>
      </c>
      <c r="I775" s="2476"/>
      <c r="J775" s="1278"/>
      <c r="K775" s="1278"/>
      <c r="L775" s="1278"/>
      <c r="M775" s="1278"/>
      <c r="N775" s="1278"/>
      <c r="O775" s="1278"/>
      <c r="P775" s="1278"/>
      <c r="Q775" s="1278"/>
      <c r="R775" s="1278"/>
      <c r="S775" s="1278"/>
      <c r="T775" s="1278"/>
      <c r="U775" s="1278"/>
      <c r="V775" s="1278"/>
      <c r="W775" s="1278"/>
      <c r="X775" s="1278"/>
      <c r="Y775" s="1278"/>
      <c r="Z775" s="1278"/>
      <c r="AA775" s="1278"/>
      <c r="AB775" s="1278"/>
      <c r="AC775" s="1278"/>
      <c r="AD775" s="1278"/>
      <c r="AE775" s="1278"/>
      <c r="AF775" s="1278"/>
      <c r="AG775" s="1278"/>
      <c r="AI775" s="1563"/>
      <c r="AJ775" s="1566"/>
      <c r="AK775" s="1566"/>
      <c r="AL775" s="1566"/>
      <c r="AM775" s="1226"/>
      <c r="AN775" s="1212"/>
      <c r="AS775" s="1499"/>
      <c r="AT775" s="1499"/>
      <c r="AU775" s="1499"/>
      <c r="AV775" s="1499"/>
      <c r="AW775" s="1499"/>
      <c r="AX775" s="1499"/>
      <c r="AY775" s="1499"/>
      <c r="AZ775" s="1499"/>
      <c r="BA775" s="1499"/>
      <c r="BB775" s="1499"/>
      <c r="BC775" s="1499"/>
      <c r="BD775" s="1527"/>
      <c r="BE775" s="1527"/>
      <c r="BF775" s="1527"/>
      <c r="BG775" s="1527"/>
      <c r="BH775" s="1527"/>
      <c r="BI775" s="1499"/>
      <c r="BJ775" s="1499"/>
      <c r="BK775" s="1499"/>
      <c r="BL775" s="1499"/>
      <c r="BM775" s="1499"/>
      <c r="BN775" s="1499"/>
      <c r="BO775" s="1499"/>
      <c r="BP775" s="1499"/>
      <c r="BQ775" s="1499"/>
      <c r="BR775" s="1499"/>
      <c r="BS775" s="1499"/>
      <c r="BT775" s="1499"/>
      <c r="BU775" s="1499"/>
      <c r="BV775" s="1499"/>
      <c r="BW775" s="1499"/>
      <c r="BX775" s="1499"/>
      <c r="BY775" s="1499"/>
      <c r="BZ775" s="1499"/>
      <c r="CA775" s="1499"/>
      <c r="CB775" s="1499"/>
      <c r="CC775" s="1499"/>
    </row>
    <row r="776" spans="1:81" s="1213" customFormat="1">
      <c r="A776" s="1226"/>
      <c r="B776" s="1278"/>
      <c r="C776" s="1528"/>
      <c r="D776" s="1227"/>
      <c r="E776" s="1227"/>
      <c r="F776" s="1227"/>
      <c r="G776" s="1227"/>
      <c r="H776" s="1227"/>
      <c r="I776" s="1227"/>
      <c r="J776" s="1227"/>
      <c r="K776" s="1227"/>
      <c r="L776" s="1227"/>
      <c r="M776" s="1227"/>
      <c r="N776" s="1227"/>
      <c r="O776" s="1227"/>
      <c r="P776" s="1227"/>
      <c r="Q776" s="1227"/>
      <c r="R776" s="1227"/>
      <c r="S776" s="1227"/>
      <c r="T776" s="1227"/>
      <c r="U776" s="1227"/>
      <c r="V776" s="1227"/>
      <c r="W776" s="1227"/>
      <c r="X776" s="1227"/>
      <c r="Y776" s="1227"/>
      <c r="Z776" s="1227"/>
      <c r="AA776" s="1227"/>
      <c r="AB776" s="1227"/>
      <c r="AC776" s="1227"/>
      <c r="AD776" s="1278"/>
      <c r="AE776" s="1227"/>
      <c r="AF776" s="1227"/>
      <c r="AG776" s="1227"/>
      <c r="AH776" s="1227"/>
      <c r="AI776" s="1226"/>
      <c r="AJ776" s="1226"/>
      <c r="AK776" s="1226"/>
      <c r="AL776" s="1226"/>
      <c r="AM776" s="1226"/>
      <c r="AN776" s="1212"/>
      <c r="AT776" s="1499"/>
      <c r="AU776" s="1499"/>
      <c r="AV776" s="1499"/>
      <c r="AW776" s="1499"/>
      <c r="AX776" s="1499"/>
      <c r="AY776" s="1499"/>
      <c r="AZ776" s="1499"/>
    </row>
    <row r="777" spans="1:81" s="1213" customFormat="1">
      <c r="A777" s="1269"/>
      <c r="B777" s="1367"/>
      <c r="C777" s="1529"/>
      <c r="D777" s="1366"/>
      <c r="E777" s="1366"/>
      <c r="F777" s="1366"/>
      <c r="G777" s="1366"/>
      <c r="H777" s="1366"/>
      <c r="I777" s="1366"/>
      <c r="J777" s="1366"/>
      <c r="K777" s="1366"/>
      <c r="L777" s="1366"/>
      <c r="M777" s="1366"/>
      <c r="N777" s="1366"/>
      <c r="O777" s="1366"/>
      <c r="P777" s="1366"/>
      <c r="Q777" s="1366"/>
      <c r="R777" s="1366"/>
      <c r="S777" s="1366"/>
      <c r="T777" s="1366"/>
      <c r="U777" s="1366"/>
      <c r="V777" s="1366"/>
      <c r="W777" s="1366"/>
      <c r="X777" s="1366"/>
      <c r="Y777" s="1366"/>
      <c r="Z777" s="1366"/>
      <c r="AA777" s="1366"/>
      <c r="AB777" s="1366"/>
      <c r="AC777" s="1367"/>
      <c r="AD777" s="1366"/>
      <c r="AE777" s="1366"/>
      <c r="AF777" s="1366"/>
      <c r="AG777" s="1366"/>
      <c r="AH777" s="1232"/>
      <c r="AI777" s="1233" t="s">
        <v>1644</v>
      </c>
      <c r="AJ777" s="2454">
        <f>VLOOKUP($H$775,$AO$769:$AP$770,2,FALSE)</f>
        <v>0</v>
      </c>
      <c r="AK777" s="2456"/>
      <c r="AL777" s="1566"/>
      <c r="AM777" s="1226"/>
      <c r="AN777" s="1212"/>
      <c r="AS777" s="1499"/>
      <c r="AT777" s="1499"/>
      <c r="AU777" s="1499"/>
      <c r="AV777" s="1499"/>
      <c r="AW777" s="1499"/>
      <c r="AX777" s="1499"/>
      <c r="AY777" s="1499"/>
      <c r="AZ777" s="1499"/>
      <c r="BA777" s="1499"/>
      <c r="BB777" s="1499"/>
      <c r="BC777" s="1499"/>
      <c r="BD777" s="1527"/>
      <c r="BE777" s="1527"/>
      <c r="BF777" s="1527"/>
      <c r="BG777" s="1527"/>
      <c r="BH777" s="1527"/>
      <c r="BI777" s="1499"/>
      <c r="BJ777" s="1499"/>
      <c r="BK777" s="1499"/>
      <c r="BL777" s="1499"/>
      <c r="BM777" s="1499"/>
      <c r="BN777" s="1499"/>
      <c r="BO777" s="1499"/>
      <c r="BP777" s="1499"/>
      <c r="BQ777" s="1499"/>
      <c r="BR777" s="1499"/>
      <c r="BS777" s="1499"/>
      <c r="BT777" s="1499"/>
      <c r="BU777" s="1499"/>
      <c r="BV777" s="1499"/>
      <c r="BW777" s="1499"/>
      <c r="BX777" s="1499"/>
      <c r="BY777" s="1499"/>
      <c r="BZ777" s="1499"/>
      <c r="CA777" s="1499"/>
      <c r="CB777" s="1499"/>
      <c r="CC777" s="1499"/>
    </row>
    <row r="778" spans="1:81" s="1226" customFormat="1" ht="12.75" customHeight="1">
      <c r="B778" s="1278"/>
      <c r="C778" s="1528"/>
      <c r="D778" s="1227"/>
      <c r="E778" s="1227"/>
      <c r="F778" s="1227"/>
      <c r="G778" s="1227"/>
      <c r="H778" s="1227"/>
      <c r="I778" s="1227"/>
      <c r="J778" s="1227"/>
      <c r="K778" s="1227"/>
      <c r="L778" s="1227"/>
      <c r="M778" s="1227"/>
      <c r="N778" s="1227"/>
      <c r="O778" s="1227"/>
      <c r="P778" s="1227"/>
      <c r="Q778" s="1227"/>
      <c r="R778" s="1227"/>
      <c r="S778" s="1227"/>
      <c r="T778" s="1227"/>
      <c r="U778" s="1227"/>
      <c r="V778" s="1227"/>
      <c r="W778" s="1227"/>
      <c r="X778" s="1227"/>
      <c r="Y778" s="1227"/>
      <c r="Z778" s="1227"/>
      <c r="AA778" s="1227"/>
      <c r="AB778" s="1227"/>
      <c r="AC778" s="1227"/>
      <c r="AD778" s="1278"/>
      <c r="AE778" s="1227"/>
      <c r="AF778" s="1227"/>
      <c r="AG778" s="1227"/>
      <c r="AH778" s="1227"/>
      <c r="AN778" s="1265"/>
    </row>
    <row r="779" spans="1:81" s="1226" customFormat="1" ht="12.75" customHeight="1">
      <c r="A779" s="1269"/>
      <c r="B779" s="1366"/>
      <c r="C779" s="1366"/>
      <c r="D779" s="1366"/>
      <c r="E779" s="1366"/>
      <c r="F779" s="1366"/>
      <c r="G779" s="1366"/>
      <c r="H779" s="1366"/>
      <c r="I779" s="1366"/>
      <c r="J779" s="1366"/>
      <c r="K779" s="1366"/>
      <c r="L779" s="1366"/>
      <c r="M779" s="1366"/>
      <c r="N779" s="1366"/>
      <c r="O779" s="1366"/>
      <c r="P779" s="1366"/>
      <c r="Q779" s="1366"/>
      <c r="R779" s="1366"/>
      <c r="S779" s="1366"/>
      <c r="T779" s="1366"/>
      <c r="U779" s="1366"/>
      <c r="V779" s="1366"/>
      <c r="W779" s="1366"/>
      <c r="X779" s="1366"/>
      <c r="Y779" s="1366"/>
      <c r="Z779" s="1366"/>
      <c r="AA779" s="1366"/>
      <c r="AB779" s="1366"/>
      <c r="AC779" s="1367"/>
      <c r="AD779" s="1366"/>
      <c r="AE779" s="1232"/>
      <c r="AF779" s="1232"/>
      <c r="AG779" s="1232"/>
      <c r="AH779" s="1232"/>
      <c r="AI779" s="1233"/>
      <c r="AJ779" s="1233" t="s">
        <v>1645</v>
      </c>
      <c r="AK779" s="2454">
        <f>IF(($AJ$610+$AJ$629+$AJ$641+$AJ$676+$AJ$696+$AJ$710+$AJ$722+$AJ$738+$AJ$750+$AJ$766+AJ777)&gt;10,10,($AJ$610+$AJ$629+$AJ$641+$AJ$676+$AJ$696+$AJ$710+$AJ$722+$AJ$738+$AJ$750+$AJ$766+AJ777))</f>
        <v>10</v>
      </c>
      <c r="AL779" s="2455"/>
      <c r="AM779" s="2456"/>
      <c r="AN779" s="1265"/>
    </row>
    <row r="780" spans="1:81" s="1226" customFormat="1" ht="12.75" customHeight="1">
      <c r="B780" s="1227"/>
      <c r="C780" s="1227"/>
      <c r="D780" s="1227"/>
      <c r="E780" s="1227"/>
      <c r="F780" s="1227"/>
      <c r="G780" s="1227"/>
      <c r="H780" s="1227"/>
      <c r="I780" s="1227"/>
      <c r="J780" s="1227"/>
      <c r="K780" s="1227"/>
      <c r="L780" s="1227"/>
      <c r="M780" s="1227"/>
      <c r="N780" s="1227"/>
      <c r="O780" s="1227"/>
      <c r="P780" s="1227"/>
      <c r="Q780" s="1227"/>
      <c r="R780" s="1227"/>
      <c r="S780" s="1227"/>
      <c r="T780" s="1227"/>
      <c r="U780" s="1227"/>
      <c r="V780" s="1227"/>
      <c r="W780" s="1227"/>
      <c r="X780" s="1227"/>
      <c r="Y780" s="1227"/>
      <c r="Z780" s="1227"/>
      <c r="AA780" s="1227"/>
      <c r="AB780" s="1227"/>
      <c r="AC780" s="1278"/>
      <c r="AD780" s="1227"/>
      <c r="AI780" s="1563"/>
      <c r="AJ780" s="1563"/>
      <c r="AK780" s="1566"/>
      <c r="AL780" s="1566"/>
      <c r="AM780" s="1566"/>
      <c r="AN780" s="1265"/>
    </row>
    <row r="781" spans="1:81">
      <c r="B781" s="1226"/>
      <c r="C781" s="1226"/>
      <c r="D781" s="1226"/>
      <c r="E781" s="1226"/>
      <c r="F781" s="1226"/>
      <c r="G781" s="1226"/>
      <c r="H781" s="1226"/>
      <c r="I781" s="1226"/>
      <c r="J781" s="1226"/>
      <c r="K781" s="1226"/>
      <c r="L781" s="1226"/>
      <c r="M781" s="1226"/>
      <c r="N781" s="1226"/>
      <c r="O781" s="1226"/>
      <c r="P781" s="1226"/>
      <c r="Q781" s="1226"/>
      <c r="R781" s="1226"/>
      <c r="S781" s="1226"/>
      <c r="T781" s="1226"/>
      <c r="U781" s="1226"/>
      <c r="V781" s="1226"/>
      <c r="W781" s="1226"/>
      <c r="X781" s="1226"/>
      <c r="Y781" s="1226"/>
      <c r="Z781" s="1226"/>
      <c r="AA781" s="1226"/>
      <c r="AB781" s="1226"/>
      <c r="AC781" s="1226"/>
      <c r="AD781" s="1226"/>
      <c r="AE781" s="1226"/>
      <c r="AF781" s="1226"/>
      <c r="AG781" s="1226"/>
      <c r="AH781" s="1226"/>
      <c r="AI781" s="1226"/>
      <c r="AJ781" s="1226"/>
      <c r="AK781" s="1226"/>
      <c r="AL781" s="1226"/>
      <c r="AM781" s="1226"/>
    </row>
    <row r="782" spans="1:81">
      <c r="A782" s="2464" t="s">
        <v>1767</v>
      </c>
      <c r="B782" s="2465"/>
      <c r="C782" s="2465"/>
      <c r="D782" s="2465"/>
      <c r="E782" s="2465"/>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2465"/>
      <c r="AF782" s="2465"/>
      <c r="AG782" s="2465"/>
      <c r="AH782" s="2465"/>
      <c r="AI782" s="2465"/>
      <c r="AJ782" s="2465"/>
      <c r="AK782" s="2465"/>
      <c r="AL782" s="2465"/>
      <c r="AM782" s="2465"/>
    </row>
    <row r="783" spans="1:81">
      <c r="A783" s="2466"/>
      <c r="B783" s="2466"/>
      <c r="C783" s="2466"/>
      <c r="D783" s="2466"/>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2466"/>
      <c r="AF783" s="2466"/>
      <c r="AG783" s="2466"/>
      <c r="AH783" s="2466"/>
      <c r="AI783" s="2466"/>
      <c r="AJ783" s="2466"/>
      <c r="AK783" s="2466"/>
      <c r="AL783" s="2466"/>
      <c r="AM783" s="2466"/>
      <c r="AO783" s="1530"/>
      <c r="AP783" s="1530"/>
      <c r="AQ783" s="1530"/>
    </row>
    <row r="784" spans="1:81">
      <c r="A784" s="1226"/>
      <c r="B784" s="914"/>
      <c r="C784" s="915"/>
      <c r="D784" s="915"/>
      <c r="E784" s="915"/>
      <c r="F784" s="915"/>
      <c r="G784" s="915"/>
      <c r="H784" s="915"/>
      <c r="I784" s="1567"/>
      <c r="J784" s="1567"/>
      <c r="K784" s="1567"/>
      <c r="L784" s="1567"/>
      <c r="M784" s="1567"/>
      <c r="N784" s="1567"/>
      <c r="O784" s="1567"/>
      <c r="P784" s="1567"/>
      <c r="Q784" s="1567"/>
      <c r="S784" s="1575"/>
      <c r="T784" s="1575"/>
      <c r="U784" s="1575"/>
      <c r="V784" s="1575"/>
      <c r="W784" s="1575"/>
      <c r="X784" s="1575"/>
      <c r="Y784" s="1575"/>
      <c r="Z784" s="1575"/>
      <c r="AA784" s="1575"/>
      <c r="AB784" s="1575"/>
      <c r="AC784" s="1575"/>
      <c r="AD784" s="1575"/>
      <c r="AE784" s="1575"/>
      <c r="AG784" s="1575"/>
      <c r="AH784" s="1575"/>
      <c r="AI784" s="1575"/>
      <c r="AJ784" s="1575"/>
      <c r="AK784" s="1226"/>
      <c r="AL784" s="1226"/>
      <c r="AM784" s="1214"/>
      <c r="AO784" s="1530"/>
      <c r="AP784" s="1530"/>
      <c r="AQ784" s="1530"/>
    </row>
    <row r="785" spans="1:81">
      <c r="A785" s="2467"/>
      <c r="B785" s="2467"/>
      <c r="C785" s="2467"/>
      <c r="D785" s="2467"/>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2467"/>
      <c r="AF785" s="2467"/>
      <c r="AG785" s="2467"/>
      <c r="AH785" s="2467"/>
      <c r="AI785" s="2467"/>
      <c r="AJ785" s="2467"/>
      <c r="AK785" s="2467"/>
      <c r="AL785" s="2467"/>
      <c r="AM785" s="2467"/>
      <c r="AP785" s="1530"/>
      <c r="AQ785" s="1530"/>
    </row>
    <row r="786" spans="1:81">
      <c r="A786" s="2467"/>
      <c r="B786" s="2467"/>
      <c r="C786" s="2467"/>
      <c r="D786" s="2467"/>
      <c r="E786" s="2467"/>
      <c r="F786" s="2467"/>
      <c r="G786" s="2467"/>
      <c r="H786" s="2467"/>
      <c r="I786" s="2467"/>
      <c r="J786" s="2467"/>
      <c r="K786" s="2467"/>
      <c r="L786" s="2467"/>
      <c r="M786" s="2467"/>
      <c r="N786" s="2467"/>
      <c r="O786" s="2467"/>
      <c r="P786" s="2467"/>
      <c r="Q786" s="2467"/>
      <c r="R786" s="2467"/>
      <c r="S786" s="2467"/>
      <c r="T786" s="2467"/>
      <c r="U786" s="2467"/>
      <c r="V786" s="2467"/>
      <c r="W786" s="2467"/>
      <c r="X786" s="2467"/>
      <c r="Y786" s="2467"/>
      <c r="Z786" s="2467"/>
      <c r="AA786" s="2467"/>
      <c r="AB786" s="2467"/>
      <c r="AC786" s="2467"/>
      <c r="AD786" s="2467"/>
      <c r="AE786" s="2467"/>
      <c r="AF786" s="2467"/>
      <c r="AG786" s="2467"/>
      <c r="AH786" s="2467"/>
      <c r="AI786" s="2467"/>
      <c r="AJ786" s="2467"/>
      <c r="AK786" s="2467"/>
      <c r="AL786" s="2467"/>
      <c r="AM786" s="2467"/>
      <c r="AO786" s="1530"/>
      <c r="AQ786" s="1530"/>
    </row>
    <row r="787" spans="1:81">
      <c r="A787" s="1531"/>
      <c r="B787" s="1379"/>
      <c r="C787" s="1379"/>
      <c r="D787" s="1379"/>
      <c r="E787" s="1379"/>
      <c r="F787" s="1379"/>
      <c r="G787" s="1379"/>
      <c r="H787" s="1379"/>
      <c r="I787" s="1379"/>
      <c r="J787" s="1379"/>
      <c r="K787" s="1379"/>
      <c r="L787" s="1379"/>
      <c r="M787" s="1379"/>
      <c r="N787" s="1379"/>
      <c r="O787" s="1379"/>
      <c r="P787" s="1379"/>
      <c r="Q787" s="1379"/>
      <c r="R787" s="1379"/>
      <c r="S787" s="1490"/>
      <c r="T787" s="2468" t="s">
        <v>1768</v>
      </c>
      <c r="U787" s="2469"/>
      <c r="V787" s="2469"/>
      <c r="W787" s="2469"/>
      <c r="X787" s="2469"/>
      <c r="Y787" s="2470"/>
      <c r="Z787" s="2468" t="s">
        <v>1769</v>
      </c>
      <c r="AA787" s="2469"/>
      <c r="AB787" s="2469"/>
      <c r="AC787" s="2469"/>
      <c r="AD787" s="2469"/>
      <c r="AE787" s="2470"/>
      <c r="AF787" s="2468" t="s">
        <v>1770</v>
      </c>
      <c r="AG787" s="2469"/>
      <c r="AH787" s="2469"/>
      <c r="AI787" s="2469"/>
      <c r="AJ787" s="2469"/>
      <c r="AK787" s="2470"/>
      <c r="AL787" s="1532"/>
      <c r="AM787" s="1336"/>
      <c r="AO787" s="1530"/>
      <c r="AP787" s="1530"/>
      <c r="AQ787" s="1530"/>
    </row>
    <row r="788" spans="1:81">
      <c r="A788" s="1533"/>
      <c r="B788" s="1368"/>
      <c r="C788" s="1368"/>
      <c r="D788" s="1368"/>
      <c r="E788" s="1368"/>
      <c r="F788" s="1368"/>
      <c r="G788" s="1368"/>
      <c r="H788" s="1368"/>
      <c r="I788" s="1368"/>
      <c r="J788" s="1368"/>
      <c r="K788" s="1368"/>
      <c r="L788" s="1368"/>
      <c r="M788" s="1368"/>
      <c r="N788" s="1368"/>
      <c r="O788" s="1368"/>
      <c r="P788" s="1368"/>
      <c r="Q788" s="1368"/>
      <c r="R788" s="1368"/>
      <c r="S788" s="1384"/>
      <c r="T788" s="2471"/>
      <c r="U788" s="2472"/>
      <c r="V788" s="2472"/>
      <c r="W788" s="2472"/>
      <c r="X788" s="2472"/>
      <c r="Y788" s="2473"/>
      <c r="Z788" s="2471"/>
      <c r="AA788" s="2472"/>
      <c r="AB788" s="2472"/>
      <c r="AC788" s="2472"/>
      <c r="AD788" s="2472"/>
      <c r="AE788" s="2473"/>
      <c r="AF788" s="2471"/>
      <c r="AG788" s="2472"/>
      <c r="AH788" s="2472"/>
      <c r="AI788" s="2472"/>
      <c r="AJ788" s="2472"/>
      <c r="AK788" s="2473"/>
      <c r="AL788" s="1532"/>
      <c r="AM788" s="1336"/>
      <c r="AO788" s="1530"/>
      <c r="AP788" s="1530"/>
      <c r="AQ788" s="1530"/>
    </row>
    <row r="789" spans="1:81">
      <c r="A789" s="1533" t="s">
        <v>785</v>
      </c>
      <c r="B789" s="2432" t="s">
        <v>1494</v>
      </c>
      <c r="C789" s="2432"/>
      <c r="D789" s="2432"/>
      <c r="E789" s="2432"/>
      <c r="F789" s="2432"/>
      <c r="G789" s="2432"/>
      <c r="H789" s="2432"/>
      <c r="I789" s="2432"/>
      <c r="J789" s="2432"/>
      <c r="K789" s="2432"/>
      <c r="L789" s="2432"/>
      <c r="M789" s="2432"/>
      <c r="N789" s="2432"/>
      <c r="O789" s="2432"/>
      <c r="P789" s="2432"/>
      <c r="Q789" s="2432"/>
      <c r="R789" s="2432"/>
      <c r="S789" s="2433"/>
      <c r="T789" s="2463">
        <f>AK56</f>
        <v>0</v>
      </c>
      <c r="U789" s="2459"/>
      <c r="V789" s="2459"/>
      <c r="W789" s="2459"/>
      <c r="X789" s="2459"/>
      <c r="Y789" s="2460"/>
      <c r="Z789" s="2458">
        <v>20</v>
      </c>
      <c r="AA789" s="2459"/>
      <c r="AB789" s="2459"/>
      <c r="AC789" s="2459"/>
      <c r="AD789" s="2459"/>
      <c r="AE789" s="2460"/>
      <c r="AF789" s="2452">
        <f>IF(T789&gt;Z789,Z789,T789)</f>
        <v>0</v>
      </c>
      <c r="AG789" s="2452"/>
      <c r="AH789" s="2452"/>
      <c r="AI789" s="2452"/>
      <c r="AJ789" s="2452"/>
      <c r="AK789" s="2452"/>
      <c r="AL789" s="1532"/>
      <c r="AM789" s="1336"/>
      <c r="AO789" s="1530"/>
      <c r="AP789" s="1530"/>
      <c r="AQ789" s="1530"/>
    </row>
    <row r="790" spans="1:81">
      <c r="A790" s="1533" t="s">
        <v>1740</v>
      </c>
      <c r="B790" s="2432" t="s">
        <v>1503</v>
      </c>
      <c r="C790" s="2432"/>
      <c r="D790" s="2432"/>
      <c r="E790" s="2432"/>
      <c r="F790" s="2432"/>
      <c r="G790" s="2432"/>
      <c r="H790" s="2432"/>
      <c r="I790" s="2432"/>
      <c r="J790" s="2432"/>
      <c r="K790" s="2432"/>
      <c r="L790" s="2432"/>
      <c r="M790" s="2432"/>
      <c r="N790" s="2432"/>
      <c r="O790" s="2432"/>
      <c r="P790" s="2432"/>
      <c r="Q790" s="2432"/>
      <c r="R790" s="2432"/>
      <c r="S790" s="2433"/>
      <c r="T790" s="2463">
        <f>AK78</f>
        <v>10</v>
      </c>
      <c r="U790" s="2459"/>
      <c r="V790" s="2459"/>
      <c r="W790" s="2459"/>
      <c r="X790" s="2459"/>
      <c r="Y790" s="2460"/>
      <c r="Z790" s="2458">
        <v>10</v>
      </c>
      <c r="AA790" s="2459"/>
      <c r="AB790" s="2459"/>
      <c r="AC790" s="2459"/>
      <c r="AD790" s="2459"/>
      <c r="AE790" s="2460"/>
      <c r="AF790" s="2452">
        <f>IF(T790&gt;Z790,Z790,T790)</f>
        <v>10</v>
      </c>
      <c r="AG790" s="2452"/>
      <c r="AH790" s="2452"/>
      <c r="AI790" s="2452"/>
      <c r="AJ790" s="2452"/>
      <c r="AK790" s="2452"/>
      <c r="AL790" s="1532"/>
      <c r="AM790" s="1336"/>
      <c r="AO790" s="1530"/>
      <c r="AP790" s="1530"/>
      <c r="AQ790" s="1530"/>
    </row>
    <row r="791" spans="1:81">
      <c r="A791" s="1533" t="s">
        <v>1749</v>
      </c>
      <c r="B791" s="2432" t="s">
        <v>1513</v>
      </c>
      <c r="C791" s="2432"/>
      <c r="D791" s="2432"/>
      <c r="E791" s="2432"/>
      <c r="F791" s="2432"/>
      <c r="G791" s="2432"/>
      <c r="H791" s="2432"/>
      <c r="I791" s="2432"/>
      <c r="J791" s="2432"/>
      <c r="K791" s="2432"/>
      <c r="L791" s="2432"/>
      <c r="M791" s="2432"/>
      <c r="N791" s="2432"/>
      <c r="O791" s="2432"/>
      <c r="P791" s="2432"/>
      <c r="Q791" s="2432"/>
      <c r="R791" s="2432"/>
      <c r="S791" s="2433"/>
      <c r="T791" s="2463">
        <f ca="1">AK103</f>
        <v>20</v>
      </c>
      <c r="U791" s="2459"/>
      <c r="V791" s="2459"/>
      <c r="W791" s="2459"/>
      <c r="X791" s="2459"/>
      <c r="Y791" s="2460"/>
      <c r="Z791" s="2458">
        <v>20</v>
      </c>
      <c r="AA791" s="2459"/>
      <c r="AB791" s="2459"/>
      <c r="AC791" s="2459"/>
      <c r="AD791" s="2459"/>
      <c r="AE791" s="2460"/>
      <c r="AF791" s="2452">
        <f ca="1">IF(T791&gt;Z791,Z791,T791)</f>
        <v>20</v>
      </c>
      <c r="AG791" s="2452"/>
      <c r="AH791" s="2452"/>
      <c r="AI791" s="2452"/>
      <c r="AJ791" s="2452"/>
      <c r="AK791" s="2452"/>
      <c r="AL791" s="1532"/>
      <c r="AM791" s="1336"/>
      <c r="AO791" s="1530"/>
      <c r="AP791" s="1530"/>
      <c r="AQ791" s="1530"/>
    </row>
    <row r="792" spans="1:81">
      <c r="A792" s="1533" t="s">
        <v>1771</v>
      </c>
      <c r="B792" s="2432" t="s">
        <v>1523</v>
      </c>
      <c r="C792" s="2432"/>
      <c r="D792" s="2432"/>
      <c r="E792" s="2432"/>
      <c r="F792" s="2432"/>
      <c r="G792" s="2432"/>
      <c r="H792" s="2432"/>
      <c r="I792" s="2432"/>
      <c r="J792" s="2432"/>
      <c r="K792" s="2432"/>
      <c r="L792" s="2432"/>
      <c r="M792" s="2432"/>
      <c r="N792" s="2432"/>
      <c r="O792" s="2432"/>
      <c r="P792" s="2432"/>
      <c r="Q792" s="2432"/>
      <c r="R792" s="2432"/>
      <c r="S792" s="2433"/>
      <c r="T792" s="2463">
        <f>AK137</f>
        <v>10</v>
      </c>
      <c r="U792" s="2459"/>
      <c r="V792" s="2459"/>
      <c r="W792" s="2459"/>
      <c r="X792" s="2459"/>
      <c r="Y792" s="2460"/>
      <c r="Z792" s="2458">
        <v>10</v>
      </c>
      <c r="AA792" s="2459"/>
      <c r="AB792" s="2459"/>
      <c r="AC792" s="2459"/>
      <c r="AD792" s="2459"/>
      <c r="AE792" s="2460"/>
      <c r="AF792" s="2452">
        <f>IF(T792&gt;Z792,Z792,T792)</f>
        <v>10</v>
      </c>
      <c r="AG792" s="2452"/>
      <c r="AH792" s="2452"/>
      <c r="AI792" s="2452"/>
      <c r="AJ792" s="2452"/>
      <c r="AK792" s="2452"/>
      <c r="AL792" s="1532"/>
      <c r="AM792" s="1336"/>
      <c r="AO792" s="1530"/>
      <c r="AP792" s="1530"/>
      <c r="AQ792" s="1530"/>
    </row>
    <row r="793" spans="1:81">
      <c r="A793" s="1552" t="s">
        <v>1772</v>
      </c>
      <c r="B793" s="2432" t="s">
        <v>1773</v>
      </c>
      <c r="C793" s="2432"/>
      <c r="D793" s="2432"/>
      <c r="E793" s="2432"/>
      <c r="F793" s="2432"/>
      <c r="G793" s="2432"/>
      <c r="H793" s="2432"/>
      <c r="I793" s="2432"/>
      <c r="J793" s="2432"/>
      <c r="K793" s="2432"/>
      <c r="L793" s="2432"/>
      <c r="M793" s="2432"/>
      <c r="N793" s="2432"/>
      <c r="O793" s="2432"/>
      <c r="P793" s="2432"/>
      <c r="Q793" s="2432"/>
      <c r="R793" s="2432"/>
      <c r="S793" s="2433"/>
      <c r="T793" s="2451">
        <f>SUM(T794:Y795)</f>
        <v>10</v>
      </c>
      <c r="U793" s="2451"/>
      <c r="V793" s="2451"/>
      <c r="W793" s="2451"/>
      <c r="X793" s="2451"/>
      <c r="Y793" s="2451"/>
      <c r="Z793" s="2452">
        <v>10</v>
      </c>
      <c r="AA793" s="2452"/>
      <c r="AB793" s="2452"/>
      <c r="AC793" s="2452"/>
      <c r="AD793" s="2452"/>
      <c r="AE793" s="2452"/>
      <c r="AF793" s="2452">
        <f>IF(T793&gt;Z793,Z793,T793)</f>
        <v>10</v>
      </c>
      <c r="AG793" s="2452"/>
      <c r="AH793" s="2452"/>
      <c r="AI793" s="2452"/>
      <c r="AJ793" s="2452"/>
      <c r="AK793" s="2452"/>
      <c r="AL793" s="1532"/>
      <c r="AM793" s="1336"/>
    </row>
    <row r="794" spans="1:81">
      <c r="A794" s="1212"/>
      <c r="B794" s="1261"/>
      <c r="C794" s="2461" t="s">
        <v>1774</v>
      </c>
      <c r="D794" s="2461"/>
      <c r="E794" s="2461"/>
      <c r="F794" s="2461"/>
      <c r="G794" s="2461"/>
      <c r="H794" s="2461"/>
      <c r="I794" s="2461"/>
      <c r="J794" s="2461"/>
      <c r="K794" s="2461"/>
      <c r="L794" s="2461"/>
      <c r="M794" s="2461"/>
      <c r="N794" s="2461"/>
      <c r="O794" s="2461"/>
      <c r="P794" s="2461"/>
      <c r="Q794" s="2461"/>
      <c r="R794" s="2461"/>
      <c r="S794" s="2462"/>
      <c r="T794" s="2453">
        <f>AJ155</f>
        <v>7</v>
      </c>
      <c r="U794" s="2453"/>
      <c r="V794" s="2453"/>
      <c r="W794" s="2453"/>
      <c r="X794" s="2453"/>
      <c r="Y794" s="2453"/>
      <c r="Z794" s="2435">
        <v>7</v>
      </c>
      <c r="AA794" s="2435"/>
      <c r="AB794" s="2435"/>
      <c r="AC794" s="2435"/>
      <c r="AD794" s="2435"/>
      <c r="AE794" s="2435"/>
      <c r="AF794" s="2457"/>
      <c r="AG794" s="2457"/>
      <c r="AH794" s="2457"/>
      <c r="AI794" s="2457"/>
      <c r="AJ794" s="2457"/>
      <c r="AK794" s="2457"/>
      <c r="AL794" s="1532"/>
      <c r="AM794" s="1336"/>
    </row>
    <row r="795" spans="1:81">
      <c r="A795" s="1260"/>
      <c r="B795" s="1261"/>
      <c r="C795" s="2461" t="s">
        <v>1775</v>
      </c>
      <c r="D795" s="2461"/>
      <c r="E795" s="2461"/>
      <c r="F795" s="2461"/>
      <c r="G795" s="2461"/>
      <c r="H795" s="2461"/>
      <c r="I795" s="2461"/>
      <c r="J795" s="2461"/>
      <c r="K795" s="2461"/>
      <c r="L795" s="2461"/>
      <c r="M795" s="2461"/>
      <c r="N795" s="2461"/>
      <c r="O795" s="2461"/>
      <c r="P795" s="2461"/>
      <c r="Q795" s="2461"/>
      <c r="R795" s="2461"/>
      <c r="S795" s="2462"/>
      <c r="T795" s="2453">
        <f>AJ169</f>
        <v>3</v>
      </c>
      <c r="U795" s="2453"/>
      <c r="V795" s="2453"/>
      <c r="W795" s="2453"/>
      <c r="X795" s="2453"/>
      <c r="Y795" s="2453"/>
      <c r="Z795" s="2435">
        <v>3</v>
      </c>
      <c r="AA795" s="2435"/>
      <c r="AB795" s="2435"/>
      <c r="AC795" s="2435"/>
      <c r="AD795" s="2435"/>
      <c r="AE795" s="2435"/>
      <c r="AF795" s="2457"/>
      <c r="AG795" s="2457"/>
      <c r="AH795" s="2457"/>
      <c r="AI795" s="2457"/>
      <c r="AJ795" s="2457"/>
      <c r="AK795" s="2457"/>
      <c r="AL795" s="1532"/>
      <c r="AM795" s="1336"/>
      <c r="AO795" s="1226"/>
    </row>
    <row r="796" spans="1:81">
      <c r="A796" s="1552" t="s">
        <v>1551</v>
      </c>
      <c r="B796" s="2432" t="s">
        <v>1776</v>
      </c>
      <c r="C796" s="2432"/>
      <c r="D796" s="2432"/>
      <c r="E796" s="2432"/>
      <c r="F796" s="2432"/>
      <c r="G796" s="2432"/>
      <c r="H796" s="2432"/>
      <c r="I796" s="2432"/>
      <c r="J796" s="2432"/>
      <c r="K796" s="2432"/>
      <c r="L796" s="2432"/>
      <c r="M796" s="2432"/>
      <c r="N796" s="2432"/>
      <c r="O796" s="2432"/>
      <c r="P796" s="2432"/>
      <c r="Q796" s="2432"/>
      <c r="R796" s="2432"/>
      <c r="S796" s="2433"/>
      <c r="T796" s="2451">
        <f>AK180</f>
        <v>10</v>
      </c>
      <c r="U796" s="2451"/>
      <c r="V796" s="2451"/>
      <c r="W796" s="2451"/>
      <c r="X796" s="2451"/>
      <c r="Y796" s="2451"/>
      <c r="Z796" s="2452">
        <v>10</v>
      </c>
      <c r="AA796" s="2452"/>
      <c r="AB796" s="2452"/>
      <c r="AC796" s="2452"/>
      <c r="AD796" s="2452"/>
      <c r="AE796" s="2452"/>
      <c r="AF796" s="2452">
        <f>IF(T796&gt;Z796,Z796,T796)</f>
        <v>10</v>
      </c>
      <c r="AG796" s="2452"/>
      <c r="AH796" s="2452"/>
      <c r="AI796" s="2452"/>
      <c r="AJ796" s="2452"/>
      <c r="AK796" s="2452"/>
      <c r="AL796" s="1532"/>
      <c r="AM796" s="1336"/>
    </row>
    <row r="797" spans="1:81">
      <c r="A797" s="1533" t="s">
        <v>1560</v>
      </c>
      <c r="B797" s="2432" t="s">
        <v>1561</v>
      </c>
      <c r="C797" s="2432"/>
      <c r="D797" s="2432"/>
      <c r="E797" s="2432"/>
      <c r="F797" s="2432"/>
      <c r="G797" s="2432"/>
      <c r="H797" s="2432"/>
      <c r="I797" s="2432"/>
      <c r="J797" s="2432"/>
      <c r="K797" s="2432"/>
      <c r="L797" s="2432"/>
      <c r="M797" s="2432"/>
      <c r="N797" s="2432"/>
      <c r="O797" s="2432"/>
      <c r="P797" s="2432"/>
      <c r="Q797" s="2432"/>
      <c r="R797" s="2432"/>
      <c r="S797" s="2433"/>
      <c r="T797" s="2451">
        <f>AK262</f>
        <v>8</v>
      </c>
      <c r="U797" s="2451"/>
      <c r="V797" s="2451"/>
      <c r="W797" s="2451"/>
      <c r="X797" s="2451"/>
      <c r="Y797" s="2451"/>
      <c r="Z797" s="2458">
        <v>8</v>
      </c>
      <c r="AA797" s="2459"/>
      <c r="AB797" s="2459"/>
      <c r="AC797" s="2459"/>
      <c r="AD797" s="2459"/>
      <c r="AE797" s="2460"/>
      <c r="AF797" s="2452">
        <f>IF(T797&gt;Z797,Z797,T797)</f>
        <v>8</v>
      </c>
      <c r="AG797" s="2452"/>
      <c r="AH797" s="2452"/>
      <c r="AI797" s="2452"/>
      <c r="AJ797" s="2452"/>
      <c r="AK797" s="2452"/>
      <c r="AL797" s="1532"/>
      <c r="AM797" s="1336"/>
    </row>
    <row r="798" spans="1:81" s="1209" customFormat="1" hidden="1">
      <c r="A798" s="1552" t="s">
        <v>613</v>
      </c>
      <c r="B798" s="2432" t="s">
        <v>1777</v>
      </c>
      <c r="C798" s="2432"/>
      <c r="D798" s="2432"/>
      <c r="E798" s="2432"/>
      <c r="F798" s="2432"/>
      <c r="G798" s="2432"/>
      <c r="H798" s="2432"/>
      <c r="I798" s="2432"/>
      <c r="J798" s="2432"/>
      <c r="K798" s="2432"/>
      <c r="L798" s="2432"/>
      <c r="M798" s="2432"/>
      <c r="N798" s="2432"/>
      <c r="O798" s="2432"/>
      <c r="P798" s="2432"/>
      <c r="Q798" s="2432"/>
      <c r="R798" s="2432"/>
      <c r="S798" s="2433"/>
      <c r="T798" s="2451">
        <f>IF(AK524&gt;5,5,AK524)</f>
        <v>0</v>
      </c>
      <c r="U798" s="2451"/>
      <c r="V798" s="2451"/>
      <c r="W798" s="2451"/>
      <c r="X798" s="2451"/>
      <c r="Y798" s="2451"/>
      <c r="Z798" s="2452">
        <v>5</v>
      </c>
      <c r="AA798" s="2452"/>
      <c r="AB798" s="2452"/>
      <c r="AC798" s="2452"/>
      <c r="AD798" s="2452"/>
      <c r="AE798" s="2452"/>
      <c r="AF798" s="2452">
        <f>IF(T798&gt;Z798,5,T798)</f>
        <v>0</v>
      </c>
      <c r="AG798" s="2452"/>
      <c r="AH798" s="2452"/>
      <c r="AI798" s="2452"/>
      <c r="AJ798" s="2452"/>
      <c r="AK798" s="2452"/>
      <c r="AL798" s="1532"/>
      <c r="AM798" s="1336"/>
      <c r="AO798" s="1210"/>
      <c r="AP798" s="1211"/>
      <c r="AQ798" s="1211"/>
      <c r="AR798" s="1211"/>
      <c r="AS798" s="1211"/>
      <c r="AT798" s="1211"/>
      <c r="AU798" s="1211"/>
      <c r="AV798" s="1211"/>
      <c r="AW798" s="1211"/>
      <c r="AX798" s="1211"/>
      <c r="AY798" s="1211"/>
      <c r="AZ798" s="1211"/>
      <c r="BA798" s="1211"/>
      <c r="BB798" s="1211"/>
      <c r="BC798" s="1211"/>
      <c r="BD798" s="1329"/>
      <c r="BE798" s="1329"/>
      <c r="BF798" s="1329"/>
      <c r="BG798" s="1329"/>
      <c r="BH798" s="1329"/>
      <c r="BI798" s="1211"/>
      <c r="BJ798" s="1211"/>
      <c r="BK798" s="1211"/>
      <c r="BL798" s="1211"/>
      <c r="BM798" s="1211"/>
      <c r="BN798" s="1211"/>
      <c r="BO798" s="1211"/>
      <c r="BP798" s="1211"/>
      <c r="BQ798" s="1211"/>
      <c r="BR798" s="1211"/>
      <c r="BS798" s="1211"/>
      <c r="BT798" s="1211"/>
      <c r="BU798" s="1211"/>
      <c r="BV798" s="1211"/>
      <c r="BW798" s="1211"/>
      <c r="BX798" s="1211"/>
      <c r="BY798" s="1211"/>
      <c r="BZ798" s="1211"/>
      <c r="CA798" s="1211"/>
      <c r="CB798" s="1211"/>
      <c r="CC798" s="1211"/>
    </row>
    <row r="799" spans="1:81" s="1209" customFormat="1">
      <c r="A799" s="1533" t="s">
        <v>1566</v>
      </c>
      <c r="B799" s="2432" t="s">
        <v>1778</v>
      </c>
      <c r="C799" s="2432"/>
      <c r="D799" s="2432"/>
      <c r="E799" s="2432"/>
      <c r="F799" s="2432"/>
      <c r="G799" s="2432"/>
      <c r="H799" s="2432"/>
      <c r="I799" s="2432"/>
      <c r="J799" s="2432"/>
      <c r="K799" s="2432"/>
      <c r="L799" s="2432"/>
      <c r="M799" s="2432"/>
      <c r="N799" s="2432"/>
      <c r="O799" s="2432"/>
      <c r="P799" s="2432"/>
      <c r="Q799" s="2432"/>
      <c r="R799" s="2432"/>
      <c r="S799" s="2433"/>
      <c r="T799" s="2451">
        <f>AK274</f>
        <v>10</v>
      </c>
      <c r="U799" s="2451"/>
      <c r="V799" s="2451"/>
      <c r="W799" s="2451"/>
      <c r="X799" s="2451"/>
      <c r="Y799" s="2451"/>
      <c r="Z799" s="2452">
        <v>10</v>
      </c>
      <c r="AA799" s="2452"/>
      <c r="AB799" s="2452"/>
      <c r="AC799" s="2452"/>
      <c r="AD799" s="2452"/>
      <c r="AE799" s="2452"/>
      <c r="AF799" s="2436">
        <f>IF(T799&gt;Z799,Z799,T799)</f>
        <v>10</v>
      </c>
      <c r="AG799" s="2437"/>
      <c r="AH799" s="2437"/>
      <c r="AI799" s="2437"/>
      <c r="AJ799" s="2437"/>
      <c r="AK799" s="2438"/>
      <c r="AL799" s="1532"/>
      <c r="AM799" s="1336"/>
      <c r="AO799" s="1210"/>
      <c r="AP799" s="1211"/>
      <c r="AQ799" s="1211"/>
      <c r="AR799" s="1211"/>
      <c r="AS799" s="1211"/>
      <c r="AT799" s="1211"/>
      <c r="AU799" s="1211"/>
      <c r="AV799" s="1211"/>
      <c r="AW799" s="1211"/>
      <c r="AX799" s="1211"/>
      <c r="AY799" s="1211"/>
      <c r="AZ799" s="1211"/>
      <c r="BA799" s="1211"/>
      <c r="BB799" s="1211"/>
      <c r="BC799" s="1211"/>
      <c r="BD799" s="1329"/>
      <c r="BE799" s="1329"/>
      <c r="BF799" s="1329"/>
      <c r="BG799" s="1329"/>
      <c r="BH799" s="1329"/>
      <c r="BI799" s="1211"/>
      <c r="BJ799" s="1211"/>
      <c r="BK799" s="1211"/>
      <c r="BL799" s="1211"/>
      <c r="BM799" s="1211"/>
      <c r="BN799" s="1211"/>
      <c r="BO799" s="1211"/>
      <c r="BP799" s="1211"/>
      <c r="BQ799" s="1211"/>
      <c r="BR799" s="1211"/>
      <c r="BS799" s="1211"/>
      <c r="BT799" s="1211"/>
      <c r="BU799" s="1211"/>
      <c r="BV799" s="1211"/>
      <c r="BW799" s="1211"/>
      <c r="BX799" s="1211"/>
      <c r="BY799" s="1211"/>
      <c r="BZ799" s="1211"/>
      <c r="CA799" s="1211"/>
      <c r="CB799" s="1211"/>
      <c r="CC799" s="1211"/>
    </row>
    <row r="800" spans="1:81" s="1209" customFormat="1">
      <c r="A800" s="1552" t="s">
        <v>1570</v>
      </c>
      <c r="B800" s="2432" t="s">
        <v>1571</v>
      </c>
      <c r="C800" s="2432"/>
      <c r="D800" s="2432"/>
      <c r="E800" s="2432"/>
      <c r="F800" s="2432"/>
      <c r="G800" s="2432"/>
      <c r="H800" s="2432"/>
      <c r="I800" s="2432"/>
      <c r="J800" s="2432"/>
      <c r="K800" s="2432"/>
      <c r="L800" s="2432"/>
      <c r="M800" s="2432"/>
      <c r="N800" s="2432"/>
      <c r="O800" s="2432"/>
      <c r="P800" s="2432"/>
      <c r="Q800" s="2432"/>
      <c r="R800" s="2432"/>
      <c r="S800" s="2433"/>
      <c r="T800" s="2451">
        <f>AK327</f>
        <v>9</v>
      </c>
      <c r="U800" s="2451"/>
      <c r="V800" s="2451"/>
      <c r="W800" s="2451"/>
      <c r="X800" s="2451"/>
      <c r="Y800" s="2451"/>
      <c r="Z800" s="2436">
        <v>10</v>
      </c>
      <c r="AA800" s="2437"/>
      <c r="AB800" s="2437"/>
      <c r="AC800" s="2437"/>
      <c r="AD800" s="2437"/>
      <c r="AE800" s="2438"/>
      <c r="AF800" s="2436">
        <f>IF(T800&gt;Z800,Z800,T800)</f>
        <v>9</v>
      </c>
      <c r="AG800" s="2437"/>
      <c r="AH800" s="2437"/>
      <c r="AI800" s="2437"/>
      <c r="AJ800" s="2437"/>
      <c r="AK800" s="2438"/>
      <c r="AL800" s="1575"/>
      <c r="AM800" s="1336"/>
      <c r="AO800" s="1210"/>
      <c r="AP800" s="1211"/>
      <c r="AQ800" s="1211"/>
      <c r="AR800" s="1211"/>
      <c r="AS800" s="1211"/>
      <c r="AT800" s="1211"/>
      <c r="AU800" s="1211"/>
      <c r="AV800" s="1211"/>
      <c r="AW800" s="1211"/>
      <c r="AX800" s="1211"/>
      <c r="AY800" s="1211"/>
      <c r="AZ800" s="1211"/>
      <c r="BA800" s="1211"/>
      <c r="BB800" s="1211"/>
      <c r="BC800" s="1211"/>
      <c r="BD800" s="1329"/>
      <c r="BE800" s="1329"/>
      <c r="BF800" s="1329"/>
      <c r="BG800" s="1329"/>
      <c r="BH800" s="1329"/>
      <c r="BI800" s="1211"/>
      <c r="BJ800" s="1211"/>
      <c r="BK800" s="1211"/>
      <c r="BL800" s="1211"/>
      <c r="BM800" s="1211"/>
      <c r="BN800" s="1211"/>
      <c r="BO800" s="1211"/>
      <c r="BP800" s="1211"/>
      <c r="BQ800" s="1211"/>
      <c r="BR800" s="1211"/>
      <c r="BS800" s="1211"/>
      <c r="BT800" s="1211"/>
      <c r="BU800" s="1211"/>
      <c r="BV800" s="1211"/>
      <c r="BW800" s="1211"/>
      <c r="BX800" s="1211"/>
      <c r="BY800" s="1211"/>
      <c r="BZ800" s="1211"/>
      <c r="CA800" s="1211"/>
      <c r="CB800" s="1211"/>
      <c r="CC800" s="1211"/>
    </row>
    <row r="801" spans="1:81" s="1209" customFormat="1" hidden="1">
      <c r="A801" s="1552"/>
      <c r="B801" s="1553"/>
      <c r="C801" s="1534" t="s">
        <v>1779</v>
      </c>
      <c r="D801" s="1535"/>
      <c r="E801" s="1535"/>
      <c r="F801" s="1535"/>
      <c r="G801" s="1535"/>
      <c r="H801" s="1535"/>
      <c r="I801" s="1535"/>
      <c r="J801" s="1535"/>
      <c r="K801" s="1535"/>
      <c r="L801" s="1535"/>
      <c r="M801" s="1535"/>
      <c r="N801" s="1535"/>
      <c r="O801" s="1535"/>
      <c r="P801" s="1535"/>
      <c r="Q801" s="1535"/>
      <c r="R801" s="1553"/>
      <c r="S801" s="1554"/>
      <c r="T801" s="2453">
        <f>AK327</f>
        <v>9</v>
      </c>
      <c r="U801" s="2453"/>
      <c r="V801" s="2453"/>
      <c r="W801" s="2453"/>
      <c r="X801" s="2453"/>
      <c r="Y801" s="2453"/>
      <c r="Z801" s="2454">
        <v>20</v>
      </c>
      <c r="AA801" s="2455"/>
      <c r="AB801" s="2455"/>
      <c r="AC801" s="2455"/>
      <c r="AD801" s="2455"/>
      <c r="AE801" s="2456"/>
      <c r="AF801" s="2457"/>
      <c r="AG801" s="2457"/>
      <c r="AH801" s="2457"/>
      <c r="AI801" s="2457"/>
      <c r="AJ801" s="2457"/>
      <c r="AK801" s="2457"/>
      <c r="AL801" s="1575"/>
      <c r="AM801" s="1336"/>
      <c r="AO801" s="1210"/>
      <c r="AP801" s="1211"/>
      <c r="AQ801" s="1211"/>
      <c r="AR801" s="1211"/>
      <c r="AS801" s="1211"/>
      <c r="AT801" s="1211"/>
      <c r="AU801" s="1211"/>
      <c r="AV801" s="1211"/>
      <c r="AW801" s="1211"/>
      <c r="AX801" s="1211"/>
      <c r="AY801" s="1211"/>
      <c r="AZ801" s="1211"/>
      <c r="BA801" s="1211"/>
      <c r="BB801" s="1211"/>
      <c r="BC801" s="1211"/>
      <c r="BD801" s="1329"/>
      <c r="BE801" s="1329"/>
      <c r="BF801" s="1329"/>
      <c r="BG801" s="1329"/>
      <c r="BH801" s="1329"/>
      <c r="BI801" s="1211"/>
      <c r="BJ801" s="1211"/>
      <c r="BK801" s="1211"/>
      <c r="BL801" s="1211"/>
      <c r="BM801" s="1211"/>
      <c r="BN801" s="1211"/>
      <c r="BO801" s="1211"/>
      <c r="BP801" s="1211"/>
      <c r="BQ801" s="1211"/>
      <c r="BR801" s="1211"/>
      <c r="BS801" s="1211"/>
      <c r="BT801" s="1211"/>
      <c r="BU801" s="1211"/>
      <c r="BV801" s="1211"/>
      <c r="BW801" s="1211"/>
      <c r="BX801" s="1211"/>
      <c r="BY801" s="1211"/>
      <c r="BZ801" s="1211"/>
      <c r="CA801" s="1211"/>
      <c r="CB801" s="1211"/>
      <c r="CC801" s="1211"/>
    </row>
    <row r="802" spans="1:81" s="1209" customFormat="1">
      <c r="A802" s="1552" t="s">
        <v>1647</v>
      </c>
      <c r="B802" s="2432" t="s">
        <v>889</v>
      </c>
      <c r="C802" s="2432"/>
      <c r="D802" s="2432"/>
      <c r="E802" s="2432"/>
      <c r="F802" s="2432"/>
      <c r="G802" s="2432"/>
      <c r="H802" s="2432"/>
      <c r="I802" s="2432"/>
      <c r="J802" s="2432"/>
      <c r="K802" s="2432"/>
      <c r="L802" s="2432"/>
      <c r="M802" s="2432"/>
      <c r="N802" s="2432"/>
      <c r="O802" s="2432"/>
      <c r="P802" s="2432"/>
      <c r="Q802" s="2432"/>
      <c r="R802" s="2432"/>
      <c r="S802" s="2433"/>
      <c r="T802" s="2451">
        <f>AK458</f>
        <v>10</v>
      </c>
      <c r="U802" s="2451"/>
      <c r="V802" s="2451"/>
      <c r="W802" s="2451"/>
      <c r="X802" s="2451"/>
      <c r="Y802" s="2451"/>
      <c r="Z802" s="2436">
        <v>10</v>
      </c>
      <c r="AA802" s="2437"/>
      <c r="AB802" s="2437"/>
      <c r="AC802" s="2437"/>
      <c r="AD802" s="2437"/>
      <c r="AE802" s="2438"/>
      <c r="AF802" s="2452">
        <f>IF(T802&gt;Z802,Z802,T802)</f>
        <v>10</v>
      </c>
      <c r="AG802" s="2452"/>
      <c r="AH802" s="2452"/>
      <c r="AI802" s="2452"/>
      <c r="AJ802" s="2452"/>
      <c r="AK802" s="2452"/>
      <c r="AL802" s="1575"/>
      <c r="AM802" s="1336"/>
      <c r="AO802" s="1210"/>
      <c r="AP802" s="1211"/>
      <c r="AQ802" s="1211"/>
      <c r="AR802" s="1211"/>
      <c r="AS802" s="1211"/>
      <c r="AT802" s="1211"/>
      <c r="AU802" s="1211"/>
      <c r="AV802" s="1211"/>
      <c r="AW802" s="1211"/>
      <c r="AX802" s="1211"/>
      <c r="AY802" s="1211"/>
      <c r="AZ802" s="1211"/>
      <c r="BA802" s="1211"/>
      <c r="BB802" s="1211"/>
      <c r="BC802" s="1211"/>
      <c r="BD802" s="1329"/>
      <c r="BE802" s="1329"/>
      <c r="BF802" s="1329"/>
      <c r="BG802" s="1329"/>
      <c r="BH802" s="1329"/>
      <c r="BI802" s="1211"/>
      <c r="BJ802" s="1211"/>
      <c r="BK802" s="1211"/>
      <c r="BL802" s="1211"/>
      <c r="BM802" s="1211"/>
      <c r="BN802" s="1211"/>
      <c r="BO802" s="1211"/>
      <c r="BP802" s="1211"/>
      <c r="BQ802" s="1211"/>
      <c r="BR802" s="1211"/>
      <c r="BS802" s="1211"/>
      <c r="BT802" s="1211"/>
      <c r="BU802" s="1211"/>
      <c r="BV802" s="1211"/>
      <c r="BW802" s="1211"/>
      <c r="BX802" s="1211"/>
      <c r="BY802" s="1211"/>
      <c r="BZ802" s="1211"/>
      <c r="CA802" s="1211"/>
      <c r="CB802" s="1211"/>
      <c r="CC802" s="1211"/>
    </row>
    <row r="803" spans="1:81" s="1209" customFormat="1">
      <c r="A803" s="1552" t="s">
        <v>1757</v>
      </c>
      <c r="B803" s="2432" t="s">
        <v>1758</v>
      </c>
      <c r="C803" s="2432"/>
      <c r="D803" s="2432"/>
      <c r="E803" s="2432"/>
      <c r="F803" s="2432"/>
      <c r="G803" s="2432"/>
      <c r="H803" s="2432"/>
      <c r="I803" s="2432"/>
      <c r="J803" s="2432"/>
      <c r="K803" s="2432"/>
      <c r="L803" s="2432"/>
      <c r="M803" s="2432"/>
      <c r="N803" s="2432"/>
      <c r="O803" s="2432"/>
      <c r="P803" s="2432"/>
      <c r="Q803" s="2432"/>
      <c r="R803" s="2432"/>
      <c r="S803" s="2433"/>
      <c r="T803" s="2451">
        <f>AK548</f>
        <v>12</v>
      </c>
      <c r="U803" s="2451"/>
      <c r="V803" s="2451"/>
      <c r="W803" s="2451"/>
      <c r="X803" s="2451"/>
      <c r="Y803" s="2451"/>
      <c r="Z803" s="2436">
        <v>12</v>
      </c>
      <c r="AA803" s="2437"/>
      <c r="AB803" s="2437"/>
      <c r="AC803" s="2437"/>
      <c r="AD803" s="2437"/>
      <c r="AE803" s="2438"/>
      <c r="AF803" s="2452">
        <f>IF(T803&gt;Z803,Z803,T803)</f>
        <v>12</v>
      </c>
      <c r="AG803" s="2452"/>
      <c r="AH803" s="2452"/>
      <c r="AI803" s="2452"/>
      <c r="AJ803" s="2452"/>
      <c r="AK803" s="2452"/>
      <c r="AL803" s="1575"/>
      <c r="AM803" s="1336"/>
      <c r="AO803" s="1210"/>
      <c r="AP803" s="1211"/>
      <c r="AQ803" s="1211"/>
      <c r="AR803" s="1211"/>
      <c r="AS803" s="1211"/>
      <c r="AT803" s="1211"/>
      <c r="AU803" s="1211"/>
      <c r="AV803" s="1211"/>
      <c r="AW803" s="1211"/>
      <c r="AX803" s="1211"/>
      <c r="AY803" s="1211"/>
      <c r="AZ803" s="1211"/>
      <c r="BA803" s="1211"/>
      <c r="BB803" s="1211"/>
      <c r="BC803" s="1211"/>
      <c r="BD803" s="1329"/>
      <c r="BE803" s="1329"/>
      <c r="BF803" s="1329"/>
      <c r="BG803" s="1329"/>
      <c r="BH803" s="1329"/>
      <c r="BI803" s="1211"/>
      <c r="BJ803" s="1211"/>
      <c r="BK803" s="1211"/>
      <c r="BL803" s="1211"/>
      <c r="BM803" s="1211"/>
      <c r="BN803" s="1211"/>
      <c r="BO803" s="1211"/>
      <c r="BP803" s="1211"/>
      <c r="BQ803" s="1211"/>
      <c r="BR803" s="1211"/>
      <c r="BS803" s="1211"/>
      <c r="BT803" s="1211"/>
      <c r="BU803" s="1211"/>
      <c r="BV803" s="1211"/>
      <c r="BW803" s="1211"/>
      <c r="BX803" s="1211"/>
      <c r="BY803" s="1211"/>
      <c r="BZ803" s="1211"/>
      <c r="CA803" s="1211"/>
      <c r="CB803" s="1211"/>
      <c r="CC803" s="1211"/>
    </row>
    <row r="804" spans="1:81" s="1209" customFormat="1">
      <c r="A804" s="1552" t="s">
        <v>2734</v>
      </c>
      <c r="B804" s="2432" t="s">
        <v>1780</v>
      </c>
      <c r="C804" s="2432"/>
      <c r="D804" s="2432"/>
      <c r="E804" s="2432"/>
      <c r="F804" s="2432"/>
      <c r="G804" s="2432"/>
      <c r="H804" s="2432"/>
      <c r="I804" s="2432"/>
      <c r="J804" s="2432"/>
      <c r="K804" s="2432"/>
      <c r="L804" s="2432"/>
      <c r="M804" s="2432"/>
      <c r="N804" s="2432"/>
      <c r="O804" s="2432"/>
      <c r="P804" s="2432"/>
      <c r="Q804" s="2432"/>
      <c r="R804" s="2432"/>
      <c r="S804" s="2433"/>
      <c r="T804" s="2451">
        <f>AK779</f>
        <v>10</v>
      </c>
      <c r="U804" s="2451"/>
      <c r="V804" s="2451"/>
      <c r="W804" s="2451"/>
      <c r="X804" s="2451"/>
      <c r="Y804" s="2451"/>
      <c r="Z804" s="2436">
        <v>10</v>
      </c>
      <c r="AA804" s="2437"/>
      <c r="AB804" s="2437"/>
      <c r="AC804" s="2437"/>
      <c r="AD804" s="2437"/>
      <c r="AE804" s="2438"/>
      <c r="AF804" s="2452">
        <f>IF(T804&gt;Z804,Z804,T804)</f>
        <v>10</v>
      </c>
      <c r="AG804" s="2452"/>
      <c r="AH804" s="2452"/>
      <c r="AI804" s="2452"/>
      <c r="AJ804" s="2452"/>
      <c r="AK804" s="2452"/>
      <c r="AL804" s="1575"/>
      <c r="AM804" s="1336"/>
      <c r="AO804" s="1210"/>
      <c r="AP804" s="1211"/>
      <c r="AQ804" s="1211"/>
      <c r="AR804" s="1211"/>
      <c r="AS804" s="1211"/>
      <c r="AT804" s="1211"/>
      <c r="AU804" s="1211"/>
      <c r="AV804" s="1211"/>
      <c r="AW804" s="1211"/>
      <c r="AX804" s="1211"/>
      <c r="AY804" s="1211"/>
      <c r="AZ804" s="1211"/>
      <c r="BA804" s="1211"/>
      <c r="BB804" s="1211"/>
      <c r="BC804" s="1211"/>
      <c r="BD804" s="1329"/>
      <c r="BE804" s="1329"/>
      <c r="BF804" s="1329"/>
      <c r="BG804" s="1329"/>
      <c r="BH804" s="1329"/>
      <c r="BI804" s="1211"/>
      <c r="BJ804" s="1211"/>
      <c r="BK804" s="1211"/>
      <c r="BL804" s="1211"/>
      <c r="BM804" s="1211"/>
      <c r="BN804" s="1211"/>
      <c r="BO804" s="1211"/>
      <c r="BP804" s="1211"/>
      <c r="BQ804" s="1211"/>
      <c r="BR804" s="1211"/>
      <c r="BS804" s="1211"/>
      <c r="BT804" s="1211"/>
      <c r="BU804" s="1211"/>
      <c r="BV804" s="1211"/>
      <c r="BW804" s="1211"/>
      <c r="BX804" s="1211"/>
      <c r="BY804" s="1211"/>
      <c r="BZ804" s="1211"/>
      <c r="CA804" s="1211"/>
      <c r="CB804" s="1211"/>
      <c r="CC804" s="1211"/>
    </row>
    <row r="805" spans="1:81" s="1209" customFormat="1">
      <c r="A805" s="2431" t="s">
        <v>1781</v>
      </c>
      <c r="B805" s="2432"/>
      <c r="C805" s="2432"/>
      <c r="D805" s="2432"/>
      <c r="E805" s="2432"/>
      <c r="F805" s="2432"/>
      <c r="G805" s="2432"/>
      <c r="H805" s="2432"/>
      <c r="I805" s="2432"/>
      <c r="J805" s="2432"/>
      <c r="K805" s="2432"/>
      <c r="L805" s="2432"/>
      <c r="M805" s="2432"/>
      <c r="N805" s="2432"/>
      <c r="O805" s="2432"/>
      <c r="P805" s="2432"/>
      <c r="Q805" s="2432"/>
      <c r="R805" s="2432"/>
      <c r="S805" s="2433"/>
      <c r="T805" s="2434"/>
      <c r="U805" s="2434"/>
      <c r="V805" s="2434"/>
      <c r="W805" s="2434"/>
      <c r="X805" s="2434"/>
      <c r="Y805" s="2434"/>
      <c r="Z805" s="2435" t="s">
        <v>1782</v>
      </c>
      <c r="AA805" s="2435"/>
      <c r="AB805" s="2435"/>
      <c r="AC805" s="2435"/>
      <c r="AD805" s="2435"/>
      <c r="AE805" s="2435"/>
      <c r="AF805" s="2436">
        <f>IF(T805&gt;0,T805,0)</f>
        <v>0</v>
      </c>
      <c r="AG805" s="2437"/>
      <c r="AH805" s="2437"/>
      <c r="AI805" s="2437"/>
      <c r="AJ805" s="2437"/>
      <c r="AK805" s="2438"/>
      <c r="AL805" s="1555"/>
      <c r="AM805" s="1336"/>
      <c r="AO805" s="1210"/>
      <c r="AP805" s="1211"/>
      <c r="AQ805" s="1211"/>
      <c r="AR805" s="1211"/>
      <c r="AS805" s="1211"/>
      <c r="AT805" s="1211"/>
      <c r="AU805" s="1211"/>
      <c r="AV805" s="1211"/>
      <c r="AW805" s="1211"/>
      <c r="AX805" s="1211"/>
      <c r="AY805" s="1211"/>
      <c r="AZ805" s="1211"/>
      <c r="BA805" s="1211"/>
      <c r="BB805" s="1211"/>
      <c r="BC805" s="1211"/>
      <c r="BD805" s="1329"/>
      <c r="BE805" s="1329"/>
      <c r="BF805" s="1329"/>
      <c r="BG805" s="1329"/>
      <c r="BH805" s="1329"/>
      <c r="BI805" s="1211"/>
      <c r="BJ805" s="1211"/>
      <c r="BK805" s="1211"/>
      <c r="BL805" s="1211"/>
      <c r="BM805" s="1211"/>
      <c r="BN805" s="1211"/>
      <c r="BO805" s="1211"/>
      <c r="BP805" s="1211"/>
      <c r="BQ805" s="1211"/>
      <c r="BR805" s="1211"/>
      <c r="BS805" s="1211"/>
      <c r="BT805" s="1211"/>
      <c r="BU805" s="1211"/>
      <c r="BV805" s="1211"/>
      <c r="BW805" s="1211"/>
      <c r="BX805" s="1211"/>
      <c r="BY805" s="1211"/>
      <c r="BZ805" s="1211"/>
      <c r="CA805" s="1211"/>
      <c r="CB805" s="1211"/>
      <c r="CC805" s="1211"/>
    </row>
    <row r="806" spans="1:81" s="1209" customFormat="1" ht="15.6">
      <c r="A806" s="2439" t="s">
        <v>1783</v>
      </c>
      <c r="B806" s="2440"/>
      <c r="C806" s="2440"/>
      <c r="D806" s="2440"/>
      <c r="E806" s="2440"/>
      <c r="F806" s="2440"/>
      <c r="G806" s="2440"/>
      <c r="H806" s="2440"/>
      <c r="I806" s="2440"/>
      <c r="J806" s="2440"/>
      <c r="K806" s="2440"/>
      <c r="L806" s="2440"/>
      <c r="M806" s="2440"/>
      <c r="N806" s="2440"/>
      <c r="O806" s="2440"/>
      <c r="P806" s="2440"/>
      <c r="Q806" s="2440"/>
      <c r="R806" s="2440"/>
      <c r="S806" s="2440"/>
      <c r="T806" s="2440"/>
      <c r="U806" s="2440"/>
      <c r="V806" s="2440"/>
      <c r="W806" s="2440"/>
      <c r="X806" s="2440"/>
      <c r="Y806" s="2440"/>
      <c r="Z806" s="2440"/>
      <c r="AA806" s="2440"/>
      <c r="AB806" s="2440"/>
      <c r="AC806" s="2440"/>
      <c r="AD806" s="2440"/>
      <c r="AE806" s="2441"/>
      <c r="AF806" s="2445">
        <f ca="1">SUM(AF789:AK804)-AF805</f>
        <v>119</v>
      </c>
      <c r="AG806" s="2446"/>
      <c r="AH806" s="2446"/>
      <c r="AI806" s="2446"/>
      <c r="AJ806" s="2446"/>
      <c r="AK806" s="2447"/>
      <c r="AL806" s="1536"/>
      <c r="AM806" s="1226"/>
      <c r="AO806" s="1210"/>
      <c r="AP806" s="1211"/>
      <c r="AQ806" s="1211"/>
      <c r="AR806" s="1211"/>
      <c r="AS806" s="1211"/>
      <c r="AT806" s="1211"/>
      <c r="AU806" s="1211"/>
      <c r="AV806" s="1211"/>
      <c r="AW806" s="1211"/>
      <c r="AX806" s="1211"/>
      <c r="AY806" s="1211"/>
      <c r="AZ806" s="1211"/>
      <c r="BA806" s="1211"/>
      <c r="BB806" s="1211"/>
      <c r="BC806" s="1211"/>
      <c r="BD806" s="1329"/>
      <c r="BE806" s="1329"/>
      <c r="BF806" s="1329"/>
      <c r="BG806" s="1329"/>
      <c r="BH806" s="1329"/>
      <c r="BI806" s="1211"/>
      <c r="BJ806" s="1211"/>
      <c r="BK806" s="1211"/>
      <c r="BL806" s="1211"/>
      <c r="BM806" s="1211"/>
      <c r="BN806" s="1211"/>
      <c r="BO806" s="1211"/>
      <c r="BP806" s="1211"/>
      <c r="BQ806" s="1211"/>
      <c r="BR806" s="1211"/>
      <c r="BS806" s="1211"/>
      <c r="BT806" s="1211"/>
      <c r="BU806" s="1211"/>
      <c r="BV806" s="1211"/>
      <c r="BW806" s="1211"/>
      <c r="BX806" s="1211"/>
      <c r="BY806" s="1211"/>
      <c r="BZ806" s="1211"/>
      <c r="CA806" s="1211"/>
      <c r="CB806" s="1211"/>
      <c r="CC806" s="1211"/>
    </row>
    <row r="807" spans="1:81" s="1209" customFormat="1" ht="15.6">
      <c r="A807" s="2442"/>
      <c r="B807" s="2443"/>
      <c r="C807" s="2443"/>
      <c r="D807" s="2443"/>
      <c r="E807" s="2443"/>
      <c r="F807" s="2443"/>
      <c r="G807" s="2443"/>
      <c r="H807" s="2443"/>
      <c r="I807" s="2443"/>
      <c r="J807" s="2443"/>
      <c r="K807" s="2443"/>
      <c r="L807" s="2443"/>
      <c r="M807" s="2443"/>
      <c r="N807" s="2443"/>
      <c r="O807" s="2443"/>
      <c r="P807" s="2443"/>
      <c r="Q807" s="2443"/>
      <c r="R807" s="2443"/>
      <c r="S807" s="2443"/>
      <c r="T807" s="2443"/>
      <c r="U807" s="2443"/>
      <c r="V807" s="2443"/>
      <c r="W807" s="2443"/>
      <c r="X807" s="2443"/>
      <c r="Y807" s="2443"/>
      <c r="Z807" s="2443"/>
      <c r="AA807" s="2443"/>
      <c r="AB807" s="2443"/>
      <c r="AC807" s="2443"/>
      <c r="AD807" s="2443"/>
      <c r="AE807" s="2444"/>
      <c r="AF807" s="2448"/>
      <c r="AG807" s="2449"/>
      <c r="AH807" s="2449"/>
      <c r="AI807" s="2449"/>
      <c r="AJ807" s="2449"/>
      <c r="AK807" s="2450"/>
      <c r="AL807" s="1536"/>
      <c r="AM807" s="1226"/>
      <c r="AO807" s="1210"/>
      <c r="AP807" s="1211"/>
      <c r="AQ807" s="1211"/>
      <c r="AR807" s="1211"/>
      <c r="AS807" s="1211"/>
      <c r="AT807" s="1211"/>
      <c r="AU807" s="1211"/>
      <c r="AV807" s="1211"/>
      <c r="AW807" s="1211"/>
      <c r="AX807" s="1211"/>
      <c r="AY807" s="1211"/>
      <c r="AZ807" s="1211"/>
      <c r="BA807" s="1211"/>
      <c r="BB807" s="1211"/>
      <c r="BC807" s="1211"/>
      <c r="BD807" s="1329"/>
      <c r="BE807" s="1329"/>
      <c r="BF807" s="1329"/>
      <c r="BG807" s="1329"/>
      <c r="BH807" s="1329"/>
      <c r="BI807" s="1211"/>
      <c r="BJ807" s="1211"/>
      <c r="BK807" s="1211"/>
      <c r="BL807" s="1211"/>
      <c r="BM807" s="1211"/>
      <c r="BN807" s="1211"/>
      <c r="BO807" s="1211"/>
      <c r="BP807" s="1211"/>
      <c r="BQ807" s="1211"/>
      <c r="BR807" s="1211"/>
      <c r="BS807" s="1211"/>
      <c r="BT807" s="1211"/>
      <c r="BU807" s="1211"/>
      <c r="BV807" s="1211"/>
      <c r="BW807" s="1211"/>
      <c r="BX807" s="1211"/>
      <c r="BY807" s="1211"/>
      <c r="BZ807" s="1211"/>
      <c r="CA807" s="1211"/>
      <c r="CB807" s="1211"/>
      <c r="CC807" s="1211"/>
    </row>
    <row r="808" spans="1:81" s="1209" customFormat="1">
      <c r="A808" s="1285"/>
      <c r="B808" s="1285"/>
      <c r="C808" s="1285"/>
      <c r="D808" s="1285"/>
      <c r="E808" s="1285"/>
      <c r="F808" s="1285"/>
      <c r="G808" s="1285"/>
      <c r="H808" s="1285"/>
      <c r="I808" s="1285"/>
      <c r="J808" s="1285"/>
      <c r="K808" s="1285"/>
      <c r="L808" s="1285"/>
      <c r="M808" s="1285"/>
      <c r="N808" s="1285"/>
      <c r="O808" s="1285"/>
      <c r="P808" s="1285"/>
      <c r="Q808" s="1285"/>
      <c r="R808" s="1285"/>
      <c r="S808" s="1285"/>
      <c r="T808" s="1285"/>
      <c r="U808" s="1285"/>
      <c r="V808" s="1285"/>
      <c r="W808" s="1285"/>
      <c r="X808" s="1285"/>
      <c r="Y808" s="1285"/>
      <c r="Z808" s="1285"/>
      <c r="AA808" s="1285"/>
      <c r="AB808" s="1285"/>
      <c r="AC808" s="1285"/>
      <c r="AD808" s="1285"/>
      <c r="AE808" s="1285"/>
      <c r="AF808" s="1285"/>
      <c r="AG808" s="1285"/>
      <c r="AH808" s="1285"/>
      <c r="AI808" s="1285"/>
      <c r="AJ808" s="1285"/>
      <c r="AK808" s="1285"/>
      <c r="AL808" s="1285"/>
      <c r="AM808" s="1376"/>
      <c r="AO808" s="1210"/>
      <c r="AP808" s="1211"/>
      <c r="AQ808" s="1211"/>
      <c r="AR808" s="1211"/>
      <c r="AS808" s="1211"/>
      <c r="AT808" s="1211"/>
      <c r="AU808" s="1211"/>
      <c r="AV808" s="1211"/>
      <c r="AW808" s="1211"/>
      <c r="AX808" s="1211"/>
      <c r="AY808" s="1211"/>
      <c r="AZ808" s="1211"/>
      <c r="BA808" s="1211"/>
      <c r="BB808" s="1211"/>
      <c r="BC808" s="1211"/>
      <c r="BD808" s="1329"/>
      <c r="BE808" s="1329"/>
      <c r="BF808" s="1329"/>
      <c r="BG808" s="1329"/>
      <c r="BH808" s="1329"/>
      <c r="BI808" s="1211"/>
      <c r="BJ808" s="1211"/>
      <c r="BK808" s="1211"/>
      <c r="BL808" s="1211"/>
      <c r="BM808" s="1211"/>
      <c r="BN808" s="1211"/>
      <c r="BO808" s="1211"/>
      <c r="BP808" s="1211"/>
      <c r="BQ808" s="1211"/>
      <c r="BR808" s="1211"/>
      <c r="BS808" s="1211"/>
      <c r="BT808" s="1211"/>
      <c r="BU808" s="1211"/>
      <c r="BV808" s="1211"/>
      <c r="BW808" s="1211"/>
      <c r="BX808" s="1211"/>
      <c r="BY808" s="1211"/>
      <c r="BZ808" s="1211"/>
      <c r="CA808" s="1211"/>
      <c r="CB808" s="1211"/>
      <c r="CC808" s="1211"/>
    </row>
    <row r="809" spans="1:81"/>
  </sheetData>
  <sheetProtection algorithmName="SHA-512" hashValue="4Pzc6VEgca1s8Hee6iKbWmX1KywQruBG853fbpxWtPx7lHGl1n2eMj7/xLctKh/29yaWp12mnfPesSHC3oMP6g==" saltValue="desPtCTlIM84vSBmm9Zc8Q=="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00000000-0002-0000-0600-000000000000}">
      <formula1>"N/A, Yes, 50% Met"</formula1>
    </dataValidation>
    <dataValidation type="list" allowBlank="1" showInputMessage="1" showErrorMessage="1" sqref="H674:I674" xr:uid="{00000000-0002-0000-0600-000001000000}">
      <formula1>$AO$622:$AO$629</formula1>
    </dataValidation>
    <dataValidation type="list" allowBlank="1" showInputMessage="1" showErrorMessage="1" sqref="F305:AD309" xr:uid="{00000000-0002-0000-0600-000002000000}">
      <formula1>$AP$300:$AP$303</formula1>
    </dataValidation>
    <dataValidation type="list" allowBlank="1" showInputMessage="1" showErrorMessage="1" sqref="I603" xr:uid="{00000000-0002-0000-0600-000003000000}">
      <formula1>$AO$602:$AO$604</formula1>
    </dataValidation>
    <dataValidation type="list" allowBlank="1" showInputMessage="1" showErrorMessage="1" sqref="H595:I601" xr:uid="{00000000-0002-0000-0600-000004000000}">
      <formula1>$AO$575:$AO$580</formula1>
    </dataValidation>
    <dataValidation type="list" allowBlank="1" showInputMessage="1" showErrorMessage="1" sqref="H764:I764" xr:uid="{00000000-0002-0000-0600-000005000000}">
      <formula1>$AP$705:$AP$707</formula1>
    </dataValidation>
    <dataValidation type="list" allowBlank="1" showInputMessage="1" showErrorMessage="1" sqref="C160:AD160" xr:uid="{00000000-0002-0000-0600-000006000000}">
      <formula1>$AO$159:$AO$164</formula1>
    </dataValidation>
    <dataValidation type="list" allowBlank="1" showInputMessage="1" showErrorMessage="1" sqref="C159:AI159" xr:uid="{00000000-0002-0000-0600-000007000000}">
      <formula1>$AO$159:$AO$162</formula1>
    </dataValidation>
    <dataValidation type="list" allowBlank="1" showInputMessage="1" showErrorMessage="1" sqref="C163:AD163" xr:uid="{00000000-0002-0000-0600-000008000000}">
      <formula1>$AO$166:$AO$168</formula1>
    </dataValidation>
    <dataValidation type="list" allowBlank="1" showInputMessage="1" showErrorMessage="1" sqref="O590" xr:uid="{00000000-0002-0000-0600-000009000000}">
      <formula1>"(select),Dial-a-ride service,Project-operated van service"</formula1>
    </dataValidation>
    <dataValidation type="list" allowBlank="1" showInputMessage="1" showErrorMessage="1" sqref="I313" xr:uid="{00000000-0002-0000-0600-00000A000000}">
      <formula1>$AP$312:$AP$316</formula1>
    </dataValidation>
    <dataValidation type="list" allowBlank="1" showInputMessage="1" showErrorMessage="1" sqref="I318:AD320" xr:uid="{00000000-0002-0000-0600-00000B000000}">
      <formula1>$AP$319:$AP$321</formula1>
    </dataValidation>
    <dataValidation type="list" allowBlank="1" showInputMessage="1" showErrorMessage="1" sqref="B213:G222" xr:uid="{00000000-0002-0000-0600-00000C000000}">
      <formula1>"(select),SRO/Studio,1 bedroom,2 bedroom,3 bedroom,4 bedroom,5 bedroom"</formula1>
    </dataValidation>
    <dataValidation type="list" allowBlank="1" showInputMessage="1" showErrorMessage="1" sqref="H775:I775" xr:uid="{00000000-0002-0000-0600-00000D000000}">
      <formula1>$AO$769:$AO$770</formula1>
    </dataValidation>
    <dataValidation type="list" allowBlank="1" showInputMessage="1" showErrorMessage="1" sqref="F513" xr:uid="{00000000-0002-0000-0600-00000E000000}">
      <formula1>$AO$483:$AO$486</formula1>
    </dataValidation>
    <dataValidation type="list" allowBlank="1" showInputMessage="1" showErrorMessage="1" sqref="F497:H497" xr:uid="{00000000-0002-0000-0600-00000F000000}">
      <formula1>$AO$470:$AO$472</formula1>
    </dataValidation>
    <dataValidation type="list" allowBlank="1" showInputMessage="1" showErrorMessage="1" sqref="F492:Z492" xr:uid="{00000000-0002-0000-0600-000010000000}">
      <formula1>$AO$460:$AO$468</formula1>
    </dataValidation>
    <dataValidation type="list" allowBlank="1" showInputMessage="1" showErrorMessage="1" sqref="B152" xr:uid="{00000000-0002-0000-0600-000011000000}">
      <formula1>$AO$150:$AO$152</formula1>
    </dataValidation>
    <dataValidation type="list" allowBlank="1" showInputMessage="1" showErrorMessage="1" sqref="AB149:AC149 AC161:AD161" xr:uid="{00000000-0002-0000-0600-000012000000}">
      <formula1>"N/A,Yes,"</formula1>
    </dataValidation>
    <dataValidation type="list" showInputMessage="1" showErrorMessage="1" sqref="B605:C605" xr:uid="{00000000-0002-0000-0600-000013000000}">
      <formula1>$AP$563:$AP$564</formula1>
    </dataValidation>
    <dataValidation type="list" allowBlank="1" showInputMessage="1" showErrorMessage="1" sqref="H639:I639" xr:uid="{00000000-0002-0000-0600-000014000000}">
      <formula1>$AO$575:$AO$576</formula1>
    </dataValidation>
    <dataValidation type="list" allowBlank="1" showInputMessage="1" showErrorMessage="1" sqref="H748:I748 H736:I736 H720:I720 H708:I708 H694:I694 H639:I639 H627:I627" xr:uid="{00000000-0002-0000-0600-000015000000}">
      <formula1>$AO$575:$AO$577</formula1>
    </dataValidation>
    <dataValidation type="list" allowBlank="1" showInputMessage="1" showErrorMessage="1" sqref="G502:AF502" xr:uid="{00000000-0002-0000-0600-000016000000}">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600-000017000000}">
      <formula1>"N/A, Yes"</formula1>
    </dataValidation>
    <dataValidation type="list" allowBlank="1" showInputMessage="1" showErrorMessage="1" sqref="B147:AI147" xr:uid="{00000000-0002-0000-0600-000018000000}">
      <formula1>$AO$145:$AO$148</formula1>
    </dataValidation>
    <dataValidation type="list" showInputMessage="1" showErrorMessage="1" sqref="B177" xr:uid="{00000000-0002-0000-0600-000019000000}">
      <formula1>$AP$174:$AP$181</formula1>
    </dataValidation>
    <dataValidation type="list" showInputMessage="1" showErrorMessage="1" sqref="T178:AC178" xr:uid="{00000000-0002-0000-0600-00001A000000}">
      <formula1>$AS$178:$AS$180</formula1>
    </dataValidation>
    <dataValidation type="list" allowBlank="1" showInputMessage="1" showErrorMessage="1" sqref="V474:X474" xr:uid="{00000000-0002-0000-0600-00001B000000}">
      <formula1>$AR$444:$AR$446</formula1>
    </dataValidation>
    <dataValidation type="list" allowBlank="1" showInputMessage="1" showErrorMessage="1" sqref="V481:X481" xr:uid="{00000000-0002-0000-0600-00001C000000}">
      <formula1>$AO$448:$AO$450</formula1>
    </dataValidation>
    <dataValidation type="list" allowBlank="1" showInputMessage="1" showErrorMessage="1" sqref="F469:Z469" xr:uid="{00000000-0002-0000-0600-00001D000000}">
      <formula1>$AO$434:$AO$442</formula1>
    </dataValidation>
    <dataValidation type="list" allowBlank="1" showInputMessage="1" showErrorMessage="1" sqref="V487:X487" xr:uid="{00000000-0002-0000-0600-00001E000000}">
      <formula1>$BA$444:$BA$446</formula1>
    </dataValidation>
    <dataValidation type="list" allowBlank="1" showInputMessage="1" showErrorMessage="1" sqref="V485:X485" xr:uid="{00000000-0002-0000-0600-00001F000000}">
      <formula1>$AW$444:$AW$447</formula1>
    </dataValidation>
    <dataValidation type="list" allowBlank="1" showInputMessage="1" showErrorMessage="1" sqref="V476:X476" xr:uid="{00000000-0002-0000-0600-000020000000}">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WVR148"/>
  <sheetViews>
    <sheetView showGridLines="0" showZeros="0" topLeftCell="A76" zoomScale="90" zoomScaleNormal="90" zoomScaleSheetLayoutView="100" workbookViewId="0">
      <selection activeCell="E109" sqref="E109"/>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85" t="s">
        <v>1392</v>
      </c>
      <c r="B1" s="2686"/>
      <c r="C1" s="2686"/>
      <c r="D1" s="2686"/>
      <c r="E1" s="2686"/>
      <c r="F1" s="2686"/>
      <c r="G1" s="2686"/>
      <c r="H1" s="2686"/>
      <c r="I1" s="2686"/>
      <c r="J1" s="2687"/>
      <c r="K1" s="552"/>
    </row>
    <row r="2" spans="1:11" s="608" customFormat="1" ht="72">
      <c r="A2" s="604"/>
      <c r="B2" s="605" t="s">
        <v>1104</v>
      </c>
      <c r="C2" s="605" t="s">
        <v>1394</v>
      </c>
      <c r="D2" s="606" t="s">
        <v>1395</v>
      </c>
      <c r="E2" s="605" t="s">
        <v>1316</v>
      </c>
      <c r="F2" s="605" t="s">
        <v>1396</v>
      </c>
      <c r="G2" s="605" t="s">
        <v>1397</v>
      </c>
      <c r="H2" s="605" t="s">
        <v>1105</v>
      </c>
      <c r="I2" s="605" t="s">
        <v>1398</v>
      </c>
      <c r="J2" s="605" t="s">
        <v>1399</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0</v>
      </c>
      <c r="C4" s="559"/>
      <c r="D4" s="559"/>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15000</v>
      </c>
      <c r="C6" s="559"/>
      <c r="D6" s="559"/>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617</v>
      </c>
      <c r="B8" s="558">
        <f>'Sources and Uses Budget'!C8</f>
        <v>15000</v>
      </c>
      <c r="C8" s="558">
        <f>SUM(C4:C7)</f>
        <v>0</v>
      </c>
      <c r="D8" s="558">
        <f>SUM(D4:D7)</f>
        <v>0</v>
      </c>
      <c r="E8" s="560"/>
      <c r="F8" s="560"/>
      <c r="G8" s="560"/>
      <c r="H8" s="560"/>
      <c r="I8" s="560"/>
      <c r="J8" s="560"/>
      <c r="K8" s="556"/>
    </row>
    <row r="9" spans="1:11" s="557" customFormat="1" ht="11.4">
      <c r="A9" s="561" t="s">
        <v>618</v>
      </c>
      <c r="B9" s="558">
        <f>'Sources and Uses Budget'!C9</f>
        <v>0</v>
      </c>
      <c r="C9" s="559"/>
      <c r="D9" s="559"/>
      <c r="E9" s="560"/>
      <c r="F9" s="560"/>
      <c r="G9" s="560"/>
      <c r="H9" s="558">
        <f>'Sources and Uses Budget'!T9</f>
        <v>0</v>
      </c>
      <c r="I9" s="559"/>
      <c r="J9" s="559"/>
      <c r="K9" s="556"/>
    </row>
    <row r="10" spans="1:11" s="557" customFormat="1" ht="11.4">
      <c r="A10" s="561" t="s">
        <v>619</v>
      </c>
      <c r="B10" s="558">
        <f>'Sources and Uses Budget'!C10</f>
        <v>50000</v>
      </c>
      <c r="C10" s="559"/>
      <c r="D10" s="559"/>
      <c r="E10" s="558">
        <f>'Sources and Uses Budget'!S10</f>
        <v>50000</v>
      </c>
      <c r="F10" s="559"/>
      <c r="G10" s="559"/>
      <c r="H10" s="558">
        <f>'Sources and Uses Budget'!T10</f>
        <v>0</v>
      </c>
      <c r="I10" s="559"/>
      <c r="J10" s="559"/>
      <c r="K10" s="556"/>
    </row>
    <row r="11" spans="1:11" s="557" customFormat="1">
      <c r="A11" s="562" t="s">
        <v>620</v>
      </c>
      <c r="B11" s="558">
        <f>'Sources and Uses Budget'!C11</f>
        <v>50000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65000</v>
      </c>
      <c r="C12" s="558">
        <f>SUM(C8+C11)</f>
        <v>0</v>
      </c>
      <c r="D12" s="558">
        <f>SUM(D8+D11)</f>
        <v>0</v>
      </c>
      <c r="E12" s="560"/>
      <c r="F12" s="560"/>
      <c r="G12" s="560"/>
      <c r="H12" s="560"/>
      <c r="I12" s="560"/>
      <c r="J12" s="560"/>
      <c r="K12" s="556"/>
    </row>
    <row r="13" spans="1:11" s="557" customFormat="1" ht="11.4">
      <c r="A13" s="563" t="s">
        <v>951</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952</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1320</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621</v>
      </c>
      <c r="B16" s="555"/>
      <c r="C16" s="555"/>
      <c r="D16" s="555"/>
      <c r="E16" s="555"/>
      <c r="F16" s="555"/>
      <c r="G16" s="555"/>
      <c r="H16" s="555"/>
      <c r="I16" s="555"/>
      <c r="J16" s="555"/>
      <c r="K16" s="556"/>
    </row>
    <row r="17" spans="1:11" s="557" customFormat="1" ht="11.4">
      <c r="A17" s="561" t="s">
        <v>622</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623</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624</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1842</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622</v>
      </c>
      <c r="B29" s="558">
        <f>'Sources and Uses Budget'!C29</f>
        <v>1171705</v>
      </c>
      <c r="C29" s="559"/>
      <c r="D29" s="559"/>
      <c r="E29" s="558">
        <f>'Sources and Uses Budget'!S29</f>
        <v>1171705</v>
      </c>
      <c r="F29" s="559"/>
      <c r="G29" s="559"/>
      <c r="H29" s="558">
        <f>'Sources and Uses Budget'!T29</f>
        <v>0</v>
      </c>
      <c r="I29" s="559"/>
      <c r="J29" s="559"/>
      <c r="K29" s="556"/>
    </row>
    <row r="30" spans="1:11" s="557" customFormat="1" ht="11.4">
      <c r="A30" s="215" t="s">
        <v>623</v>
      </c>
      <c r="B30" s="558">
        <f>'Sources and Uses Budget'!C30</f>
        <v>46608024</v>
      </c>
      <c r="C30" s="559"/>
      <c r="D30" s="559"/>
      <c r="E30" s="558">
        <f>'Sources and Uses Budget'!S30</f>
        <v>46608024</v>
      </c>
      <c r="F30" s="559"/>
      <c r="G30" s="559"/>
      <c r="H30" s="558">
        <f>'Sources and Uses Budget'!T30</f>
        <v>0</v>
      </c>
      <c r="I30" s="559"/>
      <c r="J30" s="559"/>
      <c r="K30" s="556"/>
    </row>
    <row r="31" spans="1:11" s="557" customFormat="1" ht="11.4">
      <c r="A31" s="215" t="s">
        <v>624</v>
      </c>
      <c r="B31" s="558">
        <f>'Sources and Uses Budget'!C31</f>
        <v>2804389</v>
      </c>
      <c r="C31" s="559"/>
      <c r="D31" s="559"/>
      <c r="E31" s="558">
        <f>'Sources and Uses Budget'!S31</f>
        <v>2804389</v>
      </c>
      <c r="F31" s="559"/>
      <c r="G31" s="559"/>
      <c r="H31" s="558">
        <f>'Sources and Uses Budget'!T31</f>
        <v>0</v>
      </c>
      <c r="I31" s="559"/>
      <c r="J31" s="559"/>
      <c r="K31" s="556"/>
    </row>
    <row r="32" spans="1:11" s="557" customFormat="1" ht="11.4">
      <c r="A32" s="215" t="s">
        <v>142</v>
      </c>
      <c r="B32" s="558">
        <f>'Sources and Uses Budget'!C32</f>
        <v>890494</v>
      </c>
      <c r="C32" s="559"/>
      <c r="D32" s="559"/>
      <c r="E32" s="558">
        <f>'Sources and Uses Budget'!S32</f>
        <v>890494</v>
      </c>
      <c r="F32" s="559"/>
      <c r="G32" s="559"/>
      <c r="H32" s="558">
        <f>'Sources and Uses Budget'!T32</f>
        <v>0</v>
      </c>
      <c r="I32" s="559"/>
      <c r="J32" s="559"/>
      <c r="K32" s="556"/>
    </row>
    <row r="33" spans="1:11" s="557" customFormat="1" ht="11.4">
      <c r="A33" s="215" t="s">
        <v>143</v>
      </c>
      <c r="B33" s="558">
        <f>'Sources and Uses Budget'!C33</f>
        <v>890494</v>
      </c>
      <c r="C33" s="559"/>
      <c r="D33" s="559"/>
      <c r="E33" s="558">
        <f>'Sources and Uses Budget'!S33</f>
        <v>890494</v>
      </c>
      <c r="F33" s="559"/>
      <c r="G33" s="559"/>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1073892</v>
      </c>
      <c r="C35" s="559"/>
      <c r="D35" s="559"/>
      <c r="E35" s="558">
        <f>'Sources and Uses Budget'!S35</f>
        <v>1073892</v>
      </c>
      <c r="F35" s="559"/>
      <c r="G35" s="559"/>
      <c r="H35" s="558">
        <f>'Sources and Uses Budget'!T35</f>
        <v>0</v>
      </c>
      <c r="I35" s="559"/>
      <c r="J35" s="559"/>
      <c r="K35" s="556"/>
    </row>
    <row r="36" spans="1:11" s="557" customFormat="1" ht="11.4">
      <c r="A36" s="850" t="s">
        <v>1842</v>
      </c>
      <c r="B36" s="558">
        <f>'Sources and Uses Budget'!C36</f>
        <v>303195</v>
      </c>
      <c r="C36" s="559"/>
      <c r="D36" s="559"/>
      <c r="E36" s="558">
        <f>'Sources and Uses Budget'!S36</f>
        <v>303195</v>
      </c>
      <c r="F36" s="559"/>
      <c r="G36" s="559"/>
      <c r="H36" s="558">
        <f>'Sources and Uses Budget'!T36</f>
        <v>0</v>
      </c>
      <c r="I36" s="559"/>
      <c r="J36" s="559"/>
      <c r="K36" s="556"/>
    </row>
    <row r="37" spans="1:11" s="557" customFormat="1" ht="11.4">
      <c r="A37" s="564" t="str">
        <f>'Sources and Uses Budget'!$A37</f>
        <v>Other: Environmental Remediation</v>
      </c>
      <c r="B37" s="558">
        <f>'Sources and Uses Budget'!C37</f>
        <v>500000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54242193</v>
      </c>
      <c r="C38" s="558">
        <f>SUM(C29:C37)</f>
        <v>0</v>
      </c>
      <c r="D38" s="558">
        <f>SUM(D29:D37)</f>
        <v>0</v>
      </c>
      <c r="E38" s="558">
        <f>'Sources and Uses Budget'!S38</f>
        <v>53742193</v>
      </c>
      <c r="F38" s="565">
        <f>SUM(F29:F37)</f>
        <v>0</v>
      </c>
      <c r="G38" s="565">
        <f>SUM(G29:G37)</f>
        <v>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1900000</v>
      </c>
      <c r="C40" s="559"/>
      <c r="D40" s="559"/>
      <c r="E40" s="558">
        <f>'Sources and Uses Budget'!S40</f>
        <v>1900000</v>
      </c>
      <c r="F40" s="559"/>
      <c r="G40" s="559"/>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1900000</v>
      </c>
      <c r="C42" s="558">
        <f>SUM(C39:C41)</f>
        <v>0</v>
      </c>
      <c r="D42" s="558">
        <f>SUM(D39:D41)</f>
        <v>0</v>
      </c>
      <c r="E42" s="558">
        <f>'Sources and Uses Budget'!S42</f>
        <v>1900000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359075</v>
      </c>
      <c r="C43" s="559"/>
      <c r="D43" s="559"/>
      <c r="E43" s="558">
        <f>'Sources and Uses Budget'!S43</f>
        <v>359075</v>
      </c>
      <c r="F43" s="559"/>
      <c r="G43" s="559"/>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2113503.7150152293</v>
      </c>
      <c r="C45" s="559"/>
      <c r="D45" s="559"/>
      <c r="E45" s="558">
        <f>'Sources and Uses Budget'!S45</f>
        <v>1295373.2446867535</v>
      </c>
      <c r="F45" s="559"/>
      <c r="G45" s="559"/>
      <c r="H45" s="558">
        <f>'Sources and Uses Budget'!T45</f>
        <v>0</v>
      </c>
      <c r="I45" s="559"/>
      <c r="J45" s="559"/>
      <c r="K45" s="556"/>
    </row>
    <row r="46" spans="1:11" s="557" customFormat="1" ht="11.4">
      <c r="A46" s="561" t="s">
        <v>156</v>
      </c>
      <c r="B46" s="558">
        <f>'Sources and Uses Budget'!C46</f>
        <v>272710.1567761586</v>
      </c>
      <c r="C46" s="559"/>
      <c r="D46" s="559"/>
      <c r="E46" s="558">
        <f>'Sources and Uses Budget'!S46</f>
        <v>272710.1567761586</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ht="11.4">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1.4">
      <c r="A49" s="437" t="s">
        <v>60</v>
      </c>
      <c r="B49" s="558">
        <f>'Sources and Uses Budget'!C49</f>
        <v>365095.03983531543</v>
      </c>
      <c r="C49" s="559"/>
      <c r="D49" s="559"/>
      <c r="E49" s="558">
        <f>'Sources and Uses Budget'!S49</f>
        <v>0</v>
      </c>
      <c r="F49" s="559"/>
      <c r="G49" s="559"/>
      <c r="H49" s="558">
        <f>'Sources and Uses Budget'!T49</f>
        <v>0</v>
      </c>
      <c r="I49" s="559"/>
      <c r="J49" s="559"/>
      <c r="K49" s="556"/>
    </row>
    <row r="50" spans="1:11" s="557" customFormat="1" ht="11.4">
      <c r="A50" s="561" t="s">
        <v>161</v>
      </c>
      <c r="B50" s="558">
        <f>'Sources and Uses Budget'!C50</f>
        <v>60000</v>
      </c>
      <c r="C50" s="559"/>
      <c r="D50" s="559"/>
      <c r="E50" s="558">
        <f>'Sources and Uses Budget'!S50</f>
        <v>60000</v>
      </c>
      <c r="F50" s="559"/>
      <c r="G50" s="559"/>
      <c r="H50" s="558">
        <f>'Sources and Uses Budget'!T50</f>
        <v>0</v>
      </c>
      <c r="I50" s="559"/>
      <c r="J50" s="559"/>
      <c r="K50" s="556"/>
    </row>
    <row r="51" spans="1:11" s="557" customFormat="1" ht="11.4">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ht="11.4">
      <c r="A52" s="561" t="s">
        <v>160</v>
      </c>
      <c r="B52" s="558">
        <f>'Sources and Uses Budget'!C52</f>
        <v>207340.17563700001</v>
      </c>
      <c r="C52" s="559"/>
      <c r="D52" s="559"/>
      <c r="E52" s="558">
        <f>'Sources and Uses Budget'!S52</f>
        <v>207340.17563700001</v>
      </c>
      <c r="F52" s="559"/>
      <c r="G52" s="559"/>
      <c r="H52" s="558">
        <f>'Sources and Uses Budget'!T52</f>
        <v>0</v>
      </c>
      <c r="I52" s="559"/>
      <c r="J52" s="559"/>
      <c r="K52" s="556"/>
    </row>
    <row r="53" spans="1:11" s="557" customFormat="1" ht="11.4">
      <c r="A53" s="564" t="str">
        <f>'Sources and Uses Budget'!$A53</f>
        <v>Other: Soft Loan Accrued Deferred Interest</v>
      </c>
      <c r="B53" s="558">
        <f>'Sources and Uses Budget'!C53</f>
        <v>747762.25491082715</v>
      </c>
      <c r="C53" s="559"/>
      <c r="D53" s="559"/>
      <c r="E53" s="558">
        <f>'Sources and Uses Budget'!S53</f>
        <v>747762.25491082715</v>
      </c>
      <c r="F53" s="559"/>
      <c r="G53" s="559"/>
      <c r="H53" s="558">
        <f>'Sources and Uses Budget'!T53</f>
        <v>0</v>
      </c>
      <c r="I53" s="559"/>
      <c r="J53" s="559"/>
      <c r="K53" s="556"/>
    </row>
    <row r="54" spans="1:11" s="568" customFormat="1">
      <c r="A54" s="562" t="s">
        <v>162</v>
      </c>
      <c r="B54" s="558">
        <f>'Sources and Uses Budget'!C54</f>
        <v>3766411.3421745305</v>
      </c>
      <c r="C54" s="565">
        <f>SUM(C45:C53)</f>
        <v>0</v>
      </c>
      <c r="D54" s="565">
        <f>SUM(D45:D53)</f>
        <v>0</v>
      </c>
      <c r="E54" s="558">
        <f>'Sources and Uses Budget'!S54</f>
        <v>2583185.8320107395</v>
      </c>
      <c r="F54" s="565">
        <f>SUM(F45:F53)</f>
        <v>0</v>
      </c>
      <c r="G54" s="565">
        <f>SUM(G45:G53)</f>
        <v>0</v>
      </c>
      <c r="H54" s="558">
        <f>'Sources and Uses Budget'!T54</f>
        <v>0</v>
      </c>
      <c r="I54" s="565">
        <f>SUM(I45:I53)</f>
        <v>0</v>
      </c>
      <c r="J54" s="565">
        <f>SUM(J45:J53)</f>
        <v>0</v>
      </c>
      <c r="K54" s="567"/>
    </row>
    <row r="55" spans="1:11" s="557" customFormat="1" ht="11.4">
      <c r="A55" s="554" t="s">
        <v>433</v>
      </c>
      <c r="B55" s="555"/>
      <c r="C55" s="555"/>
      <c r="D55" s="555"/>
      <c r="E55" s="555"/>
      <c r="F55" s="555"/>
      <c r="G55" s="555"/>
      <c r="H55" s="555"/>
      <c r="I55" s="555"/>
      <c r="J55" s="555"/>
      <c r="K55" s="556"/>
    </row>
    <row r="56" spans="1:11" s="557" customFormat="1" ht="11.4">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10000</v>
      </c>
      <c r="C58" s="559"/>
      <c r="D58" s="559"/>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Legal</v>
      </c>
      <c r="B61" s="558">
        <f>'Sources and Uses Budget'!C61</f>
        <v>65000</v>
      </c>
      <c r="C61" s="559"/>
      <c r="D61" s="559"/>
      <c r="E61" s="560"/>
      <c r="F61" s="560"/>
      <c r="G61" s="560"/>
      <c r="H61" s="560"/>
      <c r="I61" s="560"/>
      <c r="J61" s="560"/>
      <c r="K61" s="556"/>
    </row>
    <row r="62" spans="1:11" s="557" customFormat="1" ht="13.65" customHeight="1">
      <c r="A62" s="562" t="s">
        <v>306</v>
      </c>
      <c r="B62" s="558">
        <f>'Sources and Uses Budget'!C62</f>
        <v>75000</v>
      </c>
      <c r="C62" s="558">
        <f>SUM(C56:C61)</f>
        <v>0</v>
      </c>
      <c r="D62" s="558">
        <f>SUM(D56:D61)</f>
        <v>0</v>
      </c>
      <c r="E62" s="560"/>
      <c r="F62" s="560"/>
      <c r="G62" s="560"/>
      <c r="H62" s="560"/>
      <c r="I62" s="560"/>
      <c r="J62" s="560"/>
      <c r="K62" s="556"/>
    </row>
    <row r="63" spans="1:11" s="557" customFormat="1" ht="11.4">
      <c r="A63" s="569" t="s">
        <v>307</v>
      </c>
      <c r="B63" s="558">
        <f>'Sources and Uses Budget'!C63</f>
        <v>60407679.34217453</v>
      </c>
      <c r="C63" s="558">
        <f>SUM(C8+C11+C13+C14+C15+C26+C27+C38+C42+C43+C54+C62)</f>
        <v>0</v>
      </c>
      <c r="D63" s="558">
        <f>SUM(D8+D11+D13+D14+D15+D26+D27+D38+D42+D43+D54+D62)</f>
        <v>0</v>
      </c>
      <c r="E63" s="558">
        <f>'Sources and Uses Budget'!S63</f>
        <v>58634453.832010739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2.8">
      <c r="A64" s="211" t="s">
        <v>1846</v>
      </c>
      <c r="B64" s="555"/>
      <c r="C64" s="555"/>
      <c r="D64" s="555"/>
      <c r="E64" s="555"/>
      <c r="F64" s="555"/>
      <c r="G64" s="555"/>
      <c r="H64" s="555"/>
      <c r="I64" s="555"/>
      <c r="J64" s="555"/>
      <c r="K64" s="556"/>
    </row>
    <row r="65" spans="1:11" s="557" customFormat="1" ht="11.4">
      <c r="A65" s="215" t="s">
        <v>175</v>
      </c>
      <c r="B65" s="558">
        <f>'Sources and Uses Budget'!C65</f>
        <v>65000</v>
      </c>
      <c r="C65" s="559"/>
      <c r="D65" s="559"/>
      <c r="E65" s="558">
        <f>'Sources and Uses Budget'!S65</f>
        <v>65000</v>
      </c>
      <c r="F65" s="559"/>
      <c r="G65" s="559"/>
      <c r="H65" s="558">
        <f>'Sources and Uses Budget'!T65</f>
        <v>0</v>
      </c>
      <c r="I65" s="559"/>
      <c r="J65" s="559"/>
      <c r="K65" s="556"/>
    </row>
    <row r="66" spans="1:11" s="557" customFormat="1" ht="22.8">
      <c r="A66" s="437" t="s">
        <v>1843</v>
      </c>
      <c r="B66" s="558">
        <f>'Sources and Uses Budget'!C66</f>
        <v>0</v>
      </c>
      <c r="C66" s="559"/>
      <c r="D66" s="559"/>
      <c r="E66" s="558">
        <f>'Sources and Uses Budget'!S66</f>
        <v>0</v>
      </c>
      <c r="F66" s="559"/>
      <c r="G66" s="559"/>
      <c r="H66" s="558">
        <f>'Sources and Uses Budget'!T66</f>
        <v>0</v>
      </c>
      <c r="I66" s="559"/>
      <c r="J66" s="559"/>
      <c r="K66" s="556"/>
    </row>
    <row r="67" spans="1:11" s="557" customFormat="1" ht="22.8">
      <c r="A67" s="437" t="s">
        <v>1844</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1850</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Sponsor Legal Costs</v>
      </c>
      <c r="B69" s="558">
        <f>'Sources and Uses Budget'!C69</f>
        <v>100000</v>
      </c>
      <c r="C69" s="559"/>
      <c r="D69" s="559"/>
      <c r="E69" s="558">
        <f>'Sources and Uses Budget'!S69</f>
        <v>100000</v>
      </c>
      <c r="F69" s="559"/>
      <c r="G69" s="559"/>
      <c r="H69" s="558">
        <f>'Sources and Uses Budget'!T69</f>
        <v>0</v>
      </c>
      <c r="I69" s="559"/>
      <c r="J69" s="559"/>
      <c r="K69" s="556"/>
    </row>
    <row r="70" spans="1:11" s="557" customFormat="1">
      <c r="A70" s="562" t="s">
        <v>625</v>
      </c>
      <c r="B70" s="558">
        <f>'Sources and Uses Budget'!C70</f>
        <v>165000</v>
      </c>
      <c r="C70" s="558">
        <f>SUM(C64:C69)</f>
        <v>0</v>
      </c>
      <c r="D70" s="558">
        <f>SUM(D64:D69)</f>
        <v>0</v>
      </c>
      <c r="E70" s="558">
        <f>'Sources and Uses Budget'!S70</f>
        <v>165000</v>
      </c>
      <c r="F70" s="565">
        <f>SUM(F65:F69)</f>
        <v>0</v>
      </c>
      <c r="G70" s="565">
        <f>SUM(G65:G69)</f>
        <v>0</v>
      </c>
      <c r="H70" s="558">
        <f>'Sources and Uses Budget'!T70</f>
        <v>0</v>
      </c>
      <c r="I70" s="565">
        <f>SUM(I65:I69)</f>
        <v>0</v>
      </c>
      <c r="J70" s="565">
        <f>SUM(J65:J69)</f>
        <v>0</v>
      </c>
      <c r="K70" s="556"/>
    </row>
    <row r="71" spans="1:11" s="557" customFormat="1" ht="11.4">
      <c r="A71" s="554" t="s">
        <v>626</v>
      </c>
      <c r="B71" s="555"/>
      <c r="C71" s="555"/>
      <c r="D71" s="555"/>
      <c r="E71" s="555"/>
      <c r="F71" s="555"/>
      <c r="G71" s="555"/>
      <c r="H71" s="555"/>
      <c r="I71" s="555"/>
      <c r="J71" s="555"/>
      <c r="K71" s="556"/>
    </row>
    <row r="72" spans="1:11" s="557" customFormat="1" ht="11.4">
      <c r="A72" s="561" t="s">
        <v>627</v>
      </c>
      <c r="B72" s="558">
        <f>'Sources and Uses Budget'!C72</f>
        <v>0</v>
      </c>
      <c r="C72" s="559"/>
      <c r="D72" s="559"/>
      <c r="E72" s="560"/>
      <c r="F72" s="560"/>
      <c r="G72" s="560"/>
      <c r="H72" s="560"/>
      <c r="I72" s="560"/>
      <c r="J72" s="560"/>
      <c r="K72" s="556"/>
    </row>
    <row r="73" spans="1:11" s="557" customFormat="1" ht="11.4">
      <c r="A73" s="561" t="s">
        <v>628</v>
      </c>
      <c r="B73" s="558">
        <f>'Sources and Uses Budget'!C73</f>
        <v>0</v>
      </c>
      <c r="C73" s="559"/>
      <c r="D73" s="559"/>
      <c r="E73" s="560"/>
      <c r="F73" s="560"/>
      <c r="G73" s="560"/>
      <c r="H73" s="560"/>
      <c r="I73" s="560"/>
      <c r="J73" s="560"/>
      <c r="K73" s="556"/>
    </row>
    <row r="74" spans="1:11" s="557" customFormat="1" ht="11.4">
      <c r="A74" s="731" t="s">
        <v>1055</v>
      </c>
      <c r="B74" s="558">
        <f>'Sources and Uses Budget'!C74</f>
        <v>0</v>
      </c>
      <c r="C74" s="559"/>
      <c r="D74" s="559"/>
      <c r="E74" s="560"/>
      <c r="F74" s="560"/>
      <c r="G74" s="560"/>
      <c r="H74" s="560"/>
      <c r="I74" s="560"/>
      <c r="J74" s="560"/>
      <c r="K74" s="556"/>
    </row>
    <row r="75" spans="1:11" s="557" customFormat="1" ht="11.4">
      <c r="A75" s="561" t="s">
        <v>629</v>
      </c>
      <c r="B75" s="558">
        <f>'Sources and Uses Budget'!C75</f>
        <v>366025.33333333331</v>
      </c>
      <c r="C75" s="559"/>
      <c r="D75" s="559"/>
      <c r="E75" s="560"/>
      <c r="F75" s="560"/>
      <c r="G75" s="560"/>
      <c r="H75" s="560"/>
      <c r="I75" s="560"/>
      <c r="J75" s="560"/>
      <c r="K75" s="556"/>
    </row>
    <row r="76" spans="1:11" s="557" customFormat="1" ht="11.4">
      <c r="A76" s="564" t="str">
        <f>'Sources and Uses Budget'!$A76</f>
        <v>Other: Supplemental Operating Reserve</v>
      </c>
      <c r="B76" s="558">
        <f>'Sources and Uses Budget'!C76</f>
        <v>620000</v>
      </c>
      <c r="C76" s="559"/>
      <c r="D76" s="559"/>
      <c r="E76" s="560"/>
      <c r="F76" s="560"/>
      <c r="G76" s="560"/>
      <c r="H76" s="560"/>
      <c r="I76" s="560"/>
      <c r="J76" s="560"/>
      <c r="K76" s="556"/>
    </row>
    <row r="77" spans="1:11" s="557" customFormat="1">
      <c r="A77" s="562" t="s">
        <v>630</v>
      </c>
      <c r="B77" s="558">
        <f>'Sources and Uses Budget'!C77</f>
        <v>986025.33333333326</v>
      </c>
      <c r="C77" s="558">
        <f>SUM(C72:C76)</f>
        <v>0</v>
      </c>
      <c r="D77" s="558">
        <f>SUM(D72:D76)</f>
        <v>0</v>
      </c>
      <c r="E77" s="560"/>
      <c r="F77" s="560"/>
      <c r="G77" s="560"/>
      <c r="H77" s="560"/>
      <c r="I77" s="560"/>
      <c r="J77" s="560"/>
      <c r="K77" s="556"/>
    </row>
    <row r="78" spans="1:11" s="557" customFormat="1" ht="11.4">
      <c r="A78" s="554" t="s">
        <v>1371</v>
      </c>
      <c r="B78" s="555"/>
      <c r="C78" s="555"/>
      <c r="D78" s="555"/>
      <c r="E78" s="555"/>
      <c r="F78" s="555"/>
      <c r="G78" s="555"/>
      <c r="H78" s="555"/>
      <c r="I78" s="555"/>
      <c r="J78" s="555"/>
      <c r="K78" s="556"/>
    </row>
    <row r="79" spans="1:11" s="557" customFormat="1" ht="11.4">
      <c r="A79" s="561" t="s">
        <v>1373</v>
      </c>
      <c r="B79" s="558">
        <f>'Sources and Uses Budget'!C79</f>
        <v>2388763.6</v>
      </c>
      <c r="C79" s="559"/>
      <c r="D79" s="559"/>
      <c r="E79" s="558">
        <f>'Sources and Uses Budget'!S79</f>
        <v>2388763.6</v>
      </c>
      <c r="F79" s="559"/>
      <c r="G79" s="559"/>
      <c r="H79" s="558">
        <f>'Sources and Uses Budget'!T79</f>
        <v>0</v>
      </c>
      <c r="I79" s="559"/>
      <c r="J79" s="559"/>
      <c r="K79" s="556"/>
    </row>
    <row r="80" spans="1:11" s="557" customFormat="1" ht="11.4">
      <c r="A80" s="561" t="s">
        <v>61</v>
      </c>
      <c r="B80" s="558">
        <f>'Sources and Uses Budget'!C80</f>
        <v>703953.49844673276</v>
      </c>
      <c r="C80" s="559"/>
      <c r="D80" s="559"/>
      <c r="E80" s="558">
        <f>'Sources and Uses Budget'!S80</f>
        <v>703953.49844673276</v>
      </c>
      <c r="F80" s="559"/>
      <c r="G80" s="559"/>
      <c r="H80" s="558">
        <f>'Sources and Uses Budget'!T80</f>
        <v>0</v>
      </c>
      <c r="I80" s="559"/>
      <c r="J80" s="559"/>
      <c r="K80" s="556"/>
    </row>
    <row r="81" spans="1:11" s="557" customFormat="1">
      <c r="A81" s="562" t="s">
        <v>1370</v>
      </c>
      <c r="B81" s="558">
        <f>'Sources and Uses Budget'!C81</f>
        <v>3092717.0984467329</v>
      </c>
      <c r="C81" s="558">
        <f>SUM(C79:C80)</f>
        <v>0</v>
      </c>
      <c r="D81" s="558">
        <f>SUM(D79:D80)</f>
        <v>0</v>
      </c>
      <c r="E81" s="558">
        <f>'Sources and Uses Budget'!S81</f>
        <v>3092717.0984467329</v>
      </c>
      <c r="F81" s="558">
        <f>SUM(F79:F80)</f>
        <v>0</v>
      </c>
      <c r="G81" s="558">
        <f>SUM(G79:G80)</f>
        <v>0</v>
      </c>
      <c r="H81" s="558">
        <f>'Sources and Uses Budget'!T81</f>
        <v>0</v>
      </c>
      <c r="I81" s="558">
        <f>SUM(I79:I80)</f>
        <v>0</v>
      </c>
      <c r="J81" s="558">
        <f>SUM(J79:J80)</f>
        <v>0</v>
      </c>
      <c r="K81" s="556"/>
    </row>
    <row r="82" spans="1:11" s="557" customFormat="1" ht="11.4">
      <c r="A82" s="554" t="s">
        <v>805</v>
      </c>
      <c r="B82" s="555"/>
      <c r="C82" s="555"/>
      <c r="D82" s="555"/>
      <c r="E82" s="555"/>
      <c r="F82" s="555"/>
      <c r="G82" s="555"/>
      <c r="H82" s="555"/>
      <c r="I82" s="555"/>
      <c r="J82" s="555"/>
      <c r="K82" s="556"/>
    </row>
    <row r="83" spans="1:11" s="557" customFormat="1" ht="13.65" customHeight="1">
      <c r="A83" s="215" t="s">
        <v>2739</v>
      </c>
      <c r="B83" s="558">
        <f>'Sources and Uses Budget'!C83</f>
        <v>65666.826963837884</v>
      </c>
      <c r="C83" s="559"/>
      <c r="D83" s="559"/>
      <c r="E83" s="560"/>
      <c r="F83" s="560"/>
      <c r="G83" s="560"/>
      <c r="H83" s="560"/>
      <c r="I83" s="560"/>
      <c r="J83" s="560"/>
      <c r="K83" s="556"/>
    </row>
    <row r="84" spans="1:11" s="557" customFormat="1" ht="11.4">
      <c r="A84" s="215" t="s">
        <v>806</v>
      </c>
      <c r="B84" s="558">
        <f>'Sources and Uses Budget'!C84</f>
        <v>250000</v>
      </c>
      <c r="C84" s="559"/>
      <c r="D84" s="559"/>
      <c r="E84" s="558">
        <f>'Sources and Uses Budget'!S84</f>
        <v>250000</v>
      </c>
      <c r="F84" s="559"/>
      <c r="G84" s="559"/>
      <c r="H84" s="558">
        <f>'Sources and Uses Budget'!T84</f>
        <v>0</v>
      </c>
      <c r="I84" s="559"/>
      <c r="J84" s="559"/>
      <c r="K84" s="556"/>
    </row>
    <row r="85" spans="1:11" s="557" customFormat="1" ht="11.4">
      <c r="A85" s="215" t="s">
        <v>807</v>
      </c>
      <c r="B85" s="558">
        <f>'Sources and Uses Budget'!C85</f>
        <v>445853</v>
      </c>
      <c r="C85" s="559"/>
      <c r="D85" s="559"/>
      <c r="E85" s="558">
        <f>'Sources and Uses Budget'!S85</f>
        <v>445853</v>
      </c>
      <c r="F85" s="559"/>
      <c r="G85" s="559"/>
      <c r="H85" s="558">
        <f>'Sources and Uses Budget'!T85</f>
        <v>0</v>
      </c>
      <c r="I85" s="559"/>
      <c r="J85" s="559"/>
      <c r="K85" s="556"/>
    </row>
    <row r="86" spans="1:11" s="557" customFormat="1" ht="11.4">
      <c r="A86" s="215" t="s">
        <v>808</v>
      </c>
      <c r="B86" s="558">
        <f>'Sources and Uses Budget'!C86</f>
        <v>338951</v>
      </c>
      <c r="C86" s="559"/>
      <c r="D86" s="559"/>
      <c r="E86" s="558">
        <f>'Sources and Uses Budget'!S86</f>
        <v>338951</v>
      </c>
      <c r="F86" s="559"/>
      <c r="G86" s="559"/>
      <c r="H86" s="558">
        <f>'Sources and Uses Budget'!T86</f>
        <v>0</v>
      </c>
      <c r="I86" s="559"/>
      <c r="J86" s="559"/>
      <c r="K86" s="556"/>
    </row>
    <row r="87" spans="1:11" s="557" customFormat="1" ht="11.4">
      <c r="A87" s="215" t="s">
        <v>809</v>
      </c>
      <c r="B87" s="558">
        <f>'Sources and Uses Budget'!C87</f>
        <v>300000</v>
      </c>
      <c r="C87" s="559"/>
      <c r="D87" s="559"/>
      <c r="E87" s="558">
        <f>'Sources and Uses Budget'!S87</f>
        <v>300000</v>
      </c>
      <c r="F87" s="559"/>
      <c r="G87" s="559"/>
      <c r="H87" s="558">
        <f>'Sources and Uses Budget'!T87</f>
        <v>0</v>
      </c>
      <c r="I87" s="559"/>
      <c r="J87" s="559"/>
      <c r="K87" s="556"/>
    </row>
    <row r="88" spans="1:11" s="557" customFormat="1" ht="11.4">
      <c r="A88" s="215" t="s">
        <v>810</v>
      </c>
      <c r="B88" s="558">
        <f>'Sources and Uses Budget'!C88</f>
        <v>372000</v>
      </c>
      <c r="C88" s="559"/>
      <c r="D88" s="559"/>
      <c r="E88" s="560"/>
      <c r="F88" s="560"/>
      <c r="G88" s="560"/>
      <c r="H88" s="560"/>
      <c r="I88" s="560"/>
      <c r="J88" s="560"/>
      <c r="K88" s="556"/>
    </row>
    <row r="89" spans="1:11" s="557" customFormat="1" ht="11.4">
      <c r="A89" s="215" t="s">
        <v>811</v>
      </c>
      <c r="B89" s="558">
        <f>'Sources and Uses Budget'!C89</f>
        <v>225000</v>
      </c>
      <c r="C89" s="559"/>
      <c r="D89" s="559"/>
      <c r="E89" s="558">
        <f>'Sources and Uses Budget'!S89</f>
        <v>225000</v>
      </c>
      <c r="F89" s="559"/>
      <c r="G89" s="559"/>
      <c r="H89" s="558">
        <f>'Sources and Uses Budget'!T89</f>
        <v>0</v>
      </c>
      <c r="I89" s="559"/>
      <c r="J89" s="559"/>
      <c r="K89" s="556"/>
    </row>
    <row r="90" spans="1:11" s="557" customFormat="1" ht="11.4">
      <c r="A90" s="215" t="s">
        <v>812</v>
      </c>
      <c r="B90" s="558">
        <f>'Sources and Uses Budget'!C90</f>
        <v>20000</v>
      </c>
      <c r="C90" s="559"/>
      <c r="D90" s="559"/>
      <c r="E90" s="558">
        <f>'Sources and Uses Budget'!S90</f>
        <v>0</v>
      </c>
      <c r="F90" s="559"/>
      <c r="G90" s="559"/>
      <c r="H90" s="558">
        <f>'Sources and Uses Budget'!T90</f>
        <v>0</v>
      </c>
      <c r="I90" s="559"/>
      <c r="J90" s="559"/>
      <c r="K90" s="556"/>
    </row>
    <row r="91" spans="1:11" s="557" customFormat="1" ht="11.4">
      <c r="A91" s="226" t="s">
        <v>385</v>
      </c>
      <c r="B91" s="558">
        <f>'Sources and Uses Budget'!C91</f>
        <v>0</v>
      </c>
      <c r="C91" s="559"/>
      <c r="D91" s="559"/>
      <c r="E91" s="558">
        <f>'Sources and Uses Budget'!S91</f>
        <v>0</v>
      </c>
      <c r="F91" s="559"/>
      <c r="G91" s="559"/>
      <c r="H91" s="558">
        <f>'Sources and Uses Budget'!T91</f>
        <v>0</v>
      </c>
      <c r="I91" s="559"/>
      <c r="J91" s="559"/>
      <c r="K91" s="556"/>
    </row>
    <row r="92" spans="1:11" s="557" customFormat="1" ht="11.4">
      <c r="A92" s="850" t="s">
        <v>1372</v>
      </c>
      <c r="B92" s="558">
        <f>'Sources and Uses Budget'!C92</f>
        <v>15000</v>
      </c>
      <c r="C92" s="559"/>
      <c r="D92" s="559"/>
      <c r="E92" s="558">
        <f>'Sources and Uses Budget'!S92</f>
        <v>15000</v>
      </c>
      <c r="F92" s="559"/>
      <c r="G92" s="559"/>
      <c r="H92" s="558">
        <f>'Sources and Uses Budget'!T92</f>
        <v>0</v>
      </c>
      <c r="I92" s="559"/>
      <c r="J92" s="559"/>
      <c r="K92" s="556"/>
    </row>
    <row r="93" spans="1:11" s="557" customFormat="1" ht="11.4">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ht="11.4">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ht="11.4">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813</v>
      </c>
      <c r="B96" s="558">
        <f>'Sources and Uses Budget'!C96</f>
        <v>2032470.826963838</v>
      </c>
      <c r="C96" s="558">
        <f>SUM(C83:C95)</f>
        <v>0</v>
      </c>
      <c r="D96" s="558">
        <f>SUM(D83:D95)</f>
        <v>0</v>
      </c>
      <c r="E96" s="558">
        <f>'Sources and Uses Budget'!S96</f>
        <v>1574804</v>
      </c>
      <c r="F96" s="565">
        <f>SUM(F84:F87,F89:F95)</f>
        <v>0</v>
      </c>
      <c r="G96" s="565">
        <f>SUM(G84:G87,G89:G95)</f>
        <v>0</v>
      </c>
      <c r="H96" s="558">
        <f>'Sources and Uses Budget'!T96</f>
        <v>0</v>
      </c>
      <c r="I96" s="558">
        <f>SUM(I84:I87,I89:I95)</f>
        <v>0</v>
      </c>
      <c r="J96" s="558">
        <f>SUM(J84:J87,J89:J95)</f>
        <v>0</v>
      </c>
      <c r="K96" s="556"/>
    </row>
    <row r="97" spans="1:11" s="557" customFormat="1">
      <c r="A97" s="562" t="s">
        <v>1106</v>
      </c>
      <c r="B97" s="558">
        <f>'Sources and Uses Budget'!C97</f>
        <v>66683892.600918435</v>
      </c>
      <c r="C97" s="558">
        <f>SUM(C63+C70+C77+C81+C96)</f>
        <v>0</v>
      </c>
      <c r="D97" s="558">
        <f>SUM(D63+D70+D77+D81+D96)</f>
        <v>0</v>
      </c>
      <c r="E97" s="558">
        <f>'Sources and Uses Budget'!S97</f>
        <v>63466974.930457473</v>
      </c>
      <c r="F97" s="565">
        <f>SUM(+F63+F70+F81+F96)</f>
        <v>0</v>
      </c>
      <c r="G97" s="565">
        <f>SUM(+G63+G70+G81+G96)</f>
        <v>0</v>
      </c>
      <c r="H97" s="558">
        <f>'Sources and Uses Budget'!T97</f>
        <v>0</v>
      </c>
      <c r="I97" s="565">
        <f>SUM(I63+I70+I81+I96)</f>
        <v>0</v>
      </c>
      <c r="J97" s="565">
        <f>SUM(J63+J70+J81+J96)</f>
        <v>0</v>
      </c>
      <c r="K97" s="556"/>
    </row>
    <row r="98" spans="1:11" s="557" customFormat="1" ht="11.4">
      <c r="A98" s="554" t="s">
        <v>815</v>
      </c>
      <c r="B98" s="555"/>
      <c r="C98" s="555"/>
      <c r="D98" s="555"/>
      <c r="E98" s="555"/>
      <c r="F98" s="555"/>
      <c r="G98" s="555"/>
      <c r="H98" s="555"/>
      <c r="I98" s="555"/>
      <c r="J98" s="555"/>
      <c r="K98" s="556"/>
    </row>
    <row r="99" spans="1:11" s="557" customFormat="1" ht="11.4">
      <c r="A99" s="215" t="s">
        <v>816</v>
      </c>
      <c r="B99" s="558">
        <f>'Sources and Uses Budget'!C99</f>
        <v>2200000</v>
      </c>
      <c r="C99" s="559"/>
      <c r="D99" s="559"/>
      <c r="E99" s="558">
        <f>'Sources and Uses Budget'!S99</f>
        <v>2200000</v>
      </c>
      <c r="F99" s="559"/>
      <c r="G99" s="559"/>
      <c r="H99" s="558">
        <f>'Sources and Uses Budget'!T99</f>
        <v>0</v>
      </c>
      <c r="I99" s="559"/>
      <c r="J99" s="559"/>
      <c r="K99" s="556"/>
    </row>
    <row r="100" spans="1:11" s="557" customFormat="1" ht="11.4">
      <c r="A100" s="437" t="s">
        <v>1848</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817</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1849</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818</v>
      </c>
      <c r="B104" s="558">
        <f>'Sources and Uses Budget'!C104</f>
        <v>2200000</v>
      </c>
      <c r="C104" s="558">
        <f>SUM(C99:C103)</f>
        <v>0</v>
      </c>
      <c r="D104" s="558">
        <f>SUM(D99:D103)</f>
        <v>0</v>
      </c>
      <c r="E104" s="558">
        <f>'Sources and Uses Budget'!S104</f>
        <v>2200000</v>
      </c>
      <c r="F104" s="565">
        <f>SUM(F99:F103)</f>
        <v>0</v>
      </c>
      <c r="G104" s="565">
        <f>SUM(G99:G103)</f>
        <v>0</v>
      </c>
      <c r="H104" s="558">
        <f>'Sources and Uses Budget'!T104</f>
        <v>0</v>
      </c>
      <c r="I104" s="565">
        <f>SUM(I99:I103)</f>
        <v>0</v>
      </c>
      <c r="J104" s="565">
        <f>SUM(J99:J103)</f>
        <v>0</v>
      </c>
      <c r="K104" s="556"/>
    </row>
    <row r="105" spans="1:11" s="557" customFormat="1">
      <c r="A105" s="562" t="s">
        <v>1107</v>
      </c>
      <c r="B105" s="558">
        <f>'Sources and Uses Budget'!C105</f>
        <v>68883892.600918442</v>
      </c>
      <c r="C105" s="565">
        <f>SUM(C97+C104)</f>
        <v>0</v>
      </c>
      <c r="D105" s="565">
        <f>SUM(D97+D104)</f>
        <v>0</v>
      </c>
      <c r="E105" s="558">
        <f>'Sources and Uses Budget'!S105</f>
        <v>65666974.930457473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388</v>
      </c>
      <c r="E107" s="558">
        <f>'Sources and Uses Budget'!S107</f>
        <v>65666974.930457473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79"/>
      <c r="E124" s="2680"/>
      <c r="F124" s="2680"/>
      <c r="G124" s="2680"/>
      <c r="H124" s="2680"/>
      <c r="I124" s="2680"/>
      <c r="J124" s="576"/>
      <c r="K124" s="556"/>
    </row>
    <row r="125" spans="1:11" s="557" customFormat="1" ht="13.2">
      <c r="A125" s="587"/>
      <c r="B125" s="586"/>
      <c r="C125" s="587"/>
      <c r="D125" s="2680"/>
      <c r="E125" s="2680"/>
      <c r="F125" s="2680"/>
      <c r="G125" s="2680"/>
      <c r="H125" s="2680"/>
      <c r="I125" s="2680"/>
      <c r="J125" s="576"/>
      <c r="K125" s="556"/>
    </row>
    <row r="126" spans="1:11" s="557" customFormat="1" ht="13.2">
      <c r="A126" s="587"/>
      <c r="B126" s="586"/>
      <c r="C126" s="587"/>
      <c r="D126" s="2680"/>
      <c r="E126" s="2680"/>
      <c r="F126" s="2680"/>
      <c r="G126" s="2680"/>
      <c r="H126" s="2680"/>
      <c r="I126" s="2680"/>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81"/>
      <c r="B139" s="2682"/>
      <c r="C139" s="2682"/>
      <c r="D139" s="599"/>
      <c r="E139" s="587"/>
      <c r="F139" s="587"/>
      <c r="G139" s="587"/>
    </row>
    <row r="140" spans="1:11" ht="12" customHeight="1">
      <c r="A140" s="2683"/>
      <c r="B140" s="2684"/>
      <c r="C140" s="268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NWtpnhxOwDcJlyCcUwHUCR+aGFmdfY63oOc+kK5mEQsU+zgDiYsN73BB6eWlq8j/tXh+kTdvGTle7nTTfd+gg==" saltValue="cN8RIt18C1n2o4TeFN0b6Q=="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M203"/>
  <sheetViews>
    <sheetView topLeftCell="A158" zoomScaleNormal="100" workbookViewId="0">
      <selection activeCell="H175" sqref="H175"/>
    </sheetView>
  </sheetViews>
  <sheetFormatPr defaultColWidth="2.6640625" defaultRowHeight="15.75" customHeight="1"/>
  <cols>
    <col min="1" max="37" width="2.6640625" style="1141"/>
    <col min="38" max="38" width="3" style="1141" customWidth="1"/>
    <col min="39" max="64" width="2.6640625" style="1141"/>
    <col min="65" max="65" width="6.109375" style="1141" bestFit="1" customWidth="1"/>
    <col min="66" max="70" width="5.5546875" style="1141" bestFit="1" customWidth="1"/>
    <col min="71" max="71" width="6.109375" style="1141" bestFit="1" customWidth="1"/>
    <col min="72" max="76" width="5.5546875" style="1141" bestFit="1" customWidth="1"/>
    <col min="77" max="77" width="6.109375" style="1141" bestFit="1" customWidth="1"/>
    <col min="78" max="78" width="5.5546875" style="1141" bestFit="1" customWidth="1"/>
    <col min="79" max="16384" width="2.6640625" style="1141"/>
  </cols>
  <sheetData>
    <row r="1" spans="1:65" ht="15.75" customHeight="1">
      <c r="A1" s="2688" t="s">
        <v>2741</v>
      </c>
      <c r="B1" s="2689"/>
      <c r="C1" s="2689"/>
      <c r="D1" s="2689"/>
      <c r="E1" s="2689"/>
      <c r="F1" s="2689"/>
      <c r="G1" s="2689"/>
      <c r="H1" s="2689"/>
      <c r="I1" s="2689"/>
      <c r="J1" s="2689"/>
      <c r="K1" s="2689"/>
      <c r="L1" s="2689"/>
      <c r="M1" s="2689"/>
      <c r="N1" s="2689"/>
      <c r="O1" s="2689"/>
      <c r="P1" s="2689"/>
      <c r="Q1" s="2689"/>
      <c r="R1" s="2689"/>
      <c r="S1" s="2689"/>
      <c r="T1" s="2689"/>
      <c r="U1" s="2689"/>
      <c r="V1" s="2689"/>
      <c r="W1" s="2689"/>
      <c r="X1" s="2689"/>
      <c r="Y1" s="2689"/>
      <c r="Z1" s="2689"/>
      <c r="AA1" s="2689"/>
      <c r="AB1" s="2689"/>
      <c r="AC1" s="2689"/>
      <c r="AD1" s="2689"/>
      <c r="AE1" s="2689"/>
      <c r="AF1" s="2689"/>
      <c r="AG1" s="2689"/>
      <c r="AH1" s="2689"/>
      <c r="AI1" s="2689"/>
      <c r="AJ1" s="2689"/>
      <c r="AK1" s="2689"/>
      <c r="AL1" s="2689"/>
      <c r="AM1" s="2689"/>
      <c r="AN1" s="2689"/>
      <c r="AO1" s="2689"/>
      <c r="AP1" s="2689"/>
      <c r="AQ1" s="2689"/>
      <c r="AR1" s="2689"/>
      <c r="AS1" s="2689"/>
      <c r="AT1" s="2689"/>
      <c r="AU1" s="2689"/>
      <c r="AV1" s="2689"/>
      <c r="AW1" s="2689"/>
      <c r="AX1" s="2689"/>
      <c r="AY1" s="2689"/>
      <c r="AZ1" s="2689"/>
      <c r="BA1" s="2689"/>
      <c r="BB1" s="2689"/>
      <c r="BC1" s="2689"/>
      <c r="BD1" s="2689"/>
      <c r="BE1" s="2690"/>
    </row>
    <row r="2" spans="1:65" ht="15.75" customHeight="1">
      <c r="A2" s="2691" t="s">
        <v>2742</v>
      </c>
      <c r="B2" s="2692"/>
      <c r="C2" s="2692"/>
      <c r="D2" s="2692"/>
      <c r="E2" s="2692"/>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2692"/>
      <c r="AZ2" s="2692"/>
      <c r="BA2" s="2692"/>
      <c r="BB2" s="2692"/>
      <c r="BC2" s="2692"/>
      <c r="BD2" s="2692"/>
      <c r="BE2" s="2693"/>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680</v>
      </c>
      <c r="C4" s="1146"/>
      <c r="D4" s="1146"/>
      <c r="E4" s="1146"/>
      <c r="F4" s="1146"/>
      <c r="G4" s="1144"/>
      <c r="H4" s="1144"/>
      <c r="I4" s="1144"/>
      <c r="J4" s="1144"/>
      <c r="K4" s="1144"/>
      <c r="L4" s="2694" t="str">
        <f>IF(Application!H18="","",Application!H18)</f>
        <v>Hunters Point Shipyard Block 56</v>
      </c>
      <c r="M4" s="2695"/>
      <c r="N4" s="2695"/>
      <c r="O4" s="2695"/>
      <c r="P4" s="2695"/>
      <c r="Q4" s="2695"/>
      <c r="R4" s="2695"/>
      <c r="S4" s="2695"/>
      <c r="T4" s="2695"/>
      <c r="U4" s="2695"/>
      <c r="V4" s="2695"/>
      <c r="W4" s="2695"/>
      <c r="X4" s="2695"/>
      <c r="Y4" s="2695"/>
      <c r="Z4" s="2695"/>
      <c r="AA4" s="2695"/>
      <c r="AB4" s="2695"/>
      <c r="AC4" s="2696"/>
      <c r="AD4" s="1144"/>
      <c r="AE4" s="1144"/>
      <c r="AF4" s="2697" t="s">
        <v>1880</v>
      </c>
      <c r="AG4" s="2698"/>
      <c r="AH4" s="2698"/>
      <c r="AI4" s="2698"/>
      <c r="AJ4" s="2698"/>
      <c r="AK4" s="2698"/>
      <c r="AL4" s="2698"/>
      <c r="AM4" s="2698"/>
      <c r="AN4" s="2698"/>
      <c r="AO4" s="2698"/>
      <c r="AP4" s="2699">
        <v>44562</v>
      </c>
      <c r="AQ4" s="2700"/>
      <c r="AR4" s="2700"/>
      <c r="AS4" s="2700"/>
      <c r="AT4" s="2700"/>
      <c r="AU4" s="2701"/>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702" t="s">
        <v>1881</v>
      </c>
      <c r="AG5" s="2703"/>
      <c r="AH5" s="2703"/>
      <c r="AI5" s="2703"/>
      <c r="AJ5" s="2703"/>
      <c r="AK5" s="2703"/>
      <c r="AL5" s="2703"/>
      <c r="AM5" s="2703"/>
      <c r="AN5" s="2703"/>
      <c r="AO5" s="2703"/>
      <c r="AP5" s="2699">
        <v>44562</v>
      </c>
      <c r="AQ5" s="2700"/>
      <c r="AR5" s="2700"/>
      <c r="AS5" s="2700"/>
      <c r="AT5" s="2700"/>
      <c r="AU5" s="2701"/>
      <c r="AV5" s="1144"/>
      <c r="AW5" s="1144"/>
      <c r="AX5" s="1144"/>
      <c r="AY5" s="1144"/>
      <c r="AZ5" s="1144"/>
      <c r="BA5" s="1144"/>
      <c r="BB5" s="1144"/>
      <c r="BC5" s="1144"/>
      <c r="BD5" s="1144"/>
      <c r="BE5" s="1145"/>
    </row>
    <row r="6" spans="1:65" ht="15.75" customHeight="1" thickBot="1">
      <c r="A6" s="1143"/>
      <c r="B6" s="1146" t="s">
        <v>1882</v>
      </c>
      <c r="C6" s="1144"/>
      <c r="D6" s="1144"/>
      <c r="E6" s="1144"/>
      <c r="F6" s="1144"/>
      <c r="G6" s="1144"/>
      <c r="H6" s="1144"/>
      <c r="I6" s="1144"/>
      <c r="J6" s="1144"/>
      <c r="K6" s="1144"/>
      <c r="L6" s="2718" t="str">
        <f>IF(Application!H16="","",Application!H16)</f>
        <v>Hunters Point Block 56, L.P.</v>
      </c>
      <c r="M6" s="2719"/>
      <c r="N6" s="2719"/>
      <c r="O6" s="2719"/>
      <c r="P6" s="2719"/>
      <c r="Q6" s="2719"/>
      <c r="R6" s="2719"/>
      <c r="S6" s="2719"/>
      <c r="T6" s="2719"/>
      <c r="U6" s="2719"/>
      <c r="V6" s="2719"/>
      <c r="W6" s="2719"/>
      <c r="X6" s="2719"/>
      <c r="Y6" s="2719"/>
      <c r="Z6" s="2719"/>
      <c r="AA6" s="2719"/>
      <c r="AB6" s="2719"/>
      <c r="AC6" s="2720"/>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ht="1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ht="15" thickBot="1">
      <c r="A8" s="1143"/>
      <c r="B8" s="1146" t="s">
        <v>1883</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2721" t="str">
        <f>Application!T196</f>
        <v>No</v>
      </c>
      <c r="AC8" s="2711"/>
      <c r="AD8" s="2712"/>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ht="1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ht="15" thickBot="1">
      <c r="A10" s="1143"/>
      <c r="B10" s="1146" t="s">
        <v>1885</v>
      </c>
      <c r="C10" s="1146"/>
      <c r="D10" s="1146"/>
      <c r="E10" s="1146"/>
      <c r="F10" s="1146"/>
      <c r="G10" s="1146"/>
      <c r="H10" s="1146"/>
      <c r="I10" s="1146"/>
      <c r="J10" s="1146"/>
      <c r="K10" s="1146"/>
      <c r="L10" s="1146"/>
      <c r="M10" s="1144"/>
      <c r="N10" s="2722">
        <f>Application!AO637</f>
        <v>35253013</v>
      </c>
      <c r="O10" s="2723"/>
      <c r="P10" s="2723"/>
      <c r="Q10" s="2723"/>
      <c r="R10" s="2723"/>
      <c r="S10" s="2723"/>
      <c r="T10" s="2724"/>
      <c r="U10" s="1144"/>
      <c r="V10" s="1144"/>
      <c r="W10" s="1144"/>
      <c r="X10" s="2704" t="s">
        <v>1886</v>
      </c>
      <c r="Y10" s="2705"/>
      <c r="Z10" s="2705"/>
      <c r="AA10" s="2705"/>
      <c r="AB10" s="2705"/>
      <c r="AC10" s="2705"/>
      <c r="AD10" s="2705"/>
      <c r="AE10" s="2705"/>
      <c r="AF10" s="2705"/>
      <c r="AG10" s="2705"/>
      <c r="AH10" s="2705"/>
      <c r="AI10" s="2705"/>
      <c r="AJ10" s="2705"/>
      <c r="AK10" s="2706"/>
      <c r="AL10" s="2710">
        <f>Application!W471</f>
        <v>0</v>
      </c>
      <c r="AM10" s="2711"/>
      <c r="AN10" s="2711"/>
      <c r="AO10" s="2711"/>
      <c r="AP10" s="2712"/>
      <c r="AQ10" s="1147"/>
      <c r="AR10" s="1147"/>
      <c r="AS10" s="1147"/>
      <c r="AT10" s="1147"/>
      <c r="AU10" s="1147"/>
      <c r="AV10" s="1147"/>
      <c r="AW10" s="1147"/>
      <c r="AX10" s="1144"/>
      <c r="AY10" s="1144"/>
      <c r="AZ10" s="1144"/>
      <c r="BA10" s="1144"/>
      <c r="BB10" s="1144"/>
      <c r="BC10" s="1144"/>
      <c r="BD10" s="1144"/>
      <c r="BE10" s="1145"/>
    </row>
    <row r="11" spans="1:65" ht="15" thickBot="1">
      <c r="A11" s="1143"/>
      <c r="B11" s="1146" t="s">
        <v>1887</v>
      </c>
      <c r="C11" s="1146"/>
      <c r="D11" s="1146"/>
      <c r="E11" s="1146"/>
      <c r="F11" s="1146"/>
      <c r="G11" s="1146"/>
      <c r="H11" s="1146"/>
      <c r="I11" s="1146"/>
      <c r="J11" s="1146"/>
      <c r="K11" s="1146"/>
      <c r="L11" s="1146"/>
      <c r="M11" s="1144"/>
      <c r="N11" s="2725">
        <f>Application!AA925</f>
        <v>0</v>
      </c>
      <c r="O11" s="2726"/>
      <c r="P11" s="2726"/>
      <c r="Q11" s="2726"/>
      <c r="R11" s="2726"/>
      <c r="S11" s="2726"/>
      <c r="T11" s="2727"/>
      <c r="U11" s="1144"/>
      <c r="V11" s="1144"/>
      <c r="W11" s="1144"/>
      <c r="X11" s="2728" t="s">
        <v>1888</v>
      </c>
      <c r="Y11" s="2729"/>
      <c r="Z11" s="2729"/>
      <c r="AA11" s="2729"/>
      <c r="AB11" s="2729"/>
      <c r="AC11" s="2729"/>
      <c r="AD11" s="2729"/>
      <c r="AE11" s="2729"/>
      <c r="AF11" s="2729"/>
      <c r="AG11" s="2729"/>
      <c r="AH11" s="2729"/>
      <c r="AI11" s="2729"/>
      <c r="AJ11" s="2729"/>
      <c r="AK11" s="2730"/>
      <c r="AL11" s="2707">
        <v>44562</v>
      </c>
      <c r="AM11" s="2708"/>
      <c r="AN11" s="2708"/>
      <c r="AO11" s="2708"/>
      <c r="AP11" s="2709"/>
      <c r="AQ11" s="1148"/>
      <c r="AR11" s="1149"/>
      <c r="AS11" s="1147"/>
      <c r="AT11" s="1147"/>
      <c r="AU11" s="1147"/>
      <c r="AV11" s="1147"/>
      <c r="AW11" s="1147"/>
      <c r="AX11" s="1144"/>
      <c r="AY11" s="1144"/>
      <c r="AZ11" s="1144"/>
      <c r="BA11" s="1144"/>
      <c r="BB11" s="1144"/>
      <c r="BC11" s="1144"/>
      <c r="BD11" s="1144"/>
      <c r="BE11" s="1145"/>
    </row>
    <row r="12" spans="1:65" ht="1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04" t="s">
        <v>2743</v>
      </c>
      <c r="Y12" s="2705"/>
      <c r="Z12" s="2705"/>
      <c r="AA12" s="2705"/>
      <c r="AB12" s="2705"/>
      <c r="AC12" s="2705"/>
      <c r="AD12" s="2705"/>
      <c r="AE12" s="2705"/>
      <c r="AF12" s="2705"/>
      <c r="AG12" s="2705"/>
      <c r="AH12" s="2705"/>
      <c r="AI12" s="2705"/>
      <c r="AJ12" s="2705"/>
      <c r="AK12" s="2706"/>
      <c r="AL12" s="2707">
        <v>44562</v>
      </c>
      <c r="AM12" s="2708"/>
      <c r="AN12" s="2708"/>
      <c r="AO12" s="2708"/>
      <c r="AP12" s="2709"/>
      <c r="AQ12" s="1147"/>
      <c r="AR12" s="1147"/>
      <c r="AS12" s="1147"/>
      <c r="AT12" s="1147"/>
      <c r="AU12" s="1147"/>
      <c r="AV12" s="1144"/>
      <c r="AW12" s="1144"/>
      <c r="AX12" s="1144"/>
      <c r="AY12" s="1144"/>
      <c r="AZ12" s="1144"/>
      <c r="BA12" s="1144"/>
      <c r="BB12" s="1144"/>
      <c r="BC12" s="1144"/>
      <c r="BD12" s="1144"/>
      <c r="BE12" s="1150"/>
    </row>
    <row r="13" spans="1:65" ht="15" thickBot="1">
      <c r="A13" s="1144"/>
      <c r="B13" s="2704" t="s">
        <v>1889</v>
      </c>
      <c r="C13" s="2705"/>
      <c r="D13" s="2705"/>
      <c r="E13" s="2705"/>
      <c r="F13" s="2705"/>
      <c r="G13" s="2705"/>
      <c r="H13" s="2705"/>
      <c r="I13" s="2705"/>
      <c r="J13" s="2705"/>
      <c r="K13" s="2705"/>
      <c r="L13" s="2705"/>
      <c r="M13" s="2705"/>
      <c r="N13" s="2705"/>
      <c r="O13" s="2705"/>
      <c r="P13" s="2706"/>
      <c r="Q13" s="2713" t="s">
        <v>1884</v>
      </c>
      <c r="R13" s="2700"/>
      <c r="S13" s="2700"/>
      <c r="T13" s="2701"/>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ht="1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4.4">
      <c r="A15" s="1144"/>
      <c r="B15" s="2714" t="s">
        <v>1890</v>
      </c>
      <c r="C15" s="2714"/>
      <c r="D15" s="2714"/>
      <c r="E15" s="2714"/>
      <c r="F15" s="2714"/>
      <c r="G15" s="2714"/>
      <c r="H15" s="2714"/>
      <c r="I15" s="2714"/>
      <c r="J15" s="2714"/>
      <c r="K15" s="2714"/>
      <c r="L15" s="2715"/>
      <c r="M15" s="2697" t="s">
        <v>1891</v>
      </c>
      <c r="N15" s="2698"/>
      <c r="O15" s="2698"/>
      <c r="P15" s="2698"/>
      <c r="Q15" s="2698"/>
      <c r="R15" s="2698"/>
      <c r="S15" s="2716" t="str">
        <f>IF(Application!AB214="","",Application!AB214)</f>
        <v>N/A</v>
      </c>
      <c r="T15" s="2716"/>
      <c r="U15" s="2716"/>
      <c r="V15" s="2716"/>
      <c r="W15" s="2717"/>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ht="1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4.4">
      <c r="A17" s="1144"/>
      <c r="B17" s="2731" t="s">
        <v>1892</v>
      </c>
      <c r="C17" s="2732"/>
      <c r="D17" s="2732"/>
      <c r="E17" s="2732"/>
      <c r="F17" s="2732"/>
      <c r="G17" s="2732"/>
      <c r="H17" s="2732"/>
      <c r="I17" s="2732"/>
      <c r="J17" s="2732"/>
      <c r="K17" s="2732"/>
      <c r="L17" s="2732"/>
      <c r="M17" s="2732"/>
      <c r="N17" s="2732"/>
      <c r="O17" s="2732"/>
      <c r="P17" s="2732"/>
      <c r="Q17" s="2732"/>
      <c r="R17" s="2732"/>
      <c r="S17" s="2732"/>
      <c r="T17" s="2732"/>
      <c r="U17" s="2732"/>
      <c r="V17" s="2732"/>
      <c r="W17" s="2732"/>
      <c r="X17" s="2732"/>
      <c r="Y17" s="2732"/>
      <c r="Z17" s="2732"/>
      <c r="AA17" s="2732"/>
      <c r="AB17" s="2732"/>
      <c r="AC17" s="2732"/>
      <c r="AD17" s="2732"/>
      <c r="AE17" s="2732"/>
      <c r="AF17" s="2732"/>
      <c r="AG17" s="2732"/>
      <c r="AH17" s="2732"/>
      <c r="AI17" s="2732"/>
      <c r="AJ17" s="2732"/>
      <c r="AK17" s="2732"/>
      <c r="AL17" s="2732"/>
      <c r="AM17" s="2732"/>
      <c r="AN17" s="2732"/>
      <c r="AO17" s="2732"/>
      <c r="AP17" s="2732"/>
      <c r="AQ17" s="2732"/>
      <c r="AR17" s="2732"/>
      <c r="AS17" s="2732"/>
      <c r="AT17" s="2732"/>
      <c r="AU17" s="2732"/>
      <c r="AV17" s="2732"/>
      <c r="AW17" s="2732"/>
      <c r="AX17" s="2732"/>
      <c r="AY17" s="2733"/>
      <c r="AZ17" s="1144"/>
      <c r="BA17" s="1144"/>
      <c r="BB17" s="1144"/>
      <c r="BC17" s="1144"/>
      <c r="BD17" s="1144"/>
      <c r="BE17" s="1150"/>
      <c r="BF17" s="1142"/>
    </row>
    <row r="18" spans="1:58" ht="15.75" customHeight="1">
      <c r="A18" s="1144"/>
      <c r="B18" s="2734" t="s">
        <v>1893</v>
      </c>
      <c r="C18" s="2735"/>
      <c r="D18" s="2735"/>
      <c r="E18" s="2735"/>
      <c r="F18" s="2735"/>
      <c r="G18" s="2735"/>
      <c r="H18" s="2735"/>
      <c r="I18" s="2736"/>
      <c r="J18" s="2737" t="s">
        <v>1785</v>
      </c>
      <c r="K18" s="2738"/>
      <c r="L18" s="2738"/>
      <c r="M18" s="2738"/>
      <c r="N18" s="2738"/>
      <c r="O18" s="2739"/>
      <c r="P18" s="2737" t="s">
        <v>329</v>
      </c>
      <c r="Q18" s="2738"/>
      <c r="R18" s="2738"/>
      <c r="S18" s="2738"/>
      <c r="T18" s="2738"/>
      <c r="U18" s="2739"/>
      <c r="V18" s="2737" t="s">
        <v>330</v>
      </c>
      <c r="W18" s="2738"/>
      <c r="X18" s="2738"/>
      <c r="Y18" s="2738"/>
      <c r="Z18" s="2738"/>
      <c r="AA18" s="2739"/>
      <c r="AB18" s="2737" t="s">
        <v>168</v>
      </c>
      <c r="AC18" s="2738"/>
      <c r="AD18" s="2738"/>
      <c r="AE18" s="2738"/>
      <c r="AF18" s="2738"/>
      <c r="AG18" s="2739"/>
      <c r="AH18" s="2737" t="s">
        <v>169</v>
      </c>
      <c r="AI18" s="2738"/>
      <c r="AJ18" s="2738"/>
      <c r="AK18" s="2738"/>
      <c r="AL18" s="2738"/>
      <c r="AM18" s="2739"/>
      <c r="AN18" s="2737" t="s">
        <v>170</v>
      </c>
      <c r="AO18" s="2738"/>
      <c r="AP18" s="2738"/>
      <c r="AQ18" s="2738"/>
      <c r="AR18" s="2738"/>
      <c r="AS18" s="2739"/>
      <c r="AT18" s="2737" t="s">
        <v>1894</v>
      </c>
      <c r="AU18" s="2738"/>
      <c r="AV18" s="2738"/>
      <c r="AW18" s="2738"/>
      <c r="AX18" s="2738"/>
      <c r="AY18" s="2740"/>
      <c r="AZ18" s="1144"/>
      <c r="BA18" s="1144"/>
      <c r="BB18" s="1144"/>
      <c r="BC18" s="1144"/>
      <c r="BD18" s="1144"/>
      <c r="BE18" s="1150"/>
    </row>
    <row r="19" spans="1:58" ht="14.4">
      <c r="A19" s="1144"/>
      <c r="B19" s="2747">
        <v>0.2</v>
      </c>
      <c r="C19" s="2748"/>
      <c r="D19" s="2748"/>
      <c r="E19" s="2748"/>
      <c r="F19" s="2748"/>
      <c r="G19" s="2748"/>
      <c r="H19" s="2748"/>
      <c r="I19" s="2748"/>
      <c r="J19" s="2741">
        <f>SUM(P19:AS19)</f>
        <v>0</v>
      </c>
      <c r="K19" s="2742"/>
      <c r="L19" s="2742"/>
      <c r="M19" s="2742"/>
      <c r="N19" s="2742"/>
      <c r="O19" s="2743"/>
      <c r="P19" s="2741" cm="1">
        <f t="array" ref="P19">SUMPRODUCT((Application!$B$728:$B$752 = 'CalHFA Addendum'!P$18)*(Application!$AC$728:$AC$752 = 'CalHFA Addendum'!$B19),Application!$G$728:$G$752)</f>
        <v>0</v>
      </c>
      <c r="Q19" s="2742"/>
      <c r="R19" s="2742"/>
      <c r="S19" s="2742"/>
      <c r="T19" s="2742"/>
      <c r="U19" s="2743"/>
      <c r="V19" s="2741" cm="1">
        <f t="array" ref="V19">SUMPRODUCT((Application!$B$728:$B$752 = 'CalHFA Addendum'!V$18)*(Application!$AC$728:$AC$752 = 'CalHFA Addendum'!$B19),Application!$G$728:$G$752)</f>
        <v>0</v>
      </c>
      <c r="W19" s="2742"/>
      <c r="X19" s="2742"/>
      <c r="Y19" s="2742"/>
      <c r="Z19" s="2742"/>
      <c r="AA19" s="2743"/>
      <c r="AB19" s="2741" cm="1">
        <f t="array" ref="AB19">SUMPRODUCT((Application!$B$728:$B$752 = 'CalHFA Addendum'!AB$18)*(Application!$AC$728:$AC$752 = 'CalHFA Addendum'!$B19),Application!$G$728:$G$752)</f>
        <v>0</v>
      </c>
      <c r="AC19" s="2742"/>
      <c r="AD19" s="2742"/>
      <c r="AE19" s="2742"/>
      <c r="AF19" s="2742"/>
      <c r="AG19" s="2743"/>
      <c r="AH19" s="2741" cm="1">
        <f t="array" ref="AH19">SUMPRODUCT((Application!$B$728:$B$752 = 'CalHFA Addendum'!AH$18)*(Application!$AC$728:$AC$752 = 'CalHFA Addendum'!$B19),Application!$G$728:$G$752)</f>
        <v>0</v>
      </c>
      <c r="AI19" s="2742"/>
      <c r="AJ19" s="2742"/>
      <c r="AK19" s="2742"/>
      <c r="AL19" s="2742"/>
      <c r="AM19" s="2743"/>
      <c r="AN19" s="2741" cm="1">
        <f t="array" ref="AN19">SUMPRODUCT((Application!$B$728:$B$752 = 'CalHFA Addendum'!AN$18)*(Application!$AC$728:$AC$752 = 'CalHFA Addendum'!$B19),Application!$G$728:$G$752)</f>
        <v>0</v>
      </c>
      <c r="AO19" s="2742"/>
      <c r="AP19" s="2742"/>
      <c r="AQ19" s="2742"/>
      <c r="AR19" s="2742"/>
      <c r="AS19" s="2743"/>
      <c r="AT19" s="2744">
        <f t="shared" ref="AT19:AT28" si="0">J19/$J$29</f>
        <v>0</v>
      </c>
      <c r="AU19" s="2745"/>
      <c r="AV19" s="2745"/>
      <c r="AW19" s="2745"/>
      <c r="AX19" s="2745"/>
      <c r="AY19" s="2746"/>
      <c r="AZ19" s="1151"/>
      <c r="BA19" s="1144"/>
      <c r="BB19" s="1144"/>
      <c r="BC19" s="1144"/>
      <c r="BD19" s="1144"/>
      <c r="BE19" s="1150"/>
    </row>
    <row r="20" spans="1:58" ht="15" customHeight="1">
      <c r="A20" s="1144"/>
      <c r="B20" s="2747">
        <v>0.3</v>
      </c>
      <c r="C20" s="2748"/>
      <c r="D20" s="2748"/>
      <c r="E20" s="2748"/>
      <c r="F20" s="2748"/>
      <c r="G20" s="2748"/>
      <c r="H20" s="2748"/>
      <c r="I20" s="2748"/>
      <c r="J20" s="2741">
        <f t="shared" ref="J20:J28" si="1">SUM(P20:AS20)</f>
        <v>8</v>
      </c>
      <c r="K20" s="2742"/>
      <c r="L20" s="2742"/>
      <c r="M20" s="2742"/>
      <c r="N20" s="2742"/>
      <c r="O20" s="2743"/>
      <c r="P20" s="2741" cm="1">
        <f t="array" ref="P20">SUMPRODUCT((Application!$B$728:$B$752 = 'CalHFA Addendum'!P$18)*(Application!$AC$728:$AC$752 = 'CalHFA Addendum'!$B20),Application!$G$728:$G$752)</f>
        <v>0</v>
      </c>
      <c r="Q20" s="2742"/>
      <c r="R20" s="2742"/>
      <c r="S20" s="2742"/>
      <c r="T20" s="2742"/>
      <c r="U20" s="2743"/>
      <c r="V20" s="2741" cm="1">
        <f t="array" ref="V20">SUMPRODUCT((Application!$B$728:$B$752 = 'CalHFA Addendum'!V$18)*(Application!$AC$728:$AC$752 = 'CalHFA Addendum'!$B20),Application!$G$728:$G$752)</f>
        <v>1</v>
      </c>
      <c r="W20" s="2742"/>
      <c r="X20" s="2742"/>
      <c r="Y20" s="2742"/>
      <c r="Z20" s="2742"/>
      <c r="AA20" s="2743"/>
      <c r="AB20" s="2741" cm="1">
        <f t="array" ref="AB20">SUMPRODUCT((Application!$B$728:$B$752 = 'CalHFA Addendum'!AB$18)*(Application!$AC$728:$AC$752 = 'CalHFA Addendum'!$B20),Application!$G$728:$G$752)</f>
        <v>3</v>
      </c>
      <c r="AC20" s="2742"/>
      <c r="AD20" s="2742"/>
      <c r="AE20" s="2742"/>
      <c r="AF20" s="2742"/>
      <c r="AG20" s="2743"/>
      <c r="AH20" s="2741" cm="1">
        <f t="array" ref="AH20">SUMPRODUCT((Application!$B$728:$B$752 = 'CalHFA Addendum'!AH$18)*(Application!$AC$728:$AC$752 = 'CalHFA Addendum'!$B20),Application!$G$728:$G$752)</f>
        <v>4</v>
      </c>
      <c r="AI20" s="2742"/>
      <c r="AJ20" s="2742"/>
      <c r="AK20" s="2742"/>
      <c r="AL20" s="2742"/>
      <c r="AM20" s="2743"/>
      <c r="AN20" s="2741" cm="1">
        <f t="array" ref="AN20">SUMPRODUCT((Application!$B$728:$B$752 = 'CalHFA Addendum'!AN$18)*(Application!$AC$728:$AC$752 = 'CalHFA Addendum'!$B20),Application!$G$728:$G$752)</f>
        <v>0</v>
      </c>
      <c r="AO20" s="2742"/>
      <c r="AP20" s="2742"/>
      <c r="AQ20" s="2742"/>
      <c r="AR20" s="2742"/>
      <c r="AS20" s="2743"/>
      <c r="AT20" s="2744">
        <f t="shared" si="0"/>
        <v>0.1111111111111111</v>
      </c>
      <c r="AU20" s="2745"/>
      <c r="AV20" s="2745"/>
      <c r="AW20" s="2745"/>
      <c r="AX20" s="2745"/>
      <c r="AY20" s="2746"/>
      <c r="AZ20" s="1144"/>
      <c r="BA20" s="1144"/>
      <c r="BB20" s="1144"/>
      <c r="BC20" s="1144"/>
      <c r="BD20" s="1144"/>
      <c r="BE20" s="1150"/>
    </row>
    <row r="21" spans="1:58" ht="14.4">
      <c r="A21" s="1144"/>
      <c r="B21" s="2747">
        <v>0.4</v>
      </c>
      <c r="C21" s="2748"/>
      <c r="D21" s="2748"/>
      <c r="E21" s="2748"/>
      <c r="F21" s="2748"/>
      <c r="G21" s="2748"/>
      <c r="H21" s="2748"/>
      <c r="I21" s="2748"/>
      <c r="J21" s="2741">
        <f t="shared" si="1"/>
        <v>63</v>
      </c>
      <c r="K21" s="2742"/>
      <c r="L21" s="2742"/>
      <c r="M21" s="2742"/>
      <c r="N21" s="2742"/>
      <c r="O21" s="2743"/>
      <c r="P21" s="2741" cm="1">
        <f t="array" ref="P21">SUMPRODUCT((Application!$B$728:$B$752 = 'CalHFA Addendum'!P$18)*(Application!$AC$728:$AC$752 = 'CalHFA Addendum'!$B21),Application!$G$728:$G$752)</f>
        <v>4</v>
      </c>
      <c r="Q21" s="2742"/>
      <c r="R21" s="2742"/>
      <c r="S21" s="2742"/>
      <c r="T21" s="2742"/>
      <c r="U21" s="2743"/>
      <c r="V21" s="2741" cm="1">
        <f t="array" ref="V21">SUMPRODUCT((Application!$B$728:$B$752 = 'CalHFA Addendum'!V$18)*(Application!$AC$728:$AC$752 = 'CalHFA Addendum'!$B21),Application!$G$728:$G$752)</f>
        <v>17</v>
      </c>
      <c r="W21" s="2742"/>
      <c r="X21" s="2742"/>
      <c r="Y21" s="2742"/>
      <c r="Z21" s="2742"/>
      <c r="AA21" s="2743"/>
      <c r="AB21" s="2741" cm="1">
        <f t="array" ref="AB21">SUMPRODUCT((Application!$B$728:$B$752 = 'CalHFA Addendum'!AB$18)*(Application!$AC$728:$AC$752 = 'CalHFA Addendum'!$B21),Application!$G$728:$G$752)</f>
        <v>28</v>
      </c>
      <c r="AC21" s="2742"/>
      <c r="AD21" s="2742"/>
      <c r="AE21" s="2742"/>
      <c r="AF21" s="2742"/>
      <c r="AG21" s="2743"/>
      <c r="AH21" s="2741" cm="1">
        <f t="array" ref="AH21">SUMPRODUCT((Application!$B$728:$B$752 = 'CalHFA Addendum'!AH$18)*(Application!$AC$728:$AC$752 = 'CalHFA Addendum'!$B21),Application!$G$728:$G$752)</f>
        <v>12</v>
      </c>
      <c r="AI21" s="2742"/>
      <c r="AJ21" s="2742"/>
      <c r="AK21" s="2742"/>
      <c r="AL21" s="2742"/>
      <c r="AM21" s="2743"/>
      <c r="AN21" s="2741" cm="1">
        <f t="array" ref="AN21">SUMPRODUCT((Application!$B$728:$B$752 = 'CalHFA Addendum'!AN$18)*(Application!$AC$728:$AC$752 = 'CalHFA Addendum'!$B21),Application!$G$728:$G$752)</f>
        <v>2</v>
      </c>
      <c r="AO21" s="2742"/>
      <c r="AP21" s="2742"/>
      <c r="AQ21" s="2742"/>
      <c r="AR21" s="2742"/>
      <c r="AS21" s="2743"/>
      <c r="AT21" s="2744">
        <f t="shared" si="0"/>
        <v>0.875</v>
      </c>
      <c r="AU21" s="2745"/>
      <c r="AV21" s="2745"/>
      <c r="AW21" s="2745"/>
      <c r="AX21" s="2745"/>
      <c r="AY21" s="2746"/>
      <c r="AZ21" s="1144"/>
      <c r="BA21" s="1144"/>
      <c r="BB21" s="1144"/>
      <c r="BC21" s="1144"/>
      <c r="BD21" s="1144"/>
      <c r="BE21" s="1150"/>
    </row>
    <row r="22" spans="1:58" ht="14.4">
      <c r="A22" s="1144"/>
      <c r="B22" s="2747">
        <v>0.5</v>
      </c>
      <c r="C22" s="2748"/>
      <c r="D22" s="2748"/>
      <c r="E22" s="2748"/>
      <c r="F22" s="2748"/>
      <c r="G22" s="2748"/>
      <c r="H22" s="2748"/>
      <c r="I22" s="2748"/>
      <c r="J22" s="2741">
        <f t="shared" si="1"/>
        <v>0</v>
      </c>
      <c r="K22" s="2742"/>
      <c r="L22" s="2742"/>
      <c r="M22" s="2742"/>
      <c r="N22" s="2742"/>
      <c r="O22" s="2743"/>
      <c r="P22" s="2741" cm="1">
        <f t="array" ref="P22">SUMPRODUCT((Application!$B$728:$B$752 = 'CalHFA Addendum'!P$18)*(Application!$AC$728:$AC$752 = 'CalHFA Addendum'!$B22),Application!$G$728:$G$752)</f>
        <v>0</v>
      </c>
      <c r="Q22" s="2742"/>
      <c r="R22" s="2742"/>
      <c r="S22" s="2742"/>
      <c r="T22" s="2742"/>
      <c r="U22" s="2743"/>
      <c r="V22" s="2741" cm="1">
        <f t="array" ref="V22">SUMPRODUCT((Application!$B$728:$B$752 = 'CalHFA Addendum'!V$18)*(Application!$AC$728:$AC$752 = 'CalHFA Addendum'!$B22),Application!$G$728:$G$752)</f>
        <v>0</v>
      </c>
      <c r="W22" s="2742"/>
      <c r="X22" s="2742"/>
      <c r="Y22" s="2742"/>
      <c r="Z22" s="2742"/>
      <c r="AA22" s="2743"/>
      <c r="AB22" s="2741" cm="1">
        <f t="array" ref="AB22">SUMPRODUCT((Application!$B$728:$B$752 = 'CalHFA Addendum'!AB$18)*(Application!$AC$728:$AC$752 = 'CalHFA Addendum'!$B22),Application!$G$728:$G$752)</f>
        <v>0</v>
      </c>
      <c r="AC22" s="2742"/>
      <c r="AD22" s="2742"/>
      <c r="AE22" s="2742"/>
      <c r="AF22" s="2742"/>
      <c r="AG22" s="2743"/>
      <c r="AH22" s="2741" cm="1">
        <f t="array" ref="AH22">SUMPRODUCT((Application!$B$728:$B$752 = 'CalHFA Addendum'!AH$18)*(Application!$AC$728:$AC$752 = 'CalHFA Addendum'!$B22),Application!$G$728:$G$752)</f>
        <v>0</v>
      </c>
      <c r="AI22" s="2742"/>
      <c r="AJ22" s="2742"/>
      <c r="AK22" s="2742"/>
      <c r="AL22" s="2742"/>
      <c r="AM22" s="2743"/>
      <c r="AN22" s="2741" cm="1">
        <f t="array" ref="AN22">SUMPRODUCT((Application!$B$728:$B$752 = 'CalHFA Addendum'!AN$18)*(Application!$AC$728:$AC$752 = 'CalHFA Addendum'!$B22),Application!$G$728:$G$752)</f>
        <v>0</v>
      </c>
      <c r="AO22" s="2742"/>
      <c r="AP22" s="2742"/>
      <c r="AQ22" s="2742"/>
      <c r="AR22" s="2742"/>
      <c r="AS22" s="2743"/>
      <c r="AT22" s="2744">
        <f t="shared" si="0"/>
        <v>0</v>
      </c>
      <c r="AU22" s="2745"/>
      <c r="AV22" s="2745"/>
      <c r="AW22" s="2745"/>
      <c r="AX22" s="2745"/>
      <c r="AY22" s="2746"/>
      <c r="AZ22" s="1144"/>
      <c r="BA22" s="1144"/>
      <c r="BB22" s="1144"/>
      <c r="BC22" s="1144"/>
      <c r="BD22" s="1144"/>
      <c r="BE22" s="1150"/>
    </row>
    <row r="23" spans="1:58" ht="14.4">
      <c r="A23" s="1144"/>
      <c r="B23" s="2747">
        <v>0.6</v>
      </c>
      <c r="C23" s="2748"/>
      <c r="D23" s="2748"/>
      <c r="E23" s="2748"/>
      <c r="F23" s="2748"/>
      <c r="G23" s="2748"/>
      <c r="H23" s="2748"/>
      <c r="I23" s="2748"/>
      <c r="J23" s="2741">
        <f t="shared" si="1"/>
        <v>0</v>
      </c>
      <c r="K23" s="2742"/>
      <c r="L23" s="2742"/>
      <c r="M23" s="2742"/>
      <c r="N23" s="2742"/>
      <c r="O23" s="2743"/>
      <c r="P23" s="2741" cm="1">
        <f t="array" ref="P23">SUMPRODUCT((Application!$B$728:$B$752 = 'CalHFA Addendum'!P$18)*(Application!$AC$728:$AC$752 = 'CalHFA Addendum'!$B23),Application!$G$728:$G$752)</f>
        <v>0</v>
      </c>
      <c r="Q23" s="2742"/>
      <c r="R23" s="2742"/>
      <c r="S23" s="2742"/>
      <c r="T23" s="2742"/>
      <c r="U23" s="2743"/>
      <c r="V23" s="2741" cm="1">
        <f t="array" ref="V23">SUMPRODUCT((Application!$B$728:$B$752 = 'CalHFA Addendum'!V$18)*(Application!$AC$728:$AC$752 = 'CalHFA Addendum'!$B23),Application!$G$728:$G$752)</f>
        <v>0</v>
      </c>
      <c r="W23" s="2742"/>
      <c r="X23" s="2742"/>
      <c r="Y23" s="2742"/>
      <c r="Z23" s="2742"/>
      <c r="AA23" s="2743"/>
      <c r="AB23" s="2741" cm="1">
        <f t="array" ref="AB23">SUMPRODUCT((Application!$B$728:$B$752 = 'CalHFA Addendum'!AB$18)*(Application!$AC$728:$AC$752 = 'CalHFA Addendum'!$B23),Application!$G$728:$G$752)</f>
        <v>0</v>
      </c>
      <c r="AC23" s="2742"/>
      <c r="AD23" s="2742"/>
      <c r="AE23" s="2742"/>
      <c r="AF23" s="2742"/>
      <c r="AG23" s="2743"/>
      <c r="AH23" s="2741" cm="1">
        <f t="array" ref="AH23">SUMPRODUCT((Application!$B$728:$B$752 = 'CalHFA Addendum'!AH$18)*(Application!$AC$728:$AC$752 = 'CalHFA Addendum'!$B23),Application!$G$728:$G$752)</f>
        <v>0</v>
      </c>
      <c r="AI23" s="2742"/>
      <c r="AJ23" s="2742"/>
      <c r="AK23" s="2742"/>
      <c r="AL23" s="2742"/>
      <c r="AM23" s="2743"/>
      <c r="AN23" s="2741" cm="1">
        <f t="array" ref="AN23">SUMPRODUCT((Application!$B$728:$B$752 = 'CalHFA Addendum'!AN$18)*(Application!$AC$728:$AC$752 = 'CalHFA Addendum'!$B23),Application!$G$728:$G$752)</f>
        <v>0</v>
      </c>
      <c r="AO23" s="2742"/>
      <c r="AP23" s="2742"/>
      <c r="AQ23" s="2742"/>
      <c r="AR23" s="2742"/>
      <c r="AS23" s="2743"/>
      <c r="AT23" s="2744">
        <f t="shared" si="0"/>
        <v>0</v>
      </c>
      <c r="AU23" s="2745"/>
      <c r="AV23" s="2745"/>
      <c r="AW23" s="2745"/>
      <c r="AX23" s="2745"/>
      <c r="AY23" s="2746"/>
      <c r="AZ23" s="1144"/>
      <c r="BA23" s="1144"/>
      <c r="BB23" s="1144"/>
      <c r="BC23" s="1144"/>
      <c r="BD23" s="1144"/>
      <c r="BE23" s="1150"/>
    </row>
    <row r="24" spans="1:58" ht="14.4">
      <c r="A24" s="1144"/>
      <c r="B24" s="2747">
        <v>0.7</v>
      </c>
      <c r="C24" s="2748"/>
      <c r="D24" s="2748"/>
      <c r="E24" s="2748"/>
      <c r="F24" s="2748"/>
      <c r="G24" s="2748"/>
      <c r="H24" s="2748"/>
      <c r="I24" s="2748"/>
      <c r="J24" s="2741">
        <f t="shared" si="1"/>
        <v>0</v>
      </c>
      <c r="K24" s="2742"/>
      <c r="L24" s="2742"/>
      <c r="M24" s="2742"/>
      <c r="N24" s="2742"/>
      <c r="O24" s="2743"/>
      <c r="P24" s="2741" cm="1">
        <f t="array" ref="P24">SUMPRODUCT((Application!$B$728:$B$752 = 'CalHFA Addendum'!P$18)*(Application!$AC$728:$AC$752 = 'CalHFA Addendum'!$B24),Application!$G$728:$G$752)</f>
        <v>0</v>
      </c>
      <c r="Q24" s="2742"/>
      <c r="R24" s="2742"/>
      <c r="S24" s="2742"/>
      <c r="T24" s="2742"/>
      <c r="U24" s="2743"/>
      <c r="V24" s="2741" cm="1">
        <f t="array" ref="V24">SUMPRODUCT((Application!$B$728:$B$752 = 'CalHFA Addendum'!V$18)*(Application!$AC$728:$AC$752 = 'CalHFA Addendum'!$B24),Application!$G$728:$G$752)</f>
        <v>0</v>
      </c>
      <c r="W24" s="2742"/>
      <c r="X24" s="2742"/>
      <c r="Y24" s="2742"/>
      <c r="Z24" s="2742"/>
      <c r="AA24" s="2743"/>
      <c r="AB24" s="2741" cm="1">
        <f t="array" ref="AB24">SUMPRODUCT((Application!$B$728:$B$752 = 'CalHFA Addendum'!AB$18)*(Application!$AC$728:$AC$752 = 'CalHFA Addendum'!$B24),Application!$G$728:$G$752)</f>
        <v>0</v>
      </c>
      <c r="AC24" s="2742"/>
      <c r="AD24" s="2742"/>
      <c r="AE24" s="2742"/>
      <c r="AF24" s="2742"/>
      <c r="AG24" s="2743"/>
      <c r="AH24" s="2741" cm="1">
        <f t="array" ref="AH24">SUMPRODUCT((Application!$B$728:$B$752 = 'CalHFA Addendum'!AH$18)*(Application!$AC$728:$AC$752 = 'CalHFA Addendum'!$B24),Application!$G$728:$G$752)</f>
        <v>0</v>
      </c>
      <c r="AI24" s="2742"/>
      <c r="AJ24" s="2742"/>
      <c r="AK24" s="2742"/>
      <c r="AL24" s="2742"/>
      <c r="AM24" s="2743"/>
      <c r="AN24" s="2741" cm="1">
        <f t="array" ref="AN24">SUMPRODUCT((Application!$B$728:$B$752 = 'CalHFA Addendum'!AN$18)*(Application!$AC$728:$AC$752 = 'CalHFA Addendum'!$B24),Application!$G$728:$G$752)</f>
        <v>0</v>
      </c>
      <c r="AO24" s="2742"/>
      <c r="AP24" s="2742"/>
      <c r="AQ24" s="2742"/>
      <c r="AR24" s="2742"/>
      <c r="AS24" s="2743"/>
      <c r="AT24" s="2744">
        <f t="shared" si="0"/>
        <v>0</v>
      </c>
      <c r="AU24" s="2745"/>
      <c r="AV24" s="2745"/>
      <c r="AW24" s="2745"/>
      <c r="AX24" s="2745"/>
      <c r="AY24" s="2746"/>
      <c r="AZ24" s="1144"/>
      <c r="BA24" s="1144"/>
      <c r="BB24" s="1144"/>
      <c r="BC24" s="1144"/>
      <c r="BD24" s="1144"/>
      <c r="BE24" s="1150"/>
    </row>
    <row r="25" spans="1:58" ht="14.4">
      <c r="A25" s="1144"/>
      <c r="B25" s="2747">
        <v>0.8</v>
      </c>
      <c r="C25" s="2748"/>
      <c r="D25" s="2748"/>
      <c r="E25" s="2748"/>
      <c r="F25" s="2748"/>
      <c r="G25" s="2748"/>
      <c r="H25" s="2748"/>
      <c r="I25" s="2748"/>
      <c r="J25" s="2741">
        <f t="shared" si="1"/>
        <v>0</v>
      </c>
      <c r="K25" s="2742"/>
      <c r="L25" s="2742"/>
      <c r="M25" s="2742"/>
      <c r="N25" s="2742"/>
      <c r="O25" s="2743"/>
      <c r="P25" s="2741" cm="1">
        <f t="array" ref="P25">SUMPRODUCT((Application!$B$728:$B$752 = 'CalHFA Addendum'!P$18)*(Application!$AC$728:$AC$752 = 'CalHFA Addendum'!$B25),Application!$G$728:$G$752)</f>
        <v>0</v>
      </c>
      <c r="Q25" s="2742"/>
      <c r="R25" s="2742"/>
      <c r="S25" s="2742"/>
      <c r="T25" s="2742"/>
      <c r="U25" s="2743"/>
      <c r="V25" s="2741" cm="1">
        <f t="array" ref="V25">SUMPRODUCT((Application!$B$728:$B$752 = 'CalHFA Addendum'!V$18)*(Application!$AC$728:$AC$752 = 'CalHFA Addendum'!$B25),Application!$G$728:$G$752)</f>
        <v>0</v>
      </c>
      <c r="W25" s="2742"/>
      <c r="X25" s="2742"/>
      <c r="Y25" s="2742"/>
      <c r="Z25" s="2742"/>
      <c r="AA25" s="2743"/>
      <c r="AB25" s="2741" cm="1">
        <f t="array" ref="AB25">SUMPRODUCT((Application!$B$728:$B$752 = 'CalHFA Addendum'!AB$18)*(Application!$AC$728:$AC$752 = 'CalHFA Addendum'!$B25),Application!$G$728:$G$752)</f>
        <v>0</v>
      </c>
      <c r="AC25" s="2742"/>
      <c r="AD25" s="2742"/>
      <c r="AE25" s="2742"/>
      <c r="AF25" s="2742"/>
      <c r="AG25" s="2743"/>
      <c r="AH25" s="2741" cm="1">
        <f t="array" ref="AH25">SUMPRODUCT((Application!$B$728:$B$752 = 'CalHFA Addendum'!AH$18)*(Application!$AC$728:$AC$752 = 'CalHFA Addendum'!$B25),Application!$G$728:$G$752)</f>
        <v>0</v>
      </c>
      <c r="AI25" s="2742"/>
      <c r="AJ25" s="2742"/>
      <c r="AK25" s="2742"/>
      <c r="AL25" s="2742"/>
      <c r="AM25" s="2743"/>
      <c r="AN25" s="2741" cm="1">
        <f t="array" ref="AN25">SUMPRODUCT((Application!$B$728:$B$752 = 'CalHFA Addendum'!AN$18)*(Application!$AC$728:$AC$752 = 'CalHFA Addendum'!$B25),Application!$G$728:$G$752)</f>
        <v>0</v>
      </c>
      <c r="AO25" s="2742"/>
      <c r="AP25" s="2742"/>
      <c r="AQ25" s="2742"/>
      <c r="AR25" s="2742"/>
      <c r="AS25" s="2743"/>
      <c r="AT25" s="2744">
        <f t="shared" si="0"/>
        <v>0</v>
      </c>
      <c r="AU25" s="2745"/>
      <c r="AV25" s="2745"/>
      <c r="AW25" s="2745"/>
      <c r="AX25" s="2745"/>
      <c r="AY25" s="2746"/>
      <c r="AZ25" s="1144"/>
      <c r="BA25" s="1144"/>
      <c r="BB25" s="1144"/>
      <c r="BC25" s="1144"/>
      <c r="BD25" s="1144"/>
      <c r="BE25" s="1150"/>
    </row>
    <row r="26" spans="1:58" ht="14.4">
      <c r="A26" s="1144"/>
      <c r="B26" s="2747">
        <v>0.9</v>
      </c>
      <c r="C26" s="2748"/>
      <c r="D26" s="2748"/>
      <c r="E26" s="2748"/>
      <c r="F26" s="2748"/>
      <c r="G26" s="2748"/>
      <c r="H26" s="2748"/>
      <c r="I26" s="2748"/>
      <c r="J26" s="2741">
        <f t="shared" si="1"/>
        <v>0</v>
      </c>
      <c r="K26" s="2742"/>
      <c r="L26" s="2742"/>
      <c r="M26" s="2742"/>
      <c r="N26" s="2742"/>
      <c r="O26" s="2743"/>
      <c r="P26" s="2741" cm="1">
        <f t="array" ref="P26">SUMPRODUCT((Application!$B$728:$B$752 = 'CalHFA Addendum'!P$18)*(Application!$AC$728:$AC$752 = 'CalHFA Addendum'!$B26),Application!$G$728:$G$752)</f>
        <v>0</v>
      </c>
      <c r="Q26" s="2742"/>
      <c r="R26" s="2742"/>
      <c r="S26" s="2742"/>
      <c r="T26" s="2742"/>
      <c r="U26" s="2743"/>
      <c r="V26" s="2741" cm="1">
        <f t="array" ref="V26">SUMPRODUCT((Application!$B$728:$B$752 = 'CalHFA Addendum'!V$18)*(Application!$AC$728:$AC$752 = 'CalHFA Addendum'!$B26),Application!$G$728:$G$752)</f>
        <v>0</v>
      </c>
      <c r="W26" s="2742"/>
      <c r="X26" s="2742"/>
      <c r="Y26" s="2742"/>
      <c r="Z26" s="2742"/>
      <c r="AA26" s="2743"/>
      <c r="AB26" s="2741" cm="1">
        <f t="array" ref="AB26">SUMPRODUCT((Application!$B$728:$B$752 = 'CalHFA Addendum'!AB$18)*(Application!$AC$728:$AC$752 = 'CalHFA Addendum'!$B26),Application!$G$728:$G$752)</f>
        <v>0</v>
      </c>
      <c r="AC26" s="2742"/>
      <c r="AD26" s="2742"/>
      <c r="AE26" s="2742"/>
      <c r="AF26" s="2742"/>
      <c r="AG26" s="2743"/>
      <c r="AH26" s="2741" cm="1">
        <f t="array" ref="AH26">SUMPRODUCT((Application!$B$728:$B$752 = 'CalHFA Addendum'!AH$18)*(Application!$AC$728:$AC$752 = 'CalHFA Addendum'!$B26),Application!$G$728:$G$752)</f>
        <v>0</v>
      </c>
      <c r="AI26" s="2742"/>
      <c r="AJ26" s="2742"/>
      <c r="AK26" s="2742"/>
      <c r="AL26" s="2742"/>
      <c r="AM26" s="2743"/>
      <c r="AN26" s="2741" cm="1">
        <f t="array" ref="AN26">SUMPRODUCT((Application!$B$728:$B$752 = 'CalHFA Addendum'!AN$18)*(Application!$AC$728:$AC$752 = 'CalHFA Addendum'!$B26),Application!$G$728:$G$752)</f>
        <v>0</v>
      </c>
      <c r="AO26" s="2742"/>
      <c r="AP26" s="2742"/>
      <c r="AQ26" s="2742"/>
      <c r="AR26" s="2742"/>
      <c r="AS26" s="2743"/>
      <c r="AT26" s="2744">
        <f t="shared" si="0"/>
        <v>0</v>
      </c>
      <c r="AU26" s="2745"/>
      <c r="AV26" s="2745"/>
      <c r="AW26" s="2745"/>
      <c r="AX26" s="2745"/>
      <c r="AY26" s="2746"/>
      <c r="AZ26" s="1144"/>
      <c r="BA26" s="1144"/>
      <c r="BB26" s="1144"/>
      <c r="BC26" s="1144"/>
      <c r="BD26" s="1144"/>
      <c r="BE26" s="1150"/>
    </row>
    <row r="27" spans="1:58" ht="14.4">
      <c r="A27" s="1144"/>
      <c r="B27" s="2747">
        <v>1</v>
      </c>
      <c r="C27" s="2748"/>
      <c r="D27" s="2748"/>
      <c r="E27" s="2748"/>
      <c r="F27" s="2748"/>
      <c r="G27" s="2748"/>
      <c r="H27" s="2748"/>
      <c r="I27" s="2748"/>
      <c r="J27" s="2741">
        <f t="shared" si="1"/>
        <v>0</v>
      </c>
      <c r="K27" s="2742"/>
      <c r="L27" s="2742"/>
      <c r="M27" s="2742"/>
      <c r="N27" s="2742"/>
      <c r="O27" s="2743"/>
      <c r="P27" s="2741" cm="1">
        <f t="array" ref="P27">SUMPRODUCT((Application!$B$728:$B$752 = 'CalHFA Addendum'!P$18)*(Application!$AC$728:$AC$752 = 'CalHFA Addendum'!$B27),Application!$G$728:$G$752)</f>
        <v>0</v>
      </c>
      <c r="Q27" s="2742"/>
      <c r="R27" s="2742"/>
      <c r="S27" s="2742"/>
      <c r="T27" s="2742"/>
      <c r="U27" s="2743"/>
      <c r="V27" s="2741" cm="1">
        <f t="array" ref="V27">SUMPRODUCT((Application!$B$728:$B$752 = 'CalHFA Addendum'!V$18)*(Application!$AC$728:$AC$752 = 'CalHFA Addendum'!$B27),Application!$G$728:$G$752)</f>
        <v>0</v>
      </c>
      <c r="W27" s="2742"/>
      <c r="X27" s="2742"/>
      <c r="Y27" s="2742"/>
      <c r="Z27" s="2742"/>
      <c r="AA27" s="2743"/>
      <c r="AB27" s="2741" cm="1">
        <f t="array" ref="AB27">SUMPRODUCT((Application!$B$728:$B$752 = 'CalHFA Addendum'!AB$18)*(Application!$AC$728:$AC$752 = 'CalHFA Addendum'!$B27),Application!$G$728:$G$752)</f>
        <v>0</v>
      </c>
      <c r="AC27" s="2742"/>
      <c r="AD27" s="2742"/>
      <c r="AE27" s="2742"/>
      <c r="AF27" s="2742"/>
      <c r="AG27" s="2743"/>
      <c r="AH27" s="2741" cm="1">
        <f t="array" ref="AH27">SUMPRODUCT((Application!$B$728:$B$752 = 'CalHFA Addendum'!AH$18)*(Application!$AC$728:$AC$752 = 'CalHFA Addendum'!$B27),Application!$G$728:$G$752)</f>
        <v>0</v>
      </c>
      <c r="AI27" s="2742"/>
      <c r="AJ27" s="2742"/>
      <c r="AK27" s="2742"/>
      <c r="AL27" s="2742"/>
      <c r="AM27" s="2743"/>
      <c r="AN27" s="2741" cm="1">
        <f t="array" ref="AN27">SUMPRODUCT((Application!$B$728:$B$752 = 'CalHFA Addendum'!AN$18)*(Application!$AC$728:$AC$752 = 'CalHFA Addendum'!$B27),Application!$G$728:$G$752)</f>
        <v>0</v>
      </c>
      <c r="AO27" s="2742"/>
      <c r="AP27" s="2742"/>
      <c r="AQ27" s="2742"/>
      <c r="AR27" s="2742"/>
      <c r="AS27" s="2743"/>
      <c r="AT27" s="2744">
        <f t="shared" si="0"/>
        <v>0</v>
      </c>
      <c r="AU27" s="2745"/>
      <c r="AV27" s="2745"/>
      <c r="AW27" s="2745"/>
      <c r="AX27" s="2745"/>
      <c r="AY27" s="2746"/>
      <c r="AZ27" s="1144"/>
      <c r="BA27" s="1144"/>
      <c r="BB27" s="1144"/>
      <c r="BC27" s="1144"/>
      <c r="BD27" s="1144"/>
      <c r="BE27" s="1150"/>
    </row>
    <row r="28" spans="1:58" ht="15" thickBot="1">
      <c r="A28" s="1144"/>
      <c r="B28" s="2749" t="s">
        <v>1895</v>
      </c>
      <c r="C28" s="2750"/>
      <c r="D28" s="2750"/>
      <c r="E28" s="2750"/>
      <c r="F28" s="2750"/>
      <c r="G28" s="2750"/>
      <c r="H28" s="2750"/>
      <c r="I28" s="2751"/>
      <c r="J28" s="2741">
        <f t="shared" si="1"/>
        <v>1</v>
      </c>
      <c r="K28" s="2742"/>
      <c r="L28" s="2742"/>
      <c r="M28" s="2742"/>
      <c r="N28" s="2742"/>
      <c r="O28" s="2743"/>
      <c r="P28" s="2741">
        <f>_xlfn.IFNA(VLOOKUP(P$18,Application!$J$772:$S$775,6,FALSE), 0)</f>
        <v>0</v>
      </c>
      <c r="Q28" s="2742"/>
      <c r="R28" s="2742"/>
      <c r="S28" s="2742"/>
      <c r="T28" s="2742"/>
      <c r="U28" s="2743"/>
      <c r="V28" s="2741">
        <f>_xlfn.IFNA(VLOOKUP(V$18,Application!$J$772:$S$775,6,FALSE), 0)</f>
        <v>0</v>
      </c>
      <c r="W28" s="2742"/>
      <c r="X28" s="2742"/>
      <c r="Y28" s="2742"/>
      <c r="Z28" s="2742"/>
      <c r="AA28" s="2743"/>
      <c r="AB28" s="2741">
        <f>_xlfn.IFNA(VLOOKUP(AB$18,Application!$J$772:$S$775,6,FALSE), 0)</f>
        <v>1</v>
      </c>
      <c r="AC28" s="2742"/>
      <c r="AD28" s="2742"/>
      <c r="AE28" s="2742"/>
      <c r="AF28" s="2742"/>
      <c r="AG28" s="2743"/>
      <c r="AH28" s="2741">
        <f>_xlfn.IFNA(VLOOKUP(AH$18,Application!$J$772:$S$775,6,FALSE), 0)</f>
        <v>0</v>
      </c>
      <c r="AI28" s="2742"/>
      <c r="AJ28" s="2742"/>
      <c r="AK28" s="2742"/>
      <c r="AL28" s="2742"/>
      <c r="AM28" s="2743"/>
      <c r="AN28" s="2741">
        <f>_xlfn.IFNA(VLOOKUP(AN$18,Application!$J$772:$S$775,6,FALSE), 0)</f>
        <v>0</v>
      </c>
      <c r="AO28" s="2742"/>
      <c r="AP28" s="2742"/>
      <c r="AQ28" s="2742"/>
      <c r="AR28" s="2742"/>
      <c r="AS28" s="2743"/>
      <c r="AT28" s="2744">
        <f t="shared" si="0"/>
        <v>1.3888888888888888E-2</v>
      </c>
      <c r="AU28" s="2745"/>
      <c r="AV28" s="2745"/>
      <c r="AW28" s="2745"/>
      <c r="AX28" s="2745"/>
      <c r="AY28" s="2746"/>
      <c r="AZ28" s="1144"/>
      <c r="BA28" s="1144"/>
      <c r="BB28" s="1144"/>
      <c r="BC28" s="1144"/>
      <c r="BD28" s="1144"/>
      <c r="BE28" s="1150"/>
    </row>
    <row r="29" spans="1:58" ht="15" thickBot="1">
      <c r="A29" s="1144"/>
      <c r="B29" s="2781" t="s">
        <v>1785</v>
      </c>
      <c r="C29" s="2756"/>
      <c r="D29" s="2756"/>
      <c r="E29" s="2756"/>
      <c r="F29" s="2756"/>
      <c r="G29" s="2756"/>
      <c r="H29" s="2756"/>
      <c r="I29" s="2757"/>
      <c r="J29" s="2755">
        <f>SUM(J19:O28)</f>
        <v>72</v>
      </c>
      <c r="K29" s="2756"/>
      <c r="L29" s="2756"/>
      <c r="M29" s="2756"/>
      <c r="N29" s="2756"/>
      <c r="O29" s="2757"/>
      <c r="P29" s="2755">
        <f>SUM(P19:U28)</f>
        <v>4</v>
      </c>
      <c r="Q29" s="2756"/>
      <c r="R29" s="2756"/>
      <c r="S29" s="2756"/>
      <c r="T29" s="2756"/>
      <c r="U29" s="2757"/>
      <c r="V29" s="2755">
        <f>SUM(V19:AA28)</f>
        <v>18</v>
      </c>
      <c r="W29" s="2756"/>
      <c r="X29" s="2756"/>
      <c r="Y29" s="2756"/>
      <c r="Z29" s="2756"/>
      <c r="AA29" s="2757"/>
      <c r="AB29" s="2755">
        <f>SUM(AB19:AG28)</f>
        <v>32</v>
      </c>
      <c r="AC29" s="2756"/>
      <c r="AD29" s="2756"/>
      <c r="AE29" s="2756"/>
      <c r="AF29" s="2756"/>
      <c r="AG29" s="2757"/>
      <c r="AH29" s="2755">
        <f>SUM(AH19:AM28)</f>
        <v>16</v>
      </c>
      <c r="AI29" s="2756"/>
      <c r="AJ29" s="2756"/>
      <c r="AK29" s="2756"/>
      <c r="AL29" s="2756"/>
      <c r="AM29" s="2757"/>
      <c r="AN29" s="2755">
        <f>SUM(AN19:AS28)</f>
        <v>2</v>
      </c>
      <c r="AO29" s="2756"/>
      <c r="AP29" s="2756"/>
      <c r="AQ29" s="2756"/>
      <c r="AR29" s="2756"/>
      <c r="AS29" s="2757"/>
      <c r="AT29" s="2758">
        <f>J29/$J$29</f>
        <v>1</v>
      </c>
      <c r="AU29" s="2759"/>
      <c r="AV29" s="2759"/>
      <c r="AW29" s="2759"/>
      <c r="AX29" s="2759"/>
      <c r="AY29" s="2760"/>
      <c r="AZ29" s="1144"/>
      <c r="BA29" s="1144"/>
      <c r="BB29" s="1144"/>
      <c r="BC29" s="1144"/>
      <c r="BD29" s="1144"/>
      <c r="BE29" s="1150"/>
    </row>
    <row r="30" spans="1:58" ht="15"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ht="15" thickBot="1">
      <c r="A31" s="1144"/>
      <c r="B31" s="2761" t="s">
        <v>1896</v>
      </c>
      <c r="C31" s="2762"/>
      <c r="D31" s="2762"/>
      <c r="E31" s="2762"/>
      <c r="F31" s="2762"/>
      <c r="G31" s="2762"/>
      <c r="H31" s="2762"/>
      <c r="I31" s="2762"/>
      <c r="J31" s="2762"/>
      <c r="K31" s="2762"/>
      <c r="L31" s="2762"/>
      <c r="M31" s="2762"/>
      <c r="N31" s="2762"/>
      <c r="O31" s="2762"/>
      <c r="P31" s="2762"/>
      <c r="Q31" s="2762"/>
      <c r="R31" s="2762"/>
      <c r="S31" s="2762"/>
      <c r="T31" s="2762"/>
      <c r="U31" s="2762"/>
      <c r="V31" s="2762"/>
      <c r="W31" s="2762"/>
      <c r="X31" s="2762"/>
      <c r="Y31" s="2762"/>
      <c r="Z31" s="2762"/>
      <c r="AA31" s="2762"/>
      <c r="AB31" s="2762"/>
      <c r="AC31" s="2762"/>
      <c r="AD31" s="2762"/>
      <c r="AE31" s="2762"/>
      <c r="AF31" s="2762"/>
      <c r="AG31" s="2762"/>
      <c r="AH31" s="2762"/>
      <c r="AI31" s="2762"/>
      <c r="AJ31" s="2762"/>
      <c r="AK31" s="2762"/>
      <c r="AL31" s="2762"/>
      <c r="AM31" s="2762"/>
      <c r="AN31" s="2762"/>
      <c r="AO31" s="2762"/>
      <c r="AP31" s="2762"/>
      <c r="AQ31" s="2762"/>
      <c r="AR31" s="2762"/>
      <c r="AS31" s="2762"/>
      <c r="AT31" s="2762"/>
      <c r="AU31" s="2762"/>
      <c r="AV31" s="2762"/>
      <c r="AW31" s="2762"/>
      <c r="AX31" s="2762"/>
      <c r="AY31" s="2762"/>
      <c r="AZ31" s="2763"/>
      <c r="BA31" s="1144"/>
      <c r="BB31" s="1144"/>
      <c r="BC31" s="1144"/>
      <c r="BD31" s="1144"/>
      <c r="BE31" s="1150"/>
    </row>
    <row r="32" spans="1:58" ht="15" thickBot="1">
      <c r="A32" s="1144"/>
      <c r="B32" s="2764" t="s">
        <v>1897</v>
      </c>
      <c r="C32" s="2765"/>
      <c r="D32" s="2765"/>
      <c r="E32" s="2765"/>
      <c r="F32" s="2765"/>
      <c r="G32" s="2765"/>
      <c r="H32" s="2765"/>
      <c r="I32" s="2766"/>
      <c r="J32" s="2768" t="s">
        <v>1898</v>
      </c>
      <c r="K32" s="2769"/>
      <c r="L32" s="2769"/>
      <c r="M32" s="2770"/>
      <c r="N32" s="2768" t="s">
        <v>1899</v>
      </c>
      <c r="O32" s="2769"/>
      <c r="P32" s="2769"/>
      <c r="Q32" s="2769"/>
      <c r="R32" s="2772" t="s">
        <v>1900</v>
      </c>
      <c r="S32" s="2773"/>
      <c r="T32" s="2773"/>
      <c r="U32" s="2773"/>
      <c r="V32" s="2773"/>
      <c r="W32" s="2773"/>
      <c r="X32" s="2773"/>
      <c r="Y32" s="2773"/>
      <c r="Z32" s="2773"/>
      <c r="AA32" s="2773"/>
      <c r="AB32" s="2773"/>
      <c r="AC32" s="2773"/>
      <c r="AD32" s="2773"/>
      <c r="AE32" s="2773"/>
      <c r="AF32" s="2773"/>
      <c r="AG32" s="2773"/>
      <c r="AH32" s="2773"/>
      <c r="AI32" s="2773"/>
      <c r="AJ32" s="2773"/>
      <c r="AK32" s="2773"/>
      <c r="AL32" s="2773"/>
      <c r="AM32" s="2773"/>
      <c r="AN32" s="2773"/>
      <c r="AO32" s="2773"/>
      <c r="AP32" s="2773"/>
      <c r="AQ32" s="2773"/>
      <c r="AR32" s="2773"/>
      <c r="AS32" s="2773"/>
      <c r="AT32" s="2773"/>
      <c r="AU32" s="2773"/>
      <c r="AV32" s="2773"/>
      <c r="AW32" s="2773"/>
      <c r="AX32" s="2773"/>
      <c r="AY32" s="2773"/>
      <c r="AZ32" s="2774"/>
      <c r="BA32" s="1144"/>
      <c r="BB32" s="1144"/>
      <c r="BC32" s="1144"/>
      <c r="BD32" s="1144"/>
      <c r="BE32" s="1150"/>
    </row>
    <row r="33" spans="1:58" ht="15" customHeight="1">
      <c r="A33" s="1144"/>
      <c r="B33" s="2767"/>
      <c r="C33" s="2765"/>
      <c r="D33" s="2765"/>
      <c r="E33" s="2765"/>
      <c r="F33" s="2765"/>
      <c r="G33" s="2765"/>
      <c r="H33" s="2765"/>
      <c r="I33" s="2766"/>
      <c r="J33" s="2771"/>
      <c r="K33" s="2769"/>
      <c r="L33" s="2769"/>
      <c r="M33" s="2770"/>
      <c r="N33" s="2771"/>
      <c r="O33" s="2769"/>
      <c r="P33" s="2769"/>
      <c r="Q33" s="2769"/>
      <c r="R33" s="2775" t="s">
        <v>1901</v>
      </c>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7"/>
      <c r="BA33" s="1151"/>
      <c r="BB33" s="1144"/>
      <c r="BC33" s="1144"/>
      <c r="BD33" s="1144"/>
      <c r="BE33" s="1150"/>
    </row>
    <row r="34" spans="1:58" ht="15.75" customHeight="1" thickBot="1">
      <c r="A34" s="1144"/>
      <c r="B34" s="2767"/>
      <c r="C34" s="2765"/>
      <c r="D34" s="2765"/>
      <c r="E34" s="2765"/>
      <c r="F34" s="2765"/>
      <c r="G34" s="2765"/>
      <c r="H34" s="2765"/>
      <c r="I34" s="2766"/>
      <c r="J34" s="2771"/>
      <c r="K34" s="2769"/>
      <c r="L34" s="2769"/>
      <c r="M34" s="2770"/>
      <c r="N34" s="2771"/>
      <c r="O34" s="2769"/>
      <c r="P34" s="2769"/>
      <c r="Q34" s="2769"/>
      <c r="R34" s="2778"/>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2779"/>
      <c r="AT34" s="2779"/>
      <c r="AU34" s="2779"/>
      <c r="AV34" s="2779"/>
      <c r="AW34" s="2779"/>
      <c r="AX34" s="2779"/>
      <c r="AY34" s="2779"/>
      <c r="AZ34" s="2780"/>
      <c r="BA34" s="1151"/>
      <c r="BB34" s="1144"/>
      <c r="BC34" s="1144"/>
      <c r="BD34" s="1144"/>
      <c r="BE34" s="1150"/>
    </row>
    <row r="35" spans="1:58" ht="15.75" customHeight="1" thickBot="1">
      <c r="A35" s="1144"/>
      <c r="B35" s="2767"/>
      <c r="C35" s="2765"/>
      <c r="D35" s="2765"/>
      <c r="E35" s="2765"/>
      <c r="F35" s="2765"/>
      <c r="G35" s="2765"/>
      <c r="H35" s="2765"/>
      <c r="I35" s="2766"/>
      <c r="J35" s="2771"/>
      <c r="K35" s="2769"/>
      <c r="L35" s="2769"/>
      <c r="M35" s="2770"/>
      <c r="N35" s="2771"/>
      <c r="O35" s="2769"/>
      <c r="P35" s="2769"/>
      <c r="Q35" s="2769"/>
      <c r="R35" s="2752">
        <v>0.3</v>
      </c>
      <c r="S35" s="2753"/>
      <c r="T35" s="2753"/>
      <c r="U35" s="2754"/>
      <c r="V35" s="2752">
        <v>0.4</v>
      </c>
      <c r="W35" s="2753"/>
      <c r="X35" s="2753"/>
      <c r="Y35" s="2754"/>
      <c r="Z35" s="2752">
        <v>0.5</v>
      </c>
      <c r="AA35" s="2753"/>
      <c r="AB35" s="2753"/>
      <c r="AC35" s="2754"/>
      <c r="AD35" s="2752">
        <v>0.6</v>
      </c>
      <c r="AE35" s="2753"/>
      <c r="AF35" s="2753"/>
      <c r="AG35" s="2754"/>
      <c r="AH35" s="2752">
        <v>0.8</v>
      </c>
      <c r="AI35" s="2753"/>
      <c r="AJ35" s="2753"/>
      <c r="AK35" s="2754"/>
      <c r="AL35" s="2752" t="s">
        <v>2295</v>
      </c>
      <c r="AM35" s="2753"/>
      <c r="AN35" s="2754"/>
      <c r="AO35" s="2694" t="s">
        <v>1902</v>
      </c>
      <c r="AP35" s="2695"/>
      <c r="AQ35" s="2695"/>
      <c r="AR35" s="2695"/>
      <c r="AS35" s="2695"/>
      <c r="AT35" s="2696"/>
      <c r="AU35" s="2694" t="s">
        <v>1903</v>
      </c>
      <c r="AV35" s="2695"/>
      <c r="AW35" s="2695"/>
      <c r="AX35" s="2695"/>
      <c r="AY35" s="2695"/>
      <c r="AZ35" s="2696"/>
      <c r="BA35" s="1151"/>
      <c r="BB35" s="1144"/>
      <c r="BC35" s="1144"/>
      <c r="BD35" s="1144"/>
      <c r="BE35" s="1150"/>
      <c r="BF35" s="1142"/>
    </row>
    <row r="36" spans="1:58" ht="15.75" customHeight="1">
      <c r="A36" s="1144"/>
      <c r="B36" s="2791" t="s">
        <v>1904</v>
      </c>
      <c r="C36" s="2792"/>
      <c r="D36" s="2792"/>
      <c r="E36" s="2792"/>
      <c r="F36" s="2792"/>
      <c r="G36" s="2792"/>
      <c r="H36" s="2792"/>
      <c r="I36" s="2793"/>
      <c r="J36" s="2794" t="s">
        <v>1905</v>
      </c>
      <c r="K36" s="2795"/>
      <c r="L36" s="2795"/>
      <c r="M36" s="2796"/>
      <c r="N36" s="2797">
        <v>55</v>
      </c>
      <c r="O36" s="2798"/>
      <c r="P36" s="2798"/>
      <c r="Q36" s="2799"/>
      <c r="R36" s="2800">
        <v>10</v>
      </c>
      <c r="S36" s="2800"/>
      <c r="T36" s="2800"/>
      <c r="U36" s="2800"/>
      <c r="V36" s="2800">
        <v>30</v>
      </c>
      <c r="W36" s="2800"/>
      <c r="X36" s="2800"/>
      <c r="Y36" s="2800"/>
      <c r="Z36" s="2800"/>
      <c r="AA36" s="2800"/>
      <c r="AB36" s="2800"/>
      <c r="AC36" s="2800"/>
      <c r="AD36" s="2800"/>
      <c r="AE36" s="2800"/>
      <c r="AF36" s="2800"/>
      <c r="AG36" s="2800"/>
      <c r="AH36" s="2803"/>
      <c r="AI36" s="2803"/>
      <c r="AJ36" s="2803"/>
      <c r="AK36" s="2803"/>
      <c r="AL36" s="2803"/>
      <c r="AM36" s="2803"/>
      <c r="AN36" s="2803"/>
      <c r="AO36" s="2801">
        <f>SUM(R36:AN36)</f>
        <v>40</v>
      </c>
      <c r="AP36" s="2801"/>
      <c r="AQ36" s="2801"/>
      <c r="AR36" s="2801"/>
      <c r="AS36" s="2801"/>
      <c r="AT36" s="2801"/>
      <c r="AU36" s="2802">
        <f>AO36/$J$29</f>
        <v>0.55555555555555558</v>
      </c>
      <c r="AV36" s="2802"/>
      <c r="AW36" s="2802"/>
      <c r="AX36" s="2802"/>
      <c r="AY36" s="2802"/>
      <c r="AZ36" s="2802"/>
      <c r="BA36" s="1144"/>
      <c r="BB36" s="1144"/>
      <c r="BC36" s="1144"/>
      <c r="BD36" s="1144"/>
      <c r="BE36" s="1150"/>
      <c r="BF36" s="1142"/>
    </row>
    <row r="37" spans="1:58" ht="15.75" customHeight="1">
      <c r="A37" s="1144"/>
      <c r="B37" s="2782" t="s">
        <v>1906</v>
      </c>
      <c r="C37" s="2783"/>
      <c r="D37" s="2783"/>
      <c r="E37" s="2783"/>
      <c r="F37" s="2783"/>
      <c r="G37" s="2783"/>
      <c r="H37" s="2783"/>
      <c r="I37" s="2784"/>
      <c r="J37" s="2785" t="s">
        <v>1907</v>
      </c>
      <c r="K37" s="2786"/>
      <c r="L37" s="2786"/>
      <c r="M37" s="2787"/>
      <c r="N37" s="2788">
        <v>55</v>
      </c>
      <c r="O37" s="2786"/>
      <c r="P37" s="2786"/>
      <c r="Q37" s="2789"/>
      <c r="R37" s="2790"/>
      <c r="S37" s="2790"/>
      <c r="T37" s="2790"/>
      <c r="U37" s="2790"/>
      <c r="V37" s="2790"/>
      <c r="W37" s="2790"/>
      <c r="X37" s="2790"/>
      <c r="Y37" s="2790"/>
      <c r="Z37" s="2790"/>
      <c r="AA37" s="2790"/>
      <c r="AB37" s="2790"/>
      <c r="AC37" s="2790"/>
      <c r="AD37" s="2790"/>
      <c r="AE37" s="2790"/>
      <c r="AF37" s="2790"/>
      <c r="AG37" s="2790"/>
      <c r="AH37" s="2790"/>
      <c r="AI37" s="2790"/>
      <c r="AJ37" s="2790"/>
      <c r="AK37" s="2790"/>
      <c r="AL37" s="2790"/>
      <c r="AM37" s="2790"/>
      <c r="AN37" s="2790"/>
      <c r="AO37" s="2801">
        <f t="shared" ref="AO37:AO47" si="2">SUM(R37:AN37)</f>
        <v>0</v>
      </c>
      <c r="AP37" s="2801"/>
      <c r="AQ37" s="2801"/>
      <c r="AR37" s="2801"/>
      <c r="AS37" s="2801"/>
      <c r="AT37" s="2801"/>
      <c r="AU37" s="2802">
        <f t="shared" ref="AU37:AU47" si="3">AO37/$J$29</f>
        <v>0</v>
      </c>
      <c r="AV37" s="2802"/>
      <c r="AW37" s="2802"/>
      <c r="AX37" s="2802"/>
      <c r="AY37" s="2802"/>
      <c r="AZ37" s="2802"/>
      <c r="BA37" s="1144"/>
      <c r="BB37" s="1144"/>
      <c r="BC37" s="1144"/>
      <c r="BD37" s="1144"/>
      <c r="BE37" s="1150"/>
      <c r="BF37" s="1142"/>
    </row>
    <row r="38" spans="1:58" ht="15.75" customHeight="1">
      <c r="A38" s="1144"/>
      <c r="B38" s="2782" t="s">
        <v>2744</v>
      </c>
      <c r="C38" s="2783"/>
      <c r="D38" s="2783"/>
      <c r="E38" s="2783"/>
      <c r="F38" s="2783"/>
      <c r="G38" s="2783"/>
      <c r="H38" s="2783"/>
      <c r="I38" s="2784"/>
      <c r="J38" s="2785" t="s">
        <v>1908</v>
      </c>
      <c r="K38" s="2786"/>
      <c r="L38" s="2786"/>
      <c r="M38" s="2787"/>
      <c r="N38" s="2788">
        <v>55</v>
      </c>
      <c r="O38" s="2786"/>
      <c r="P38" s="2786"/>
      <c r="Q38" s="2789"/>
      <c r="R38" s="2790"/>
      <c r="S38" s="2790"/>
      <c r="T38" s="2790"/>
      <c r="U38" s="2790"/>
      <c r="V38" s="2790"/>
      <c r="W38" s="2790"/>
      <c r="X38" s="2790"/>
      <c r="Y38" s="2790"/>
      <c r="Z38" s="2790"/>
      <c r="AA38" s="2790"/>
      <c r="AB38" s="2790"/>
      <c r="AC38" s="2790"/>
      <c r="AD38" s="2790"/>
      <c r="AE38" s="2790"/>
      <c r="AF38" s="2790"/>
      <c r="AG38" s="2790"/>
      <c r="AH38" s="2790"/>
      <c r="AI38" s="2790"/>
      <c r="AJ38" s="2790"/>
      <c r="AK38" s="2790"/>
      <c r="AL38" s="2790"/>
      <c r="AM38" s="2790"/>
      <c r="AN38" s="2790"/>
      <c r="AO38" s="2801">
        <f t="shared" si="2"/>
        <v>0</v>
      </c>
      <c r="AP38" s="2801"/>
      <c r="AQ38" s="2801"/>
      <c r="AR38" s="2801"/>
      <c r="AS38" s="2801"/>
      <c r="AT38" s="2801"/>
      <c r="AU38" s="2802">
        <f t="shared" si="3"/>
        <v>0</v>
      </c>
      <c r="AV38" s="2802"/>
      <c r="AW38" s="2802"/>
      <c r="AX38" s="2802"/>
      <c r="AY38" s="2802"/>
      <c r="AZ38" s="2802"/>
      <c r="BA38" s="1144"/>
      <c r="BB38" s="1144"/>
      <c r="BC38" s="1144"/>
      <c r="BD38" s="1144"/>
      <c r="BE38" s="1150"/>
      <c r="BF38" s="1142"/>
    </row>
    <row r="39" spans="1:58" ht="15.75" customHeight="1">
      <c r="A39" s="1144"/>
      <c r="B39" s="2782" t="s">
        <v>1909</v>
      </c>
      <c r="C39" s="2783"/>
      <c r="D39" s="2783"/>
      <c r="E39" s="2783"/>
      <c r="F39" s="2783"/>
      <c r="G39" s="2783"/>
      <c r="H39" s="2783"/>
      <c r="I39" s="2784"/>
      <c r="J39" s="2804"/>
      <c r="K39" s="2805"/>
      <c r="L39" s="2805"/>
      <c r="M39" s="2806"/>
      <c r="N39" s="2807"/>
      <c r="O39" s="2805"/>
      <c r="P39" s="2805"/>
      <c r="Q39" s="2808"/>
      <c r="R39" s="2790"/>
      <c r="S39" s="2790"/>
      <c r="T39" s="2790"/>
      <c r="U39" s="2790"/>
      <c r="V39" s="2790"/>
      <c r="W39" s="2790"/>
      <c r="X39" s="2790"/>
      <c r="Y39" s="2790"/>
      <c r="Z39" s="2790"/>
      <c r="AA39" s="2790"/>
      <c r="AB39" s="2790"/>
      <c r="AC39" s="2790"/>
      <c r="AD39" s="2790"/>
      <c r="AE39" s="2790"/>
      <c r="AF39" s="2790"/>
      <c r="AG39" s="2790"/>
      <c r="AH39" s="2790"/>
      <c r="AI39" s="2790"/>
      <c r="AJ39" s="2790"/>
      <c r="AK39" s="2790"/>
      <c r="AL39" s="2790"/>
      <c r="AM39" s="2790"/>
      <c r="AN39" s="2790"/>
      <c r="AO39" s="2801">
        <f t="shared" si="2"/>
        <v>0</v>
      </c>
      <c r="AP39" s="2801"/>
      <c r="AQ39" s="2801"/>
      <c r="AR39" s="2801"/>
      <c r="AS39" s="2801"/>
      <c r="AT39" s="2801"/>
      <c r="AU39" s="2802">
        <f t="shared" si="3"/>
        <v>0</v>
      </c>
      <c r="AV39" s="2802"/>
      <c r="AW39" s="2802"/>
      <c r="AX39" s="2802"/>
      <c r="AY39" s="2802"/>
      <c r="AZ39" s="2802"/>
      <c r="BA39" s="1144"/>
      <c r="BB39" s="1144"/>
      <c r="BC39" s="1144"/>
      <c r="BD39" s="1144"/>
      <c r="BE39" s="1150"/>
    </row>
    <row r="40" spans="1:58" ht="15.75" customHeight="1">
      <c r="A40" s="1144"/>
      <c r="B40" s="2782" t="s">
        <v>1909</v>
      </c>
      <c r="C40" s="2783"/>
      <c r="D40" s="2783"/>
      <c r="E40" s="2783"/>
      <c r="F40" s="2783"/>
      <c r="G40" s="2783"/>
      <c r="H40" s="2783"/>
      <c r="I40" s="2784"/>
      <c r="J40" s="2804"/>
      <c r="K40" s="2805"/>
      <c r="L40" s="2805"/>
      <c r="M40" s="2806"/>
      <c r="N40" s="2807"/>
      <c r="O40" s="2805"/>
      <c r="P40" s="2805"/>
      <c r="Q40" s="2808"/>
      <c r="R40" s="2790"/>
      <c r="S40" s="2790"/>
      <c r="T40" s="2790"/>
      <c r="U40" s="2790"/>
      <c r="V40" s="2790"/>
      <c r="W40" s="2790"/>
      <c r="X40" s="2790"/>
      <c r="Y40" s="2790"/>
      <c r="Z40" s="2790"/>
      <c r="AA40" s="2790"/>
      <c r="AB40" s="2790"/>
      <c r="AC40" s="2790"/>
      <c r="AD40" s="2790"/>
      <c r="AE40" s="2790"/>
      <c r="AF40" s="2790"/>
      <c r="AG40" s="2790"/>
      <c r="AH40" s="2790"/>
      <c r="AI40" s="2790"/>
      <c r="AJ40" s="2790"/>
      <c r="AK40" s="2790"/>
      <c r="AL40" s="2790"/>
      <c r="AM40" s="2790"/>
      <c r="AN40" s="2790"/>
      <c r="AO40" s="2801">
        <f t="shared" si="2"/>
        <v>0</v>
      </c>
      <c r="AP40" s="2801"/>
      <c r="AQ40" s="2801"/>
      <c r="AR40" s="2801"/>
      <c r="AS40" s="2801"/>
      <c r="AT40" s="2801"/>
      <c r="AU40" s="2802">
        <f t="shared" si="3"/>
        <v>0</v>
      </c>
      <c r="AV40" s="2802"/>
      <c r="AW40" s="2802"/>
      <c r="AX40" s="2802"/>
      <c r="AY40" s="2802"/>
      <c r="AZ40" s="2802"/>
      <c r="BA40" s="1144"/>
      <c r="BB40" s="1144"/>
      <c r="BC40" s="1144"/>
      <c r="BD40" s="1144"/>
      <c r="BE40" s="1150"/>
    </row>
    <row r="41" spans="1:58" ht="15.75" customHeight="1">
      <c r="A41" s="1144"/>
      <c r="B41" s="2809" t="s">
        <v>1910</v>
      </c>
      <c r="C41" s="2810"/>
      <c r="D41" s="2810"/>
      <c r="E41" s="2810"/>
      <c r="F41" s="2810"/>
      <c r="G41" s="2810"/>
      <c r="H41" s="2810"/>
      <c r="I41" s="2811"/>
      <c r="J41" s="2804"/>
      <c r="K41" s="2805"/>
      <c r="L41" s="2805"/>
      <c r="M41" s="2806"/>
      <c r="N41" s="2807"/>
      <c r="O41" s="2805"/>
      <c r="P41" s="2805"/>
      <c r="Q41" s="2808"/>
      <c r="R41" s="2790"/>
      <c r="S41" s="2790"/>
      <c r="T41" s="2790"/>
      <c r="U41" s="2790"/>
      <c r="V41" s="2790"/>
      <c r="W41" s="2790"/>
      <c r="X41" s="2790"/>
      <c r="Y41" s="2790"/>
      <c r="Z41" s="2790"/>
      <c r="AA41" s="2790"/>
      <c r="AB41" s="2790"/>
      <c r="AC41" s="2790"/>
      <c r="AD41" s="2790"/>
      <c r="AE41" s="2790"/>
      <c r="AF41" s="2790"/>
      <c r="AG41" s="2790"/>
      <c r="AH41" s="2790"/>
      <c r="AI41" s="2790"/>
      <c r="AJ41" s="2790"/>
      <c r="AK41" s="2790"/>
      <c r="AL41" s="2790"/>
      <c r="AM41" s="2790"/>
      <c r="AN41" s="2790"/>
      <c r="AO41" s="2801">
        <f t="shared" si="2"/>
        <v>0</v>
      </c>
      <c r="AP41" s="2801"/>
      <c r="AQ41" s="2801"/>
      <c r="AR41" s="2801"/>
      <c r="AS41" s="2801"/>
      <c r="AT41" s="2801"/>
      <c r="AU41" s="2802">
        <f t="shared" si="3"/>
        <v>0</v>
      </c>
      <c r="AV41" s="2802"/>
      <c r="AW41" s="2802"/>
      <c r="AX41" s="2802"/>
      <c r="AY41" s="2802"/>
      <c r="AZ41" s="2802"/>
      <c r="BA41" s="1144"/>
      <c r="BB41" s="1144"/>
      <c r="BC41" s="1144"/>
      <c r="BD41" s="1144"/>
      <c r="BE41" s="1150"/>
    </row>
    <row r="42" spans="1:58" ht="15.75" customHeight="1">
      <c r="A42" s="1144"/>
      <c r="B42" s="2809" t="s">
        <v>1910</v>
      </c>
      <c r="C42" s="2810"/>
      <c r="D42" s="2810"/>
      <c r="E42" s="2810"/>
      <c r="F42" s="2810"/>
      <c r="G42" s="2810"/>
      <c r="H42" s="2810"/>
      <c r="I42" s="2811"/>
      <c r="J42" s="2804"/>
      <c r="K42" s="2805"/>
      <c r="L42" s="2805"/>
      <c r="M42" s="2806"/>
      <c r="N42" s="2807"/>
      <c r="O42" s="2805"/>
      <c r="P42" s="2805"/>
      <c r="Q42" s="2808"/>
      <c r="R42" s="2790"/>
      <c r="S42" s="2790"/>
      <c r="T42" s="2790"/>
      <c r="U42" s="2790"/>
      <c r="V42" s="2790"/>
      <c r="W42" s="2790"/>
      <c r="X42" s="2790"/>
      <c r="Y42" s="2790"/>
      <c r="Z42" s="2790"/>
      <c r="AA42" s="2790"/>
      <c r="AB42" s="2790"/>
      <c r="AC42" s="2790"/>
      <c r="AD42" s="2790"/>
      <c r="AE42" s="2790"/>
      <c r="AF42" s="2790"/>
      <c r="AG42" s="2790"/>
      <c r="AH42" s="2790"/>
      <c r="AI42" s="2790"/>
      <c r="AJ42" s="2790"/>
      <c r="AK42" s="2790"/>
      <c r="AL42" s="2790"/>
      <c r="AM42" s="2790"/>
      <c r="AN42" s="2790"/>
      <c r="AO42" s="2801">
        <f t="shared" si="2"/>
        <v>0</v>
      </c>
      <c r="AP42" s="2801"/>
      <c r="AQ42" s="2801"/>
      <c r="AR42" s="2801"/>
      <c r="AS42" s="2801"/>
      <c r="AT42" s="2801"/>
      <c r="AU42" s="2802">
        <f t="shared" si="3"/>
        <v>0</v>
      </c>
      <c r="AV42" s="2802"/>
      <c r="AW42" s="2802"/>
      <c r="AX42" s="2802"/>
      <c r="AY42" s="2802"/>
      <c r="AZ42" s="2802"/>
      <c r="BA42" s="1144"/>
      <c r="BB42" s="1144"/>
      <c r="BC42" s="1144"/>
      <c r="BD42" s="1144"/>
      <c r="BE42" s="1150"/>
    </row>
    <row r="43" spans="1:58" ht="15.75" customHeight="1">
      <c r="A43" s="1144"/>
      <c r="B43" s="2812" t="s">
        <v>1911</v>
      </c>
      <c r="C43" s="2813"/>
      <c r="D43" s="2813"/>
      <c r="E43" s="2813"/>
      <c r="F43" s="2813"/>
      <c r="G43" s="2813"/>
      <c r="H43" s="2813"/>
      <c r="I43" s="2814"/>
      <c r="J43" s="2804"/>
      <c r="K43" s="2805"/>
      <c r="L43" s="2805"/>
      <c r="M43" s="2806"/>
      <c r="N43" s="2807"/>
      <c r="O43" s="2805"/>
      <c r="P43" s="2805"/>
      <c r="Q43" s="2808"/>
      <c r="R43" s="2790"/>
      <c r="S43" s="2790"/>
      <c r="T43" s="2790"/>
      <c r="U43" s="2790"/>
      <c r="V43" s="2790"/>
      <c r="W43" s="2790"/>
      <c r="X43" s="2790"/>
      <c r="Y43" s="2790"/>
      <c r="Z43" s="2790"/>
      <c r="AA43" s="2790"/>
      <c r="AB43" s="2790"/>
      <c r="AC43" s="2790"/>
      <c r="AD43" s="2790"/>
      <c r="AE43" s="2790"/>
      <c r="AF43" s="2790"/>
      <c r="AG43" s="2790"/>
      <c r="AH43" s="2790"/>
      <c r="AI43" s="2790"/>
      <c r="AJ43" s="2790"/>
      <c r="AK43" s="2790"/>
      <c r="AL43" s="2790"/>
      <c r="AM43" s="2790"/>
      <c r="AN43" s="2790"/>
      <c r="AO43" s="2801">
        <f t="shared" si="2"/>
        <v>0</v>
      </c>
      <c r="AP43" s="2801"/>
      <c r="AQ43" s="2801"/>
      <c r="AR43" s="2801"/>
      <c r="AS43" s="2801"/>
      <c r="AT43" s="2801"/>
      <c r="AU43" s="2802">
        <f t="shared" si="3"/>
        <v>0</v>
      </c>
      <c r="AV43" s="2802"/>
      <c r="AW43" s="2802"/>
      <c r="AX43" s="2802"/>
      <c r="AY43" s="2802"/>
      <c r="AZ43" s="2802"/>
      <c r="BA43" s="1144"/>
      <c r="BB43" s="1144"/>
      <c r="BC43" s="1144"/>
      <c r="BD43" s="1144"/>
      <c r="BE43" s="1150"/>
    </row>
    <row r="44" spans="1:58" ht="15.75" customHeight="1">
      <c r="A44" s="1144"/>
      <c r="B44" s="2812" t="s">
        <v>1912</v>
      </c>
      <c r="C44" s="2813"/>
      <c r="D44" s="2813"/>
      <c r="E44" s="2813"/>
      <c r="F44" s="2813"/>
      <c r="G44" s="2813"/>
      <c r="H44" s="2813"/>
      <c r="I44" s="2814"/>
      <c r="J44" s="2804"/>
      <c r="K44" s="2805"/>
      <c r="L44" s="2805"/>
      <c r="M44" s="2806"/>
      <c r="N44" s="2807"/>
      <c r="O44" s="2805"/>
      <c r="P44" s="2805"/>
      <c r="Q44" s="2808"/>
      <c r="R44" s="2790"/>
      <c r="S44" s="2790"/>
      <c r="T44" s="2790"/>
      <c r="U44" s="2790"/>
      <c r="V44" s="2790"/>
      <c r="W44" s="2790"/>
      <c r="X44" s="2790"/>
      <c r="Y44" s="2790"/>
      <c r="Z44" s="2790"/>
      <c r="AA44" s="2790"/>
      <c r="AB44" s="2790"/>
      <c r="AC44" s="2790"/>
      <c r="AD44" s="2790"/>
      <c r="AE44" s="2790"/>
      <c r="AF44" s="2790"/>
      <c r="AG44" s="2790"/>
      <c r="AH44" s="2790"/>
      <c r="AI44" s="2790"/>
      <c r="AJ44" s="2790"/>
      <c r="AK44" s="2790"/>
      <c r="AL44" s="2790"/>
      <c r="AM44" s="2790"/>
      <c r="AN44" s="2790"/>
      <c r="AO44" s="2801">
        <f t="shared" si="2"/>
        <v>0</v>
      </c>
      <c r="AP44" s="2801"/>
      <c r="AQ44" s="2801"/>
      <c r="AR44" s="2801"/>
      <c r="AS44" s="2801"/>
      <c r="AT44" s="2801"/>
      <c r="AU44" s="2802">
        <f t="shared" si="3"/>
        <v>0</v>
      </c>
      <c r="AV44" s="2802"/>
      <c r="AW44" s="2802"/>
      <c r="AX44" s="2802"/>
      <c r="AY44" s="2802"/>
      <c r="AZ44" s="2802"/>
      <c r="BA44" s="1144"/>
      <c r="BB44" s="1144"/>
      <c r="BC44" s="1144"/>
      <c r="BD44" s="1144"/>
      <c r="BE44" s="1150"/>
    </row>
    <row r="45" spans="1:58" ht="15.75" customHeight="1">
      <c r="A45" s="1144"/>
      <c r="B45" s="2815" t="s">
        <v>1913</v>
      </c>
      <c r="C45" s="2816"/>
      <c r="D45" s="2816"/>
      <c r="E45" s="2816"/>
      <c r="F45" s="2816"/>
      <c r="G45" s="2816"/>
      <c r="H45" s="2816"/>
      <c r="I45" s="2817"/>
      <c r="J45" s="2804"/>
      <c r="K45" s="2805"/>
      <c r="L45" s="2805"/>
      <c r="M45" s="2806"/>
      <c r="N45" s="2807"/>
      <c r="O45" s="2805"/>
      <c r="P45" s="2805"/>
      <c r="Q45" s="2808"/>
      <c r="R45" s="2790"/>
      <c r="S45" s="2790"/>
      <c r="T45" s="2790"/>
      <c r="U45" s="2790"/>
      <c r="V45" s="2790"/>
      <c r="W45" s="2790"/>
      <c r="X45" s="2790"/>
      <c r="Y45" s="2790"/>
      <c r="Z45" s="2790"/>
      <c r="AA45" s="2790"/>
      <c r="AB45" s="2790"/>
      <c r="AC45" s="2790"/>
      <c r="AD45" s="2790"/>
      <c r="AE45" s="2790"/>
      <c r="AF45" s="2790"/>
      <c r="AG45" s="2790"/>
      <c r="AH45" s="2790"/>
      <c r="AI45" s="2790"/>
      <c r="AJ45" s="2790"/>
      <c r="AK45" s="2790"/>
      <c r="AL45" s="2790"/>
      <c r="AM45" s="2790"/>
      <c r="AN45" s="2790"/>
      <c r="AO45" s="2801">
        <f t="shared" si="2"/>
        <v>0</v>
      </c>
      <c r="AP45" s="2801"/>
      <c r="AQ45" s="2801"/>
      <c r="AR45" s="2801"/>
      <c r="AS45" s="2801"/>
      <c r="AT45" s="2801"/>
      <c r="AU45" s="2802">
        <f t="shared" si="3"/>
        <v>0</v>
      </c>
      <c r="AV45" s="2802"/>
      <c r="AW45" s="2802"/>
      <c r="AX45" s="2802"/>
      <c r="AY45" s="2802"/>
      <c r="AZ45" s="2802"/>
      <c r="BA45" s="1144"/>
      <c r="BB45" s="1144"/>
      <c r="BC45" s="1144"/>
      <c r="BD45" s="1144"/>
      <c r="BE45" s="1150"/>
    </row>
    <row r="46" spans="1:58" ht="15.75" customHeight="1">
      <c r="A46" s="1144"/>
      <c r="B46" s="2815" t="s">
        <v>1914</v>
      </c>
      <c r="C46" s="2816"/>
      <c r="D46" s="2816"/>
      <c r="E46" s="2816"/>
      <c r="F46" s="2816"/>
      <c r="G46" s="2816"/>
      <c r="H46" s="2816"/>
      <c r="I46" s="2817"/>
      <c r="J46" s="2804"/>
      <c r="K46" s="2805"/>
      <c r="L46" s="2805"/>
      <c r="M46" s="2806"/>
      <c r="N46" s="2788">
        <v>99</v>
      </c>
      <c r="O46" s="2786"/>
      <c r="P46" s="2786"/>
      <c r="Q46" s="2789"/>
      <c r="R46" s="2790"/>
      <c r="S46" s="2790"/>
      <c r="T46" s="2790"/>
      <c r="U46" s="2790"/>
      <c r="V46" s="2790"/>
      <c r="W46" s="2790"/>
      <c r="X46" s="2790"/>
      <c r="Y46" s="2790"/>
      <c r="Z46" s="2790"/>
      <c r="AA46" s="2790"/>
      <c r="AB46" s="2790"/>
      <c r="AC46" s="2790"/>
      <c r="AD46" s="2790"/>
      <c r="AE46" s="2790"/>
      <c r="AF46" s="2790"/>
      <c r="AG46" s="2790"/>
      <c r="AH46" s="2790"/>
      <c r="AI46" s="2790"/>
      <c r="AJ46" s="2790"/>
      <c r="AK46" s="2790"/>
      <c r="AL46" s="2790"/>
      <c r="AM46" s="2790"/>
      <c r="AN46" s="2790"/>
      <c r="AO46" s="2801">
        <f t="shared" si="2"/>
        <v>0</v>
      </c>
      <c r="AP46" s="2801"/>
      <c r="AQ46" s="2801"/>
      <c r="AR46" s="2801"/>
      <c r="AS46" s="2801"/>
      <c r="AT46" s="2801"/>
      <c r="AU46" s="2802">
        <f t="shared" si="3"/>
        <v>0</v>
      </c>
      <c r="AV46" s="2802"/>
      <c r="AW46" s="2802"/>
      <c r="AX46" s="2802"/>
      <c r="AY46" s="2802"/>
      <c r="AZ46" s="2802"/>
      <c r="BA46" s="1144"/>
      <c r="BB46" s="1144"/>
      <c r="BC46" s="1144"/>
      <c r="BD46" s="1144"/>
      <c r="BE46" s="1150"/>
    </row>
    <row r="47" spans="1:58" ht="15.75" customHeight="1" thickBot="1">
      <c r="A47" s="1144"/>
      <c r="B47" s="2818" t="s">
        <v>305</v>
      </c>
      <c r="C47" s="2819"/>
      <c r="D47" s="2819"/>
      <c r="E47" s="2819"/>
      <c r="F47" s="2819"/>
      <c r="G47" s="2819"/>
      <c r="H47" s="2819"/>
      <c r="I47" s="2820"/>
      <c r="J47" s="2821"/>
      <c r="K47" s="2822"/>
      <c r="L47" s="2822"/>
      <c r="M47" s="2823"/>
      <c r="N47" s="2824"/>
      <c r="O47" s="2822"/>
      <c r="P47" s="2822"/>
      <c r="Q47" s="2825"/>
      <c r="R47" s="2790"/>
      <c r="S47" s="2790"/>
      <c r="T47" s="2790"/>
      <c r="U47" s="2790"/>
      <c r="V47" s="2790"/>
      <c r="W47" s="2790"/>
      <c r="X47" s="2790"/>
      <c r="Y47" s="2790"/>
      <c r="Z47" s="2790"/>
      <c r="AA47" s="2790"/>
      <c r="AB47" s="2790"/>
      <c r="AC47" s="2790"/>
      <c r="AD47" s="2790"/>
      <c r="AE47" s="2790"/>
      <c r="AF47" s="2790"/>
      <c r="AG47" s="2790"/>
      <c r="AH47" s="2790"/>
      <c r="AI47" s="2790"/>
      <c r="AJ47" s="2790"/>
      <c r="AK47" s="2790"/>
      <c r="AL47" s="2790"/>
      <c r="AM47" s="2790"/>
      <c r="AN47" s="2790"/>
      <c r="AO47" s="2801">
        <f t="shared" si="2"/>
        <v>0</v>
      </c>
      <c r="AP47" s="2801"/>
      <c r="AQ47" s="2801"/>
      <c r="AR47" s="2801"/>
      <c r="AS47" s="2801"/>
      <c r="AT47" s="2801"/>
      <c r="AU47" s="2802">
        <f t="shared" si="3"/>
        <v>0</v>
      </c>
      <c r="AV47" s="2802"/>
      <c r="AW47" s="2802"/>
      <c r="AX47" s="2802"/>
      <c r="AY47" s="2802"/>
      <c r="AZ47" s="2802"/>
      <c r="BA47" s="1144"/>
      <c r="BB47" s="1144"/>
      <c r="BC47" s="1144"/>
      <c r="BD47" s="1144"/>
      <c r="BE47" s="1150"/>
    </row>
    <row r="48" spans="1:58" ht="15.75" customHeight="1">
      <c r="A48" s="1144"/>
      <c r="B48" s="1152" t="s">
        <v>1915</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2312</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26" t="s">
        <v>1916</v>
      </c>
      <c r="C50" s="2827"/>
      <c r="D50" s="2827"/>
      <c r="E50" s="2827"/>
      <c r="F50" s="2827"/>
      <c r="G50" s="2827"/>
      <c r="H50" s="2827"/>
      <c r="I50" s="2827"/>
      <c r="J50" s="2827"/>
      <c r="K50" s="2827"/>
      <c r="L50" s="2827"/>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8"/>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829" t="s">
        <v>1917</v>
      </c>
      <c r="C51" s="2830"/>
      <c r="D51" s="2830"/>
      <c r="E51" s="2830"/>
      <c r="F51" s="2830"/>
      <c r="G51" s="2830"/>
      <c r="H51" s="2830"/>
      <c r="I51" s="2831"/>
      <c r="J51" s="2829" t="s">
        <v>1918</v>
      </c>
      <c r="K51" s="2830"/>
      <c r="L51" s="2830"/>
      <c r="M51" s="2830"/>
      <c r="N51" s="2830"/>
      <c r="O51" s="2830"/>
      <c r="P51" s="2830"/>
      <c r="Q51" s="2831"/>
      <c r="R51" s="2775" t="s">
        <v>1919</v>
      </c>
      <c r="S51" s="2832"/>
      <c r="T51" s="2832"/>
      <c r="U51" s="2832"/>
      <c r="V51" s="2832"/>
      <c r="W51" s="2832"/>
      <c r="X51" s="2832"/>
      <c r="Y51" s="2833"/>
      <c r="Z51" s="2834" t="s">
        <v>1920</v>
      </c>
      <c r="AA51" s="2835"/>
      <c r="AB51" s="2835"/>
      <c r="AC51" s="2835"/>
      <c r="AD51" s="2835"/>
      <c r="AE51" s="2835"/>
      <c r="AF51" s="2835"/>
      <c r="AG51" s="2836"/>
      <c r="AH51" s="2834" t="s">
        <v>1921</v>
      </c>
      <c r="AI51" s="2835"/>
      <c r="AJ51" s="2835"/>
      <c r="AK51" s="2835"/>
      <c r="AL51" s="2835"/>
      <c r="AM51" s="2835"/>
      <c r="AN51" s="2835"/>
      <c r="AO51" s="2836"/>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837" t="s">
        <v>2313</v>
      </c>
      <c r="C52" s="2838"/>
      <c r="D52" s="2838"/>
      <c r="E52" s="2838"/>
      <c r="F52" s="2838"/>
      <c r="G52" s="2838"/>
      <c r="H52" s="2838"/>
      <c r="I52" s="2838"/>
      <c r="J52" s="2838">
        <v>0</v>
      </c>
      <c r="K52" s="2838"/>
      <c r="L52" s="2838"/>
      <c r="M52" s="2838"/>
      <c r="N52" s="2838"/>
      <c r="O52" s="2838"/>
      <c r="P52" s="2838"/>
      <c r="Q52" s="2838"/>
      <c r="R52" s="2839">
        <v>0</v>
      </c>
      <c r="S52" s="2839"/>
      <c r="T52" s="2839"/>
      <c r="U52" s="2839"/>
      <c r="V52" s="2839"/>
      <c r="W52" s="2839"/>
      <c r="X52" s="2839"/>
      <c r="Y52" s="2839"/>
      <c r="Z52" s="2840"/>
      <c r="AA52" s="2840"/>
      <c r="AB52" s="2840"/>
      <c r="AC52" s="2840"/>
      <c r="AD52" s="2840"/>
      <c r="AE52" s="2840"/>
      <c r="AF52" s="2840"/>
      <c r="AG52" s="2840"/>
      <c r="AH52" s="2841">
        <v>0</v>
      </c>
      <c r="AI52" s="2841"/>
      <c r="AJ52" s="2841"/>
      <c r="AK52" s="2841"/>
      <c r="AL52" s="2841"/>
      <c r="AM52" s="2841"/>
      <c r="AN52" s="2841"/>
      <c r="AO52" s="2842"/>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837" t="s">
        <v>2314</v>
      </c>
      <c r="C53" s="2838"/>
      <c r="D53" s="2838"/>
      <c r="E53" s="2838"/>
      <c r="F53" s="2838"/>
      <c r="G53" s="2838"/>
      <c r="H53" s="2838"/>
      <c r="I53" s="2838"/>
      <c r="J53" s="2838"/>
      <c r="K53" s="2838"/>
      <c r="L53" s="2838"/>
      <c r="M53" s="2838"/>
      <c r="N53" s="2838"/>
      <c r="O53" s="2838"/>
      <c r="P53" s="2838"/>
      <c r="Q53" s="2838"/>
      <c r="R53" s="2839">
        <v>0</v>
      </c>
      <c r="S53" s="2839"/>
      <c r="T53" s="2839"/>
      <c r="U53" s="2839"/>
      <c r="V53" s="2839"/>
      <c r="W53" s="2839"/>
      <c r="X53" s="2839"/>
      <c r="Y53" s="2839"/>
      <c r="Z53" s="2840"/>
      <c r="AA53" s="2840"/>
      <c r="AB53" s="2840"/>
      <c r="AC53" s="2840"/>
      <c r="AD53" s="2840"/>
      <c r="AE53" s="2840"/>
      <c r="AF53" s="2840"/>
      <c r="AG53" s="2840"/>
      <c r="AH53" s="2841">
        <v>0</v>
      </c>
      <c r="AI53" s="2841"/>
      <c r="AJ53" s="2841"/>
      <c r="AK53" s="2841"/>
      <c r="AL53" s="2841"/>
      <c r="AM53" s="2841"/>
      <c r="AN53" s="2841"/>
      <c r="AO53" s="2842"/>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837"/>
      <c r="C54" s="2838"/>
      <c r="D54" s="2838"/>
      <c r="E54" s="2838"/>
      <c r="F54" s="2838"/>
      <c r="G54" s="2838"/>
      <c r="H54" s="2838"/>
      <c r="I54" s="2838"/>
      <c r="J54" s="2838"/>
      <c r="K54" s="2838"/>
      <c r="L54" s="2838"/>
      <c r="M54" s="2838"/>
      <c r="N54" s="2838"/>
      <c r="O54" s="2838"/>
      <c r="P54" s="2838"/>
      <c r="Q54" s="2838"/>
      <c r="R54" s="2839">
        <v>0</v>
      </c>
      <c r="S54" s="2839"/>
      <c r="T54" s="2839"/>
      <c r="U54" s="2839"/>
      <c r="V54" s="2839"/>
      <c r="W54" s="2839"/>
      <c r="X54" s="2839"/>
      <c r="Y54" s="2839"/>
      <c r="Z54" s="2840"/>
      <c r="AA54" s="2840"/>
      <c r="AB54" s="2840"/>
      <c r="AC54" s="2840"/>
      <c r="AD54" s="2840"/>
      <c r="AE54" s="2840"/>
      <c r="AF54" s="2840"/>
      <c r="AG54" s="2840"/>
      <c r="AH54" s="2841">
        <v>0</v>
      </c>
      <c r="AI54" s="2841"/>
      <c r="AJ54" s="2841"/>
      <c r="AK54" s="2841"/>
      <c r="AL54" s="2841"/>
      <c r="AM54" s="2841"/>
      <c r="AN54" s="2841"/>
      <c r="AO54" s="2842"/>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837"/>
      <c r="C55" s="2838"/>
      <c r="D55" s="2838"/>
      <c r="E55" s="2838"/>
      <c r="F55" s="2838"/>
      <c r="G55" s="2838"/>
      <c r="H55" s="2838"/>
      <c r="I55" s="2838"/>
      <c r="J55" s="2838"/>
      <c r="K55" s="2838"/>
      <c r="L55" s="2838"/>
      <c r="M55" s="2838"/>
      <c r="N55" s="2838"/>
      <c r="O55" s="2838"/>
      <c r="P55" s="2838"/>
      <c r="Q55" s="2838"/>
      <c r="R55" s="2839">
        <v>0</v>
      </c>
      <c r="S55" s="2839"/>
      <c r="T55" s="2839"/>
      <c r="U55" s="2839"/>
      <c r="V55" s="2839"/>
      <c r="W55" s="2839"/>
      <c r="X55" s="2839"/>
      <c r="Y55" s="2839"/>
      <c r="Z55" s="2840"/>
      <c r="AA55" s="2840"/>
      <c r="AB55" s="2840"/>
      <c r="AC55" s="2840"/>
      <c r="AD55" s="2840"/>
      <c r="AE55" s="2840"/>
      <c r="AF55" s="2840"/>
      <c r="AG55" s="2840"/>
      <c r="AH55" s="2841">
        <v>0</v>
      </c>
      <c r="AI55" s="2841"/>
      <c r="AJ55" s="2841"/>
      <c r="AK55" s="2841"/>
      <c r="AL55" s="2841"/>
      <c r="AM55" s="2841"/>
      <c r="AN55" s="2841"/>
      <c r="AO55" s="2842"/>
      <c r="AP55" s="1146"/>
      <c r="AQ55" s="1146"/>
      <c r="AR55" s="1146"/>
      <c r="AS55" s="1146"/>
      <c r="AT55" s="1146" t="s">
        <v>255</v>
      </c>
      <c r="AU55" s="1146"/>
      <c r="AV55" s="1146"/>
      <c r="AW55" s="1146"/>
      <c r="AX55" s="1144"/>
      <c r="AY55" s="1144"/>
      <c r="AZ55" s="1144"/>
      <c r="BA55" s="1144"/>
      <c r="BB55" s="1144"/>
      <c r="BC55" s="1144"/>
      <c r="BD55" s="1144"/>
      <c r="BE55" s="1150"/>
    </row>
    <row r="56" spans="1:58" ht="15.75" customHeight="1" thickBot="1">
      <c r="A56" s="1144"/>
      <c r="B56" s="2850"/>
      <c r="C56" s="2851"/>
      <c r="D56" s="2851"/>
      <c r="E56" s="2851"/>
      <c r="F56" s="2851"/>
      <c r="G56" s="2851"/>
      <c r="H56" s="2851"/>
      <c r="I56" s="2851"/>
      <c r="J56" s="2851"/>
      <c r="K56" s="2851"/>
      <c r="L56" s="2851"/>
      <c r="M56" s="2851"/>
      <c r="N56" s="2851"/>
      <c r="O56" s="2851"/>
      <c r="P56" s="2851"/>
      <c r="Q56" s="2851"/>
      <c r="R56" s="2852">
        <v>0</v>
      </c>
      <c r="S56" s="2852"/>
      <c r="T56" s="2852"/>
      <c r="U56" s="2852"/>
      <c r="V56" s="2852"/>
      <c r="W56" s="2852"/>
      <c r="X56" s="2852"/>
      <c r="Y56" s="2852"/>
      <c r="Z56" s="2853"/>
      <c r="AA56" s="2853"/>
      <c r="AB56" s="2853"/>
      <c r="AC56" s="2853"/>
      <c r="AD56" s="2853"/>
      <c r="AE56" s="2853"/>
      <c r="AF56" s="2853"/>
      <c r="AG56" s="2853"/>
      <c r="AH56" s="2854"/>
      <c r="AI56" s="2854"/>
      <c r="AJ56" s="2854"/>
      <c r="AK56" s="2854"/>
      <c r="AL56" s="2854"/>
      <c r="AM56" s="2854"/>
      <c r="AN56" s="2854"/>
      <c r="AO56" s="2855"/>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856" t="s">
        <v>1785</v>
      </c>
      <c r="C57" s="2857"/>
      <c r="D57" s="2857"/>
      <c r="E57" s="2857"/>
      <c r="F57" s="2857"/>
      <c r="G57" s="2857"/>
      <c r="H57" s="2857"/>
      <c r="I57" s="2857"/>
      <c r="J57" s="2857"/>
      <c r="K57" s="2857"/>
      <c r="L57" s="2857"/>
      <c r="M57" s="2857"/>
      <c r="N57" s="2857"/>
      <c r="O57" s="2857"/>
      <c r="P57" s="2857"/>
      <c r="Q57" s="2857"/>
      <c r="R57" s="2858">
        <f>SUM(R52:Y56)</f>
        <v>0</v>
      </c>
      <c r="S57" s="2858"/>
      <c r="T57" s="2858"/>
      <c r="U57" s="2858"/>
      <c r="V57" s="2858"/>
      <c r="W57" s="2858"/>
      <c r="X57" s="2858"/>
      <c r="Y57" s="2858"/>
      <c r="Z57" s="2859">
        <f t="shared" ref="Z57" si="4">SUM(Z52:AG56)</f>
        <v>0</v>
      </c>
      <c r="AA57" s="2859"/>
      <c r="AB57" s="2859"/>
      <c r="AC57" s="2859"/>
      <c r="AD57" s="2859"/>
      <c r="AE57" s="2859"/>
      <c r="AF57" s="2859"/>
      <c r="AG57" s="2859"/>
      <c r="AH57" s="2860">
        <f>SUM(AH52:AO56)</f>
        <v>0</v>
      </c>
      <c r="AI57" s="2860"/>
      <c r="AJ57" s="2860"/>
      <c r="AK57" s="2860"/>
      <c r="AL57" s="2860"/>
      <c r="AM57" s="2860"/>
      <c r="AN57" s="2860"/>
      <c r="AO57" s="2860"/>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843" t="s">
        <v>1917</v>
      </c>
      <c r="C59" s="2844"/>
      <c r="D59" s="2844"/>
      <c r="E59" s="2844"/>
      <c r="F59" s="2844"/>
      <c r="G59" s="2844"/>
      <c r="H59" s="2844"/>
      <c r="I59" s="2845"/>
      <c r="J59" s="2846" t="s">
        <v>1922</v>
      </c>
      <c r="K59" s="2846"/>
      <c r="L59" s="2846"/>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c r="AS59" s="2846"/>
      <c r="AT59" s="2846"/>
      <c r="AU59" s="2846"/>
      <c r="AV59" s="2846"/>
      <c r="AW59" s="2847"/>
      <c r="AX59" s="1144"/>
      <c r="AY59" s="1144"/>
      <c r="AZ59" s="1144"/>
      <c r="BA59" s="1144"/>
      <c r="BB59" s="1144"/>
      <c r="BC59" s="1144"/>
      <c r="BD59" s="1144"/>
      <c r="BE59" s="1150"/>
    </row>
    <row r="60" spans="1:58" ht="15.75" customHeight="1">
      <c r="A60" s="1144"/>
      <c r="B60" s="2837" t="str">
        <f>IF(B52="", "", B52)</f>
        <v>Services Company 1</v>
      </c>
      <c r="C60" s="2838"/>
      <c r="D60" s="2838"/>
      <c r="E60" s="2838"/>
      <c r="F60" s="2838"/>
      <c r="G60" s="2838"/>
      <c r="H60" s="2838"/>
      <c r="I60" s="2848"/>
      <c r="J60" s="2849"/>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2838"/>
      <c r="AP60" s="2838"/>
      <c r="AQ60" s="2838"/>
      <c r="AR60" s="2838"/>
      <c r="AS60" s="2838"/>
      <c r="AT60" s="2838"/>
      <c r="AU60" s="2838"/>
      <c r="AV60" s="2838"/>
      <c r="AW60" s="2848"/>
      <c r="AX60" s="1144"/>
      <c r="AY60" s="1144"/>
      <c r="AZ60" s="1144"/>
      <c r="BA60" s="1144"/>
      <c r="BB60" s="1144"/>
      <c r="BC60" s="1144"/>
      <c r="BD60" s="1144"/>
      <c r="BE60" s="1150"/>
    </row>
    <row r="61" spans="1:58" ht="15.75" customHeight="1">
      <c r="A61" s="1144"/>
      <c r="B61" s="2837" t="str">
        <f t="shared" ref="B61:B64" si="5">IF(B53="", "", B53)</f>
        <v>Services Company 2</v>
      </c>
      <c r="C61" s="2838"/>
      <c r="D61" s="2838"/>
      <c r="E61" s="2838"/>
      <c r="F61" s="2838"/>
      <c r="G61" s="2838"/>
      <c r="H61" s="2838"/>
      <c r="I61" s="2848"/>
      <c r="J61" s="2849"/>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2838"/>
      <c r="AP61" s="2838"/>
      <c r="AQ61" s="2838"/>
      <c r="AR61" s="2838"/>
      <c r="AS61" s="2838"/>
      <c r="AT61" s="2838"/>
      <c r="AU61" s="2838"/>
      <c r="AV61" s="2838"/>
      <c r="AW61" s="2848"/>
      <c r="AX61" s="1144"/>
      <c r="AY61" s="1144"/>
      <c r="AZ61" s="1144"/>
      <c r="BA61" s="1144"/>
      <c r="BB61" s="1144"/>
      <c r="BC61" s="1144"/>
      <c r="BD61" s="1144"/>
      <c r="BE61" s="1150"/>
    </row>
    <row r="62" spans="1:58" ht="15.75" customHeight="1">
      <c r="A62" s="1144"/>
      <c r="B62" s="2837" t="str">
        <f t="shared" si="5"/>
        <v/>
      </c>
      <c r="C62" s="2838"/>
      <c r="D62" s="2838"/>
      <c r="E62" s="2838"/>
      <c r="F62" s="2838"/>
      <c r="G62" s="2838"/>
      <c r="H62" s="2838"/>
      <c r="I62" s="2848"/>
      <c r="J62" s="2849"/>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8"/>
      <c r="AJ62" s="2838"/>
      <c r="AK62" s="2838"/>
      <c r="AL62" s="2838"/>
      <c r="AM62" s="2838"/>
      <c r="AN62" s="2838"/>
      <c r="AO62" s="2838"/>
      <c r="AP62" s="2838"/>
      <c r="AQ62" s="2838"/>
      <c r="AR62" s="2838"/>
      <c r="AS62" s="2838"/>
      <c r="AT62" s="2838"/>
      <c r="AU62" s="2838"/>
      <c r="AV62" s="2838"/>
      <c r="AW62" s="2848"/>
      <c r="AX62" s="1144"/>
      <c r="AY62" s="1144"/>
      <c r="AZ62" s="1144"/>
      <c r="BA62" s="1144"/>
      <c r="BB62" s="1144"/>
      <c r="BC62" s="1144"/>
      <c r="BD62" s="1144"/>
      <c r="BE62" s="1150"/>
    </row>
    <row r="63" spans="1:58" ht="15.75" customHeight="1">
      <c r="A63" s="1144"/>
      <c r="B63" s="2837" t="str">
        <f t="shared" si="5"/>
        <v/>
      </c>
      <c r="C63" s="2838"/>
      <c r="D63" s="2838"/>
      <c r="E63" s="2838"/>
      <c r="F63" s="2838"/>
      <c r="G63" s="2838"/>
      <c r="H63" s="2838"/>
      <c r="I63" s="2848"/>
      <c r="J63" s="2849"/>
      <c r="K63" s="2838"/>
      <c r="L63" s="2838"/>
      <c r="M63" s="2838"/>
      <c r="N63" s="2838"/>
      <c r="O63" s="2838"/>
      <c r="P63" s="2838"/>
      <c r="Q63" s="2838"/>
      <c r="R63" s="2838"/>
      <c r="S63" s="2838"/>
      <c r="T63" s="2838"/>
      <c r="U63" s="2838"/>
      <c r="V63" s="2838"/>
      <c r="W63" s="2838"/>
      <c r="X63" s="2838"/>
      <c r="Y63" s="2838"/>
      <c r="Z63" s="2838"/>
      <c r="AA63" s="2838"/>
      <c r="AB63" s="2838"/>
      <c r="AC63" s="2838"/>
      <c r="AD63" s="2838"/>
      <c r="AE63" s="2838"/>
      <c r="AF63" s="2838"/>
      <c r="AG63" s="2838"/>
      <c r="AH63" s="2838"/>
      <c r="AI63" s="2838"/>
      <c r="AJ63" s="2838"/>
      <c r="AK63" s="2838"/>
      <c r="AL63" s="2838"/>
      <c r="AM63" s="2838"/>
      <c r="AN63" s="2838"/>
      <c r="AO63" s="2838"/>
      <c r="AP63" s="2838"/>
      <c r="AQ63" s="2838"/>
      <c r="AR63" s="2838"/>
      <c r="AS63" s="2838"/>
      <c r="AT63" s="2838"/>
      <c r="AU63" s="2838"/>
      <c r="AV63" s="2838"/>
      <c r="AW63" s="2848"/>
      <c r="AX63" s="1144"/>
      <c r="AY63" s="1144"/>
      <c r="AZ63" s="1144"/>
      <c r="BA63" s="1144"/>
      <c r="BB63" s="1144"/>
      <c r="BC63" s="1144"/>
      <c r="BD63" s="1144"/>
      <c r="BE63" s="1150"/>
    </row>
    <row r="64" spans="1:58" ht="15.75" customHeight="1" thickBot="1">
      <c r="A64" s="1144"/>
      <c r="B64" s="2850" t="str">
        <f t="shared" si="5"/>
        <v/>
      </c>
      <c r="C64" s="2851"/>
      <c r="D64" s="2851"/>
      <c r="E64" s="2851"/>
      <c r="F64" s="2851"/>
      <c r="G64" s="2851"/>
      <c r="H64" s="2851"/>
      <c r="I64" s="2873"/>
      <c r="J64" s="2874"/>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c r="AO64" s="2851"/>
      <c r="AP64" s="2851"/>
      <c r="AQ64" s="2851"/>
      <c r="AR64" s="2851"/>
      <c r="AS64" s="2851"/>
      <c r="AT64" s="2851"/>
      <c r="AU64" s="2851"/>
      <c r="AV64" s="2851"/>
      <c r="AW64" s="2873"/>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1923</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731" t="s">
        <v>1924</v>
      </c>
      <c r="C68" s="2732"/>
      <c r="D68" s="2732"/>
      <c r="E68" s="2732"/>
      <c r="F68" s="2732"/>
      <c r="G68" s="2732"/>
      <c r="H68" s="2732"/>
      <c r="I68" s="2732"/>
      <c r="J68" s="2732"/>
      <c r="K68" s="2732"/>
      <c r="L68" s="2732"/>
      <c r="M68" s="2732"/>
      <c r="N68" s="2732"/>
      <c r="O68" s="2732"/>
      <c r="P68" s="2732"/>
      <c r="Q68" s="2732"/>
      <c r="R68" s="2732"/>
      <c r="S68" s="2732"/>
      <c r="T68" s="2732"/>
      <c r="U68" s="2732"/>
      <c r="V68" s="2732"/>
      <c r="W68" s="2732"/>
      <c r="X68" s="2732"/>
      <c r="Y68" s="2732"/>
      <c r="Z68" s="2732"/>
      <c r="AA68" s="2733"/>
      <c r="AB68" s="1144"/>
      <c r="AC68" s="2885" t="s">
        <v>1925</v>
      </c>
      <c r="AD68" s="2886"/>
      <c r="AE68" s="2886"/>
      <c r="AF68" s="2886"/>
      <c r="AG68" s="2886"/>
      <c r="AH68" s="2886"/>
      <c r="AI68" s="2886"/>
      <c r="AJ68" s="2886"/>
      <c r="AK68" s="2886"/>
      <c r="AL68" s="2886"/>
      <c r="AM68" s="2886"/>
      <c r="AN68" s="2886"/>
      <c r="AO68" s="2886"/>
      <c r="AP68" s="2886"/>
      <c r="AQ68" s="2886"/>
      <c r="AR68" s="2886"/>
      <c r="AS68" s="2886"/>
      <c r="AT68" s="2886"/>
      <c r="AU68" s="2886"/>
      <c r="AV68" s="2861" t="s">
        <v>1884</v>
      </c>
      <c r="AW68" s="2861"/>
      <c r="AX68" s="2861"/>
      <c r="AY68" s="2861"/>
      <c r="AZ68" s="2861"/>
      <c r="BA68" s="2861"/>
      <c r="BB68" s="2861"/>
      <c r="BC68" s="2862"/>
      <c r="BD68" s="1144"/>
      <c r="BE68" s="1150"/>
    </row>
    <row r="69" spans="1:57" ht="15.75" customHeight="1" thickBot="1">
      <c r="A69" s="1144"/>
      <c r="B69" s="2863" t="s">
        <v>1926</v>
      </c>
      <c r="C69" s="2864"/>
      <c r="D69" s="2864"/>
      <c r="E69" s="2864"/>
      <c r="F69" s="2864"/>
      <c r="G69" s="2864"/>
      <c r="H69" s="2864"/>
      <c r="I69" s="2864"/>
      <c r="J69" s="2864"/>
      <c r="K69" s="2864"/>
      <c r="L69" s="2864"/>
      <c r="M69" s="2864"/>
      <c r="N69" s="2864"/>
      <c r="O69" s="2865" t="s">
        <v>1927</v>
      </c>
      <c r="P69" s="2866"/>
      <c r="Q69" s="2866"/>
      <c r="R69" s="2866"/>
      <c r="S69" s="2866"/>
      <c r="T69" s="2866"/>
      <c r="U69" s="2866"/>
      <c r="V69" s="2866"/>
      <c r="W69" s="2866"/>
      <c r="X69" s="2866"/>
      <c r="Y69" s="2866"/>
      <c r="Z69" s="2866"/>
      <c r="AA69" s="2867"/>
      <c r="AB69" s="1144"/>
      <c r="AC69" s="2868" t="s">
        <v>1928</v>
      </c>
      <c r="AD69" s="2869"/>
      <c r="AE69" s="2869"/>
      <c r="AF69" s="2869"/>
      <c r="AG69" s="2869"/>
      <c r="AH69" s="2869"/>
      <c r="AI69" s="2869"/>
      <c r="AJ69" s="2869"/>
      <c r="AK69" s="2869"/>
      <c r="AL69" s="2869"/>
      <c r="AM69" s="2869"/>
      <c r="AN69" s="2869"/>
      <c r="AO69" s="2869"/>
      <c r="AP69" s="2869"/>
      <c r="AQ69" s="2869"/>
      <c r="AR69" s="2869"/>
      <c r="AS69" s="2869"/>
      <c r="AT69" s="2869"/>
      <c r="AU69" s="2869"/>
      <c r="AV69" s="2870">
        <v>44563</v>
      </c>
      <c r="AW69" s="2871"/>
      <c r="AX69" s="2871"/>
      <c r="AY69" s="2871"/>
      <c r="AZ69" s="2871"/>
      <c r="BA69" s="2871"/>
      <c r="BB69" s="2871"/>
      <c r="BC69" s="2872"/>
      <c r="BD69" s="1144"/>
      <c r="BE69" s="1150"/>
    </row>
    <row r="70" spans="1:57" ht="15.75" customHeight="1">
      <c r="A70" s="1144"/>
      <c r="B70" s="2875"/>
      <c r="C70" s="2876"/>
      <c r="D70" s="2876"/>
      <c r="E70" s="2876"/>
      <c r="F70" s="2876"/>
      <c r="G70" s="2876"/>
      <c r="H70" s="2876"/>
      <c r="I70" s="2876"/>
      <c r="J70" s="2876"/>
      <c r="K70" s="2876"/>
      <c r="L70" s="2876"/>
      <c r="M70" s="2876"/>
      <c r="N70" s="2876"/>
      <c r="O70" s="2877">
        <v>1</v>
      </c>
      <c r="P70" s="2877"/>
      <c r="Q70" s="2877"/>
      <c r="R70" s="2877"/>
      <c r="S70" s="2877"/>
      <c r="T70" s="2877"/>
      <c r="U70" s="2877"/>
      <c r="V70" s="2877"/>
      <c r="W70" s="2877"/>
      <c r="X70" s="2877"/>
      <c r="Y70" s="2877"/>
      <c r="Z70" s="2877"/>
      <c r="AA70" s="2878"/>
      <c r="AB70" s="1144"/>
      <c r="AC70" s="2879" t="s">
        <v>1929</v>
      </c>
      <c r="AD70" s="2880"/>
      <c r="AE70" s="2880"/>
      <c r="AF70" s="2881"/>
      <c r="AG70" s="2881"/>
      <c r="AH70" s="2881"/>
      <c r="AI70" s="2881"/>
      <c r="AJ70" s="2881"/>
      <c r="AK70" s="2881"/>
      <c r="AL70" s="2881"/>
      <c r="AM70" s="2881"/>
      <c r="AN70" s="2881"/>
      <c r="AO70" s="2881"/>
      <c r="AP70" s="2881"/>
      <c r="AQ70" s="2881"/>
      <c r="AR70" s="2881"/>
      <c r="AS70" s="2881"/>
      <c r="AT70" s="2881"/>
      <c r="AU70" s="2882"/>
      <c r="AV70" s="1144"/>
      <c r="AW70" s="1144"/>
      <c r="AX70" s="1144"/>
      <c r="AY70" s="1144"/>
      <c r="AZ70" s="1144"/>
      <c r="BA70" s="1144"/>
      <c r="BB70" s="1144"/>
      <c r="BC70" s="1144"/>
      <c r="BD70" s="1144"/>
      <c r="BE70" s="1150"/>
    </row>
    <row r="71" spans="1:57" ht="15.75" customHeight="1" thickBot="1">
      <c r="A71" s="1144"/>
      <c r="B71" s="2807"/>
      <c r="C71" s="2805"/>
      <c r="D71" s="2805"/>
      <c r="E71" s="2805"/>
      <c r="F71" s="2805"/>
      <c r="G71" s="2805"/>
      <c r="H71" s="2805"/>
      <c r="I71" s="2805"/>
      <c r="J71" s="2805"/>
      <c r="K71" s="2805"/>
      <c r="L71" s="2805"/>
      <c r="M71" s="2805"/>
      <c r="N71" s="2805"/>
      <c r="O71" s="2877"/>
      <c r="P71" s="2877"/>
      <c r="Q71" s="2877"/>
      <c r="R71" s="2877"/>
      <c r="S71" s="2877"/>
      <c r="T71" s="2877"/>
      <c r="U71" s="2877"/>
      <c r="V71" s="2877"/>
      <c r="W71" s="2877"/>
      <c r="X71" s="2877"/>
      <c r="Y71" s="2877"/>
      <c r="Z71" s="2877"/>
      <c r="AA71" s="2878"/>
      <c r="AB71" s="1144"/>
      <c r="AC71" s="2883" t="s">
        <v>1930</v>
      </c>
      <c r="AD71" s="2884"/>
      <c r="AE71" s="2884"/>
      <c r="AF71" s="2822"/>
      <c r="AG71" s="2822"/>
      <c r="AH71" s="2822"/>
      <c r="AI71" s="2822"/>
      <c r="AJ71" s="2822"/>
      <c r="AK71" s="2822"/>
      <c r="AL71" s="2822"/>
      <c r="AM71" s="2822"/>
      <c r="AN71" s="2822"/>
      <c r="AO71" s="2822"/>
      <c r="AP71" s="2822"/>
      <c r="AQ71" s="2822"/>
      <c r="AR71" s="2822"/>
      <c r="AS71" s="2822"/>
      <c r="AT71" s="2822"/>
      <c r="AU71" s="2823"/>
      <c r="AV71" s="1144"/>
      <c r="AW71" s="1144"/>
      <c r="AX71" s="1144"/>
      <c r="AY71" s="1144"/>
      <c r="AZ71" s="1144"/>
      <c r="BA71" s="1144"/>
      <c r="BB71" s="1144"/>
      <c r="BC71" s="1144"/>
      <c r="BD71" s="1144"/>
      <c r="BE71" s="1150"/>
    </row>
    <row r="72" spans="1:57" ht="15.75" customHeight="1">
      <c r="A72" s="1144"/>
      <c r="B72" s="2807"/>
      <c r="C72" s="2805"/>
      <c r="D72" s="2805"/>
      <c r="E72" s="2805"/>
      <c r="F72" s="2805"/>
      <c r="G72" s="2805"/>
      <c r="H72" s="2805"/>
      <c r="I72" s="2805"/>
      <c r="J72" s="2805"/>
      <c r="K72" s="2805"/>
      <c r="L72" s="2805"/>
      <c r="M72" s="2805"/>
      <c r="N72" s="2805"/>
      <c r="O72" s="2877"/>
      <c r="P72" s="2877"/>
      <c r="Q72" s="2877"/>
      <c r="R72" s="2877"/>
      <c r="S72" s="2877"/>
      <c r="T72" s="2877"/>
      <c r="U72" s="2877"/>
      <c r="V72" s="2877"/>
      <c r="W72" s="2877"/>
      <c r="X72" s="2877"/>
      <c r="Y72" s="2877"/>
      <c r="Z72" s="2877"/>
      <c r="AA72" s="2878"/>
      <c r="AB72" s="1144"/>
      <c r="AC72" s="2887" t="s">
        <v>1931</v>
      </c>
      <c r="AD72" s="2888"/>
      <c r="AE72" s="2888"/>
      <c r="AF72" s="2888"/>
      <c r="AG72" s="2888"/>
      <c r="AH72" s="2888"/>
      <c r="AI72" s="2888"/>
      <c r="AJ72" s="2888"/>
      <c r="AK72" s="2888"/>
      <c r="AL72" s="2888"/>
      <c r="AM72" s="2888"/>
      <c r="AN72" s="2888"/>
      <c r="AO72" s="2888"/>
      <c r="AP72" s="2888"/>
      <c r="AQ72" s="2888"/>
      <c r="AR72" s="2888"/>
      <c r="AS72" s="2888"/>
      <c r="AT72" s="2888"/>
      <c r="AU72" s="2888"/>
      <c r="AV72" s="2888"/>
      <c r="AW72" s="2888"/>
      <c r="AX72" s="2888"/>
      <c r="AY72" s="2888"/>
      <c r="AZ72" s="2888"/>
      <c r="BA72" s="2888"/>
      <c r="BB72" s="2888"/>
      <c r="BC72" s="2889"/>
      <c r="BD72" s="1144"/>
      <c r="BE72" s="1150"/>
    </row>
    <row r="73" spans="1:57" ht="15.75" customHeight="1">
      <c r="A73" s="1144"/>
      <c r="B73" s="2807"/>
      <c r="C73" s="2805"/>
      <c r="D73" s="2805"/>
      <c r="E73" s="2805"/>
      <c r="F73" s="2805"/>
      <c r="G73" s="2805"/>
      <c r="H73" s="2805"/>
      <c r="I73" s="2805"/>
      <c r="J73" s="2805"/>
      <c r="K73" s="2805"/>
      <c r="L73" s="2805"/>
      <c r="M73" s="2805"/>
      <c r="N73" s="2805"/>
      <c r="O73" s="2877"/>
      <c r="P73" s="2877"/>
      <c r="Q73" s="2877"/>
      <c r="R73" s="2877"/>
      <c r="S73" s="2877"/>
      <c r="T73" s="2877"/>
      <c r="U73" s="2877"/>
      <c r="V73" s="2877"/>
      <c r="W73" s="2877"/>
      <c r="X73" s="2877"/>
      <c r="Y73" s="2877"/>
      <c r="Z73" s="2877"/>
      <c r="AA73" s="2878"/>
      <c r="AB73" s="1144"/>
      <c r="AC73" s="2890" t="s">
        <v>2315</v>
      </c>
      <c r="AD73" s="2891"/>
      <c r="AE73" s="2891"/>
      <c r="AF73" s="2891"/>
      <c r="AG73" s="2891"/>
      <c r="AH73" s="2891"/>
      <c r="AI73" s="2891"/>
      <c r="AJ73" s="2891"/>
      <c r="AK73" s="2891"/>
      <c r="AL73" s="2891"/>
      <c r="AM73" s="2891"/>
      <c r="AN73" s="2891"/>
      <c r="AO73" s="2891"/>
      <c r="AP73" s="2891"/>
      <c r="AQ73" s="2891"/>
      <c r="AR73" s="2891"/>
      <c r="AS73" s="2891"/>
      <c r="AT73" s="2891"/>
      <c r="AU73" s="2891"/>
      <c r="AV73" s="2891"/>
      <c r="AW73" s="2891"/>
      <c r="AX73" s="2891"/>
      <c r="AY73" s="2891"/>
      <c r="AZ73" s="2891"/>
      <c r="BA73" s="2891"/>
      <c r="BB73" s="2891"/>
      <c r="BC73" s="2892"/>
      <c r="BD73" s="1144"/>
      <c r="BE73" s="1150"/>
    </row>
    <row r="74" spans="1:57" ht="15.75" customHeight="1" thickBot="1">
      <c r="A74" s="1144"/>
      <c r="B74" s="2807"/>
      <c r="C74" s="2805"/>
      <c r="D74" s="2805"/>
      <c r="E74" s="2805"/>
      <c r="F74" s="2805"/>
      <c r="G74" s="2805"/>
      <c r="H74" s="2805"/>
      <c r="I74" s="2805"/>
      <c r="J74" s="2805"/>
      <c r="K74" s="2805"/>
      <c r="L74" s="2805"/>
      <c r="M74" s="2805"/>
      <c r="N74" s="2805"/>
      <c r="O74" s="2896"/>
      <c r="P74" s="2896"/>
      <c r="Q74" s="2896"/>
      <c r="R74" s="2896"/>
      <c r="S74" s="2896"/>
      <c r="T74" s="2896"/>
      <c r="U74" s="2896"/>
      <c r="V74" s="2896"/>
      <c r="W74" s="2896"/>
      <c r="X74" s="2896"/>
      <c r="Y74" s="2896"/>
      <c r="Z74" s="2896"/>
      <c r="AA74" s="2897"/>
      <c r="AB74" s="1144"/>
      <c r="AC74" s="2890"/>
      <c r="AD74" s="2891"/>
      <c r="AE74" s="2891"/>
      <c r="AF74" s="2891"/>
      <c r="AG74" s="2891"/>
      <c r="AH74" s="2891"/>
      <c r="AI74" s="2891"/>
      <c r="AJ74" s="2891"/>
      <c r="AK74" s="2891"/>
      <c r="AL74" s="2891"/>
      <c r="AM74" s="2891"/>
      <c r="AN74" s="2891"/>
      <c r="AO74" s="2891"/>
      <c r="AP74" s="2891"/>
      <c r="AQ74" s="2891"/>
      <c r="AR74" s="2891"/>
      <c r="AS74" s="2891"/>
      <c r="AT74" s="2891"/>
      <c r="AU74" s="2891"/>
      <c r="AV74" s="2891"/>
      <c r="AW74" s="2891"/>
      <c r="AX74" s="2891"/>
      <c r="AY74" s="2891"/>
      <c r="AZ74" s="2891"/>
      <c r="BA74" s="2891"/>
      <c r="BB74" s="2891"/>
      <c r="BC74" s="2892"/>
      <c r="BD74" s="1144"/>
      <c r="BE74" s="1150"/>
    </row>
    <row r="75" spans="1:57" ht="15.75" customHeight="1" thickTop="1" thickBot="1">
      <c r="A75" s="1144"/>
      <c r="B75" s="2898" t="s">
        <v>129</v>
      </c>
      <c r="C75" s="2899"/>
      <c r="D75" s="2899"/>
      <c r="E75" s="2899"/>
      <c r="F75" s="2899"/>
      <c r="G75" s="2899"/>
      <c r="H75" s="2899"/>
      <c r="I75" s="2899"/>
      <c r="J75" s="2899"/>
      <c r="K75" s="2899"/>
      <c r="L75" s="2899"/>
      <c r="M75" s="2899"/>
      <c r="N75" s="2899"/>
      <c r="O75" s="2900">
        <f>SUM(O70:AA74)</f>
        <v>1</v>
      </c>
      <c r="P75" s="2901"/>
      <c r="Q75" s="2901"/>
      <c r="R75" s="2901"/>
      <c r="S75" s="2901"/>
      <c r="T75" s="2901"/>
      <c r="U75" s="2901"/>
      <c r="V75" s="2901"/>
      <c r="W75" s="2901"/>
      <c r="X75" s="2901"/>
      <c r="Y75" s="2901"/>
      <c r="Z75" s="2901"/>
      <c r="AA75" s="2902"/>
      <c r="AB75" s="1144"/>
      <c r="AC75" s="2890"/>
      <c r="AD75" s="2891"/>
      <c r="AE75" s="2891"/>
      <c r="AF75" s="2891"/>
      <c r="AG75" s="2891"/>
      <c r="AH75" s="2891"/>
      <c r="AI75" s="2891"/>
      <c r="AJ75" s="2891"/>
      <c r="AK75" s="2891"/>
      <c r="AL75" s="2891"/>
      <c r="AM75" s="2891"/>
      <c r="AN75" s="2891"/>
      <c r="AO75" s="2891"/>
      <c r="AP75" s="2891"/>
      <c r="AQ75" s="2891"/>
      <c r="AR75" s="2891"/>
      <c r="AS75" s="2891"/>
      <c r="AT75" s="2891"/>
      <c r="AU75" s="2891"/>
      <c r="AV75" s="2891"/>
      <c r="AW75" s="2891"/>
      <c r="AX75" s="2891"/>
      <c r="AY75" s="2891"/>
      <c r="AZ75" s="2891"/>
      <c r="BA75" s="2891"/>
      <c r="BB75" s="2891"/>
      <c r="BC75" s="2892"/>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0"/>
      <c r="AD76" s="2891"/>
      <c r="AE76" s="2891"/>
      <c r="AF76" s="2891"/>
      <c r="AG76" s="2891"/>
      <c r="AH76" s="2891"/>
      <c r="AI76" s="2891"/>
      <c r="AJ76" s="2891"/>
      <c r="AK76" s="2891"/>
      <c r="AL76" s="2891"/>
      <c r="AM76" s="2891"/>
      <c r="AN76" s="2891"/>
      <c r="AO76" s="2891"/>
      <c r="AP76" s="2891"/>
      <c r="AQ76" s="2891"/>
      <c r="AR76" s="2891"/>
      <c r="AS76" s="2891"/>
      <c r="AT76" s="2891"/>
      <c r="AU76" s="2891"/>
      <c r="AV76" s="2891"/>
      <c r="AW76" s="2891"/>
      <c r="AX76" s="2891"/>
      <c r="AY76" s="2891"/>
      <c r="AZ76" s="2891"/>
      <c r="BA76" s="2891"/>
      <c r="BB76" s="2891"/>
      <c r="BC76" s="2892"/>
      <c r="BD76" s="1144"/>
      <c r="BE76" s="1150"/>
    </row>
    <row r="77" spans="1:57" ht="15.75" customHeight="1" thickBot="1">
      <c r="A77" s="1144"/>
      <c r="B77" s="1155" t="s">
        <v>1932</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893"/>
      <c r="AD77" s="2894"/>
      <c r="AE77" s="2894"/>
      <c r="AF77" s="2894"/>
      <c r="AG77" s="2894"/>
      <c r="AH77" s="2894"/>
      <c r="AI77" s="2894"/>
      <c r="AJ77" s="2894"/>
      <c r="AK77" s="2894"/>
      <c r="AL77" s="2894"/>
      <c r="AM77" s="2894"/>
      <c r="AN77" s="2894"/>
      <c r="AO77" s="2894"/>
      <c r="AP77" s="2894"/>
      <c r="AQ77" s="2894"/>
      <c r="AR77" s="2894"/>
      <c r="AS77" s="2894"/>
      <c r="AT77" s="2894"/>
      <c r="AU77" s="2894"/>
      <c r="AV77" s="2894"/>
      <c r="AW77" s="2894"/>
      <c r="AX77" s="2894"/>
      <c r="AY77" s="2894"/>
      <c r="AZ77" s="2894"/>
      <c r="BA77" s="2894"/>
      <c r="BB77" s="2894"/>
      <c r="BC77" s="2895"/>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03" t="s">
        <v>2296</v>
      </c>
      <c r="C79" s="2904"/>
      <c r="D79" s="2904"/>
      <c r="E79" s="2904"/>
      <c r="F79" s="2904"/>
      <c r="G79" s="2904"/>
      <c r="H79" s="2904"/>
      <c r="I79" s="2904"/>
      <c r="J79" s="2904"/>
      <c r="K79" s="2904"/>
      <c r="L79" s="2904"/>
      <c r="M79" s="2904"/>
      <c r="N79" s="2904"/>
      <c r="O79" s="2904"/>
      <c r="P79" s="2904"/>
      <c r="Q79" s="2904"/>
      <c r="R79" s="2904"/>
      <c r="S79" s="2904"/>
      <c r="T79" s="2904"/>
      <c r="U79" s="2904"/>
      <c r="V79" s="2904"/>
      <c r="W79" s="2904"/>
      <c r="X79" s="2904"/>
      <c r="Y79" s="2904"/>
      <c r="Z79" s="2904"/>
      <c r="AA79" s="2904"/>
      <c r="AB79" s="2904"/>
      <c r="AC79" s="2904"/>
      <c r="AD79" s="2904"/>
      <c r="AE79" s="2904"/>
      <c r="AF79" s="2904"/>
      <c r="AG79" s="2904"/>
      <c r="AH79" s="2905"/>
      <c r="AI79" s="1144"/>
      <c r="AJ79" s="2906" t="s">
        <v>2316</v>
      </c>
      <c r="AK79" s="2907"/>
      <c r="AL79" s="2907"/>
      <c r="AM79" s="2907"/>
      <c r="AN79" s="2907"/>
      <c r="AO79" s="2907"/>
      <c r="AP79" s="2907"/>
      <c r="AQ79" s="2907"/>
      <c r="AR79" s="2907"/>
      <c r="AS79" s="2907"/>
      <c r="AT79" s="2907"/>
      <c r="AU79" s="2907"/>
      <c r="AV79" s="2907"/>
      <c r="AW79" s="2907"/>
      <c r="AX79" s="2907"/>
      <c r="AY79" s="2912" t="s">
        <v>1884</v>
      </c>
      <c r="AZ79" s="2912"/>
      <c r="BA79" s="2912"/>
      <c r="BB79" s="2913"/>
      <c r="BC79" s="1144"/>
      <c r="BD79" s="1144"/>
      <c r="BE79" s="1150"/>
    </row>
    <row r="80" spans="1:57" ht="15.75" customHeight="1">
      <c r="A80" s="1144"/>
      <c r="B80" s="2918"/>
      <c r="C80" s="2919"/>
      <c r="D80" s="2919"/>
      <c r="E80" s="2919"/>
      <c r="F80" s="2919"/>
      <c r="G80" s="2919"/>
      <c r="H80" s="2920"/>
      <c r="I80" s="2885" t="s">
        <v>1933</v>
      </c>
      <c r="J80" s="2886"/>
      <c r="K80" s="2886"/>
      <c r="L80" s="2886"/>
      <c r="M80" s="2886"/>
      <c r="N80" s="2886"/>
      <c r="O80" s="2886" t="s">
        <v>1934</v>
      </c>
      <c r="P80" s="2886"/>
      <c r="Q80" s="2886"/>
      <c r="R80" s="2886"/>
      <c r="S80" s="2886"/>
      <c r="T80" s="2886"/>
      <c r="U80" s="2886"/>
      <c r="V80" s="2926" t="s">
        <v>2317</v>
      </c>
      <c r="W80" s="2926"/>
      <c r="X80" s="2926"/>
      <c r="Y80" s="2926"/>
      <c r="Z80" s="2926"/>
      <c r="AA80" s="2926"/>
      <c r="AB80" s="2888" t="s">
        <v>1935</v>
      </c>
      <c r="AC80" s="2888"/>
      <c r="AD80" s="2888"/>
      <c r="AE80" s="2888"/>
      <c r="AF80" s="2888"/>
      <c r="AG80" s="2888"/>
      <c r="AH80" s="2889"/>
      <c r="AI80" s="1144"/>
      <c r="AJ80" s="2908"/>
      <c r="AK80" s="2909"/>
      <c r="AL80" s="2909"/>
      <c r="AM80" s="2909"/>
      <c r="AN80" s="2909"/>
      <c r="AO80" s="2909"/>
      <c r="AP80" s="2909"/>
      <c r="AQ80" s="2909"/>
      <c r="AR80" s="2909"/>
      <c r="AS80" s="2909"/>
      <c r="AT80" s="2909"/>
      <c r="AU80" s="2909"/>
      <c r="AV80" s="2909"/>
      <c r="AW80" s="2909"/>
      <c r="AX80" s="2909"/>
      <c r="AY80" s="2914"/>
      <c r="AZ80" s="2914"/>
      <c r="BA80" s="2914"/>
      <c r="BB80" s="2915"/>
      <c r="BC80" s="1144"/>
      <c r="BD80" s="1144"/>
      <c r="BE80" s="1150"/>
    </row>
    <row r="81" spans="1:57" ht="15.75" customHeight="1" thickBot="1">
      <c r="A81" s="1144"/>
      <c r="B81" s="2921"/>
      <c r="C81" s="2922"/>
      <c r="D81" s="2922"/>
      <c r="E81" s="2922"/>
      <c r="F81" s="2922"/>
      <c r="G81" s="2922"/>
      <c r="H81" s="2923"/>
      <c r="I81" s="2924"/>
      <c r="J81" s="2925"/>
      <c r="K81" s="2925"/>
      <c r="L81" s="2925"/>
      <c r="M81" s="2925"/>
      <c r="N81" s="2925"/>
      <c r="O81" s="2925"/>
      <c r="P81" s="2925"/>
      <c r="Q81" s="2925"/>
      <c r="R81" s="2925"/>
      <c r="S81" s="2925"/>
      <c r="T81" s="2925"/>
      <c r="U81" s="2925"/>
      <c r="V81" s="2927"/>
      <c r="W81" s="2927"/>
      <c r="X81" s="2927"/>
      <c r="Y81" s="2927"/>
      <c r="Z81" s="2927"/>
      <c r="AA81" s="2927"/>
      <c r="AB81" s="2864"/>
      <c r="AC81" s="2864"/>
      <c r="AD81" s="2864"/>
      <c r="AE81" s="2864"/>
      <c r="AF81" s="2864"/>
      <c r="AG81" s="2864"/>
      <c r="AH81" s="2928"/>
      <c r="AI81" s="1144"/>
      <c r="AJ81" s="2908"/>
      <c r="AK81" s="2909"/>
      <c r="AL81" s="2909"/>
      <c r="AM81" s="2909"/>
      <c r="AN81" s="2909"/>
      <c r="AO81" s="2909"/>
      <c r="AP81" s="2909"/>
      <c r="AQ81" s="2909"/>
      <c r="AR81" s="2909"/>
      <c r="AS81" s="2909"/>
      <c r="AT81" s="2909"/>
      <c r="AU81" s="2909"/>
      <c r="AV81" s="2909"/>
      <c r="AW81" s="2909"/>
      <c r="AX81" s="2909"/>
      <c r="AY81" s="2914"/>
      <c r="AZ81" s="2914"/>
      <c r="BA81" s="2914"/>
      <c r="BB81" s="2915"/>
      <c r="BC81" s="1144"/>
      <c r="BD81" s="1144"/>
      <c r="BE81" s="1150"/>
    </row>
    <row r="82" spans="1:57" ht="15.75" customHeight="1" thickBot="1">
      <c r="A82" s="1144"/>
      <c r="B82" s="2704" t="s">
        <v>2297</v>
      </c>
      <c r="C82" s="2705"/>
      <c r="D82" s="2705"/>
      <c r="E82" s="2705"/>
      <c r="F82" s="2705"/>
      <c r="G82" s="2705"/>
      <c r="H82" s="2706"/>
      <c r="I82" s="2929"/>
      <c r="J82" s="2930"/>
      <c r="K82" s="2930"/>
      <c r="L82" s="2930"/>
      <c r="M82" s="2930"/>
      <c r="N82" s="2930"/>
      <c r="O82" s="2930"/>
      <c r="P82" s="2930"/>
      <c r="Q82" s="2930"/>
      <c r="R82" s="2930"/>
      <c r="S82" s="2930"/>
      <c r="T82" s="2930"/>
      <c r="U82" s="2930"/>
      <c r="V82" s="2930"/>
      <c r="W82" s="2930"/>
      <c r="X82" s="2930"/>
      <c r="Y82" s="2930"/>
      <c r="Z82" s="2930"/>
      <c r="AA82" s="2944"/>
      <c r="AB82" s="2945"/>
      <c r="AC82" s="2945"/>
      <c r="AD82" s="2945"/>
      <c r="AE82" s="2945"/>
      <c r="AF82" s="2945"/>
      <c r="AG82" s="2945"/>
      <c r="AH82" s="2946"/>
      <c r="AI82" s="1144"/>
      <c r="AJ82" s="2910"/>
      <c r="AK82" s="2911"/>
      <c r="AL82" s="2911"/>
      <c r="AM82" s="2911"/>
      <c r="AN82" s="2911"/>
      <c r="AO82" s="2911"/>
      <c r="AP82" s="2911"/>
      <c r="AQ82" s="2911"/>
      <c r="AR82" s="2911"/>
      <c r="AS82" s="2911"/>
      <c r="AT82" s="2911"/>
      <c r="AU82" s="2911"/>
      <c r="AV82" s="2911"/>
      <c r="AW82" s="2911"/>
      <c r="AX82" s="2911"/>
      <c r="AY82" s="2916"/>
      <c r="AZ82" s="2916"/>
      <c r="BA82" s="2916"/>
      <c r="BB82" s="2917"/>
      <c r="BC82" s="1144"/>
      <c r="BD82" s="1144"/>
      <c r="BE82" s="1150"/>
    </row>
    <row r="83" spans="1:57" ht="15.75" customHeight="1" thickBot="1">
      <c r="A83" s="1144"/>
      <c r="B83" s="2704" t="s">
        <v>2298</v>
      </c>
      <c r="C83" s="2705"/>
      <c r="D83" s="2705"/>
      <c r="E83" s="2705"/>
      <c r="F83" s="2705"/>
      <c r="G83" s="2705"/>
      <c r="H83" s="2706"/>
      <c r="I83" s="2929"/>
      <c r="J83" s="2930"/>
      <c r="K83" s="2930"/>
      <c r="L83" s="2930"/>
      <c r="M83" s="2930"/>
      <c r="N83" s="2930"/>
      <c r="O83" s="2930"/>
      <c r="P83" s="2930"/>
      <c r="Q83" s="2930"/>
      <c r="R83" s="2930"/>
      <c r="S83" s="2930"/>
      <c r="T83" s="2930"/>
      <c r="U83" s="2930"/>
      <c r="V83" s="2930"/>
      <c r="W83" s="2930"/>
      <c r="X83" s="2930"/>
      <c r="Y83" s="2930"/>
      <c r="Z83" s="2930"/>
      <c r="AA83" s="2944"/>
      <c r="AB83" s="2945"/>
      <c r="AC83" s="2945"/>
      <c r="AD83" s="2945"/>
      <c r="AE83" s="2945"/>
      <c r="AF83" s="2945"/>
      <c r="AG83" s="2945"/>
      <c r="AH83" s="2946"/>
      <c r="AI83" s="1144"/>
      <c r="AJ83" s="2931" t="s">
        <v>2318</v>
      </c>
      <c r="AK83" s="2932"/>
      <c r="AL83" s="2932"/>
      <c r="AM83" s="2932"/>
      <c r="AN83" s="2932"/>
      <c r="AO83" s="2932"/>
      <c r="AP83" s="2932"/>
      <c r="AQ83" s="2932"/>
      <c r="AR83" s="2932"/>
      <c r="AS83" s="2932"/>
      <c r="AT83" s="2932"/>
      <c r="AU83" s="2932"/>
      <c r="AV83" s="2932"/>
      <c r="AW83" s="2932"/>
      <c r="AX83" s="2932"/>
      <c r="AY83" s="2932"/>
      <c r="AZ83" s="2932"/>
      <c r="BA83" s="2932"/>
      <c r="BB83" s="2933"/>
      <c r="BC83" s="1144"/>
      <c r="BD83" s="1144"/>
      <c r="BE83" s="1150"/>
    </row>
    <row r="84" spans="1:57" ht="15.75" customHeight="1" thickBot="1">
      <c r="A84" s="1144"/>
      <c r="B84" s="2937" t="s">
        <v>1936</v>
      </c>
      <c r="C84" s="2938"/>
      <c r="D84" s="2938"/>
      <c r="E84" s="2938"/>
      <c r="F84" s="2938"/>
      <c r="G84" s="2938"/>
      <c r="H84" s="2939"/>
      <c r="I84" s="2940"/>
      <c r="J84" s="2941"/>
      <c r="K84" s="2941"/>
      <c r="L84" s="2941"/>
      <c r="M84" s="2941"/>
      <c r="N84" s="2941"/>
      <c r="O84" s="2941"/>
      <c r="P84" s="2941"/>
      <c r="Q84" s="2941"/>
      <c r="R84" s="2941"/>
      <c r="S84" s="2941"/>
      <c r="T84" s="2941"/>
      <c r="U84" s="2941"/>
      <c r="V84" s="2941"/>
      <c r="W84" s="2941"/>
      <c r="X84" s="2941"/>
      <c r="Y84" s="2941"/>
      <c r="Z84" s="2941"/>
      <c r="AA84" s="2942"/>
      <c r="AB84" s="2941"/>
      <c r="AC84" s="2941"/>
      <c r="AD84" s="2941"/>
      <c r="AE84" s="2941"/>
      <c r="AF84" s="2941"/>
      <c r="AG84" s="2941"/>
      <c r="AH84" s="2943"/>
      <c r="AI84" s="1144"/>
      <c r="AJ84" s="2934"/>
      <c r="AK84" s="2935"/>
      <c r="AL84" s="2935"/>
      <c r="AM84" s="2935"/>
      <c r="AN84" s="2935"/>
      <c r="AO84" s="2935"/>
      <c r="AP84" s="2935"/>
      <c r="AQ84" s="2935"/>
      <c r="AR84" s="2935"/>
      <c r="AS84" s="2935"/>
      <c r="AT84" s="2935"/>
      <c r="AU84" s="2935"/>
      <c r="AV84" s="2935"/>
      <c r="AW84" s="2935"/>
      <c r="AX84" s="2935"/>
      <c r="AY84" s="2935"/>
      <c r="AZ84" s="2935"/>
      <c r="BA84" s="2935"/>
      <c r="BB84" s="2936"/>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1937</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918" t="s">
        <v>1938</v>
      </c>
      <c r="C88" s="2919"/>
      <c r="D88" s="2919"/>
      <c r="E88" s="2919"/>
      <c r="F88" s="2919"/>
      <c r="G88" s="2919"/>
      <c r="H88" s="2919"/>
      <c r="I88" s="2919"/>
      <c r="J88" s="2919"/>
      <c r="K88" s="2919"/>
      <c r="L88" s="2919"/>
      <c r="M88" s="2919"/>
      <c r="N88" s="2919"/>
      <c r="O88" s="2919"/>
      <c r="P88" s="2919"/>
      <c r="Q88" s="2919"/>
      <c r="R88" s="2919"/>
      <c r="S88" s="2919"/>
      <c r="T88" s="2919"/>
      <c r="U88" s="2919"/>
      <c r="V88" s="2919"/>
      <c r="W88" s="2919"/>
      <c r="X88" s="2919"/>
      <c r="Y88" s="2919"/>
      <c r="Z88" s="2919"/>
      <c r="AA88" s="2919"/>
      <c r="AB88" s="2919"/>
      <c r="AC88" s="2919"/>
      <c r="AD88" s="2919"/>
      <c r="AE88" s="2919"/>
      <c r="AF88" s="2919"/>
      <c r="AG88" s="2919"/>
      <c r="AH88" s="2920"/>
      <c r="AI88" s="1144"/>
      <c r="AJ88" s="2906" t="s">
        <v>2319</v>
      </c>
      <c r="AK88" s="2907"/>
      <c r="AL88" s="2907"/>
      <c r="AM88" s="2907"/>
      <c r="AN88" s="2907"/>
      <c r="AO88" s="2907"/>
      <c r="AP88" s="2907"/>
      <c r="AQ88" s="2907"/>
      <c r="AR88" s="2907"/>
      <c r="AS88" s="2907"/>
      <c r="AT88" s="2907"/>
      <c r="AU88" s="2907"/>
      <c r="AV88" s="2907"/>
      <c r="AW88" s="2907"/>
      <c r="AX88" s="2907"/>
      <c r="AY88" s="2912" t="s">
        <v>1884</v>
      </c>
      <c r="AZ88" s="2912"/>
      <c r="BA88" s="2912"/>
      <c r="BB88" s="2913"/>
      <c r="BC88" s="1144"/>
      <c r="BD88" s="1144"/>
      <c r="BE88" s="1150"/>
    </row>
    <row r="89" spans="1:57" ht="16.5" customHeight="1">
      <c r="A89" s="1144"/>
      <c r="B89" s="2918"/>
      <c r="C89" s="2919"/>
      <c r="D89" s="2919"/>
      <c r="E89" s="2919"/>
      <c r="F89" s="2919"/>
      <c r="G89" s="2919"/>
      <c r="H89" s="2919"/>
      <c r="I89" s="2885" t="s">
        <v>1933</v>
      </c>
      <c r="J89" s="2886"/>
      <c r="K89" s="2886"/>
      <c r="L89" s="2886"/>
      <c r="M89" s="2886"/>
      <c r="N89" s="2886"/>
      <c r="O89" s="2886" t="s">
        <v>1934</v>
      </c>
      <c r="P89" s="2886"/>
      <c r="Q89" s="2886"/>
      <c r="R89" s="2886"/>
      <c r="S89" s="2886"/>
      <c r="T89" s="2886"/>
      <c r="U89" s="2886"/>
      <c r="V89" s="2926" t="s">
        <v>2317</v>
      </c>
      <c r="W89" s="2926"/>
      <c r="X89" s="2926"/>
      <c r="Y89" s="2926"/>
      <c r="Z89" s="2926"/>
      <c r="AA89" s="2926"/>
      <c r="AB89" s="2888" t="s">
        <v>1935</v>
      </c>
      <c r="AC89" s="2888"/>
      <c r="AD89" s="2888"/>
      <c r="AE89" s="2888"/>
      <c r="AF89" s="2888"/>
      <c r="AG89" s="2888"/>
      <c r="AH89" s="2889"/>
      <c r="AI89" s="1144"/>
      <c r="AJ89" s="2908"/>
      <c r="AK89" s="2909"/>
      <c r="AL89" s="2909"/>
      <c r="AM89" s="2909"/>
      <c r="AN89" s="2909"/>
      <c r="AO89" s="2909"/>
      <c r="AP89" s="2909"/>
      <c r="AQ89" s="2909"/>
      <c r="AR89" s="2909"/>
      <c r="AS89" s="2909"/>
      <c r="AT89" s="2909"/>
      <c r="AU89" s="2909"/>
      <c r="AV89" s="2909"/>
      <c r="AW89" s="2909"/>
      <c r="AX89" s="2909"/>
      <c r="AY89" s="2914"/>
      <c r="AZ89" s="2914"/>
      <c r="BA89" s="2914"/>
      <c r="BB89" s="2915"/>
      <c r="BC89" s="1144"/>
      <c r="BD89" s="1144"/>
      <c r="BE89" s="1150"/>
    </row>
    <row r="90" spans="1:57" ht="16.5" customHeight="1" thickBot="1">
      <c r="A90" s="1144"/>
      <c r="B90" s="2921"/>
      <c r="C90" s="2922"/>
      <c r="D90" s="2922"/>
      <c r="E90" s="2922"/>
      <c r="F90" s="2922"/>
      <c r="G90" s="2922"/>
      <c r="H90" s="2922"/>
      <c r="I90" s="2924"/>
      <c r="J90" s="2925"/>
      <c r="K90" s="2925"/>
      <c r="L90" s="2925"/>
      <c r="M90" s="2925"/>
      <c r="N90" s="2925"/>
      <c r="O90" s="2925"/>
      <c r="P90" s="2925"/>
      <c r="Q90" s="2925"/>
      <c r="R90" s="2925"/>
      <c r="S90" s="2925"/>
      <c r="T90" s="2925"/>
      <c r="U90" s="2925"/>
      <c r="V90" s="2927"/>
      <c r="W90" s="2927"/>
      <c r="X90" s="2927"/>
      <c r="Y90" s="2927"/>
      <c r="Z90" s="2927"/>
      <c r="AA90" s="2927"/>
      <c r="AB90" s="2864"/>
      <c r="AC90" s="2864"/>
      <c r="AD90" s="2864"/>
      <c r="AE90" s="2864"/>
      <c r="AF90" s="2864"/>
      <c r="AG90" s="2864"/>
      <c r="AH90" s="2928"/>
      <c r="AI90" s="1144"/>
      <c r="AJ90" s="2908"/>
      <c r="AK90" s="2909"/>
      <c r="AL90" s="2909"/>
      <c r="AM90" s="2909"/>
      <c r="AN90" s="2909"/>
      <c r="AO90" s="2909"/>
      <c r="AP90" s="2909"/>
      <c r="AQ90" s="2909"/>
      <c r="AR90" s="2909"/>
      <c r="AS90" s="2909"/>
      <c r="AT90" s="2909"/>
      <c r="AU90" s="2909"/>
      <c r="AV90" s="2909"/>
      <c r="AW90" s="2909"/>
      <c r="AX90" s="2909"/>
      <c r="AY90" s="2914"/>
      <c r="AZ90" s="2914"/>
      <c r="BA90" s="2914"/>
      <c r="BB90" s="2915"/>
      <c r="BC90" s="1144"/>
      <c r="BD90" s="1144"/>
      <c r="BE90" s="1150"/>
    </row>
    <row r="91" spans="1:57" ht="15.75" customHeight="1" thickBot="1">
      <c r="A91" s="1144"/>
      <c r="B91" s="2704" t="s">
        <v>2297</v>
      </c>
      <c r="C91" s="2705"/>
      <c r="D91" s="2705"/>
      <c r="E91" s="2705"/>
      <c r="F91" s="2705"/>
      <c r="G91" s="2705"/>
      <c r="H91" s="2705"/>
      <c r="I91" s="2929"/>
      <c r="J91" s="2930"/>
      <c r="K91" s="2930"/>
      <c r="L91" s="2930"/>
      <c r="M91" s="2930"/>
      <c r="N91" s="2930"/>
      <c r="O91" s="2930"/>
      <c r="P91" s="2930"/>
      <c r="Q91" s="2930"/>
      <c r="R91" s="2930"/>
      <c r="S91" s="2930"/>
      <c r="T91" s="2930"/>
      <c r="U91" s="2930"/>
      <c r="V91" s="2930"/>
      <c r="W91" s="2930"/>
      <c r="X91" s="2930"/>
      <c r="Y91" s="2930"/>
      <c r="Z91" s="2930"/>
      <c r="AA91" s="2944"/>
      <c r="AB91" s="2881"/>
      <c r="AC91" s="2881"/>
      <c r="AD91" s="2881"/>
      <c r="AE91" s="2881"/>
      <c r="AF91" s="2881"/>
      <c r="AG91" s="2881"/>
      <c r="AH91" s="2882"/>
      <c r="AI91" s="1144"/>
      <c r="AJ91" s="2910"/>
      <c r="AK91" s="2911"/>
      <c r="AL91" s="2911"/>
      <c r="AM91" s="2911"/>
      <c r="AN91" s="2911"/>
      <c r="AO91" s="2911"/>
      <c r="AP91" s="2911"/>
      <c r="AQ91" s="2911"/>
      <c r="AR91" s="2911"/>
      <c r="AS91" s="2911"/>
      <c r="AT91" s="2911"/>
      <c r="AU91" s="2911"/>
      <c r="AV91" s="2911"/>
      <c r="AW91" s="2911"/>
      <c r="AX91" s="2911"/>
      <c r="AY91" s="2916"/>
      <c r="AZ91" s="2916"/>
      <c r="BA91" s="2916"/>
      <c r="BB91" s="2917"/>
      <c r="BC91" s="1144"/>
      <c r="BD91" s="1144"/>
      <c r="BE91" s="1150"/>
    </row>
    <row r="92" spans="1:57" ht="15.75" customHeight="1" thickBot="1">
      <c r="A92" s="1144"/>
      <c r="B92" s="2704" t="s">
        <v>2298</v>
      </c>
      <c r="C92" s="2705"/>
      <c r="D92" s="2705"/>
      <c r="E92" s="2705"/>
      <c r="F92" s="2705"/>
      <c r="G92" s="2705"/>
      <c r="H92" s="2705"/>
      <c r="I92" s="2929"/>
      <c r="J92" s="2930"/>
      <c r="K92" s="2930"/>
      <c r="L92" s="2930"/>
      <c r="M92" s="2930"/>
      <c r="N92" s="2930"/>
      <c r="O92" s="2930"/>
      <c r="P92" s="2930"/>
      <c r="Q92" s="2930"/>
      <c r="R92" s="2930"/>
      <c r="S92" s="2930"/>
      <c r="T92" s="2930"/>
      <c r="U92" s="2930"/>
      <c r="V92" s="2930"/>
      <c r="W92" s="2930"/>
      <c r="X92" s="2930"/>
      <c r="Y92" s="2930"/>
      <c r="Z92" s="2930"/>
      <c r="AA92" s="2944"/>
      <c r="AB92" s="2881"/>
      <c r="AC92" s="2881"/>
      <c r="AD92" s="2881"/>
      <c r="AE92" s="2881"/>
      <c r="AF92" s="2881"/>
      <c r="AG92" s="2881"/>
      <c r="AH92" s="2882"/>
      <c r="AI92" s="1144"/>
      <c r="AJ92" s="2931" t="s">
        <v>2318</v>
      </c>
      <c r="AK92" s="2932"/>
      <c r="AL92" s="2932"/>
      <c r="AM92" s="2932"/>
      <c r="AN92" s="2932"/>
      <c r="AO92" s="2932"/>
      <c r="AP92" s="2932"/>
      <c r="AQ92" s="2932"/>
      <c r="AR92" s="2932"/>
      <c r="AS92" s="2932"/>
      <c r="AT92" s="2932"/>
      <c r="AU92" s="2932"/>
      <c r="AV92" s="2932"/>
      <c r="AW92" s="2932"/>
      <c r="AX92" s="2932"/>
      <c r="AY92" s="2932"/>
      <c r="AZ92" s="2932"/>
      <c r="BA92" s="2932"/>
      <c r="BB92" s="2933"/>
      <c r="BC92" s="1144"/>
      <c r="BD92" s="1144"/>
      <c r="BE92" s="1150"/>
    </row>
    <row r="93" spans="1:57" ht="15.75" customHeight="1" thickBot="1">
      <c r="A93" s="1144"/>
      <c r="B93" s="2937" t="s">
        <v>1936</v>
      </c>
      <c r="C93" s="2938"/>
      <c r="D93" s="2938"/>
      <c r="E93" s="2938"/>
      <c r="F93" s="2938"/>
      <c r="G93" s="2938"/>
      <c r="H93" s="2947"/>
      <c r="I93" s="2940"/>
      <c r="J93" s="2941"/>
      <c r="K93" s="2941"/>
      <c r="L93" s="2941"/>
      <c r="M93" s="2941"/>
      <c r="N93" s="2941"/>
      <c r="O93" s="2941"/>
      <c r="P93" s="2941"/>
      <c r="Q93" s="2941"/>
      <c r="R93" s="2941"/>
      <c r="S93" s="2941"/>
      <c r="T93" s="2941"/>
      <c r="U93" s="2941"/>
      <c r="V93" s="2941"/>
      <c r="W93" s="2941"/>
      <c r="X93" s="2941"/>
      <c r="Y93" s="2941"/>
      <c r="Z93" s="2941"/>
      <c r="AA93" s="2942"/>
      <c r="AB93" s="2822"/>
      <c r="AC93" s="2822"/>
      <c r="AD93" s="2822"/>
      <c r="AE93" s="2822"/>
      <c r="AF93" s="2822"/>
      <c r="AG93" s="2822"/>
      <c r="AH93" s="2823"/>
      <c r="AI93" s="1144"/>
      <c r="AJ93" s="2934"/>
      <c r="AK93" s="2935"/>
      <c r="AL93" s="2935"/>
      <c r="AM93" s="2935"/>
      <c r="AN93" s="2935"/>
      <c r="AO93" s="2935"/>
      <c r="AP93" s="2935"/>
      <c r="AQ93" s="2935"/>
      <c r="AR93" s="2935"/>
      <c r="AS93" s="2935"/>
      <c r="AT93" s="2935"/>
      <c r="AU93" s="2935"/>
      <c r="AV93" s="2935"/>
      <c r="AW93" s="2935"/>
      <c r="AX93" s="2935"/>
      <c r="AY93" s="2935"/>
      <c r="AZ93" s="2935"/>
      <c r="BA93" s="2935"/>
      <c r="BB93" s="2936"/>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255</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1939</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968" t="s">
        <v>2299</v>
      </c>
      <c r="Y96" s="2969"/>
      <c r="Z96" s="2969"/>
      <c r="AA96" s="2969"/>
      <c r="AB96" s="2969"/>
      <c r="AC96" s="2969"/>
      <c r="AD96" s="2969"/>
      <c r="AE96" s="2969"/>
      <c r="AF96" s="2969"/>
      <c r="AG96" s="2969"/>
      <c r="AH96" s="2969"/>
      <c r="AI96" s="2969"/>
      <c r="AJ96" s="2969"/>
      <c r="AK96" s="2969"/>
      <c r="AL96" s="2969"/>
      <c r="AM96" s="2969"/>
      <c r="AN96" s="2969"/>
      <c r="AO96" s="2969"/>
      <c r="AP96" s="2969"/>
      <c r="AQ96" s="2969"/>
      <c r="AR96" s="2969"/>
      <c r="AS96" s="2969"/>
      <c r="AT96" s="2969"/>
      <c r="AU96" s="2969"/>
      <c r="AV96" s="2969"/>
      <c r="AW96" s="2969"/>
      <c r="AX96" s="2969"/>
      <c r="AY96" s="2969"/>
      <c r="AZ96" s="2969"/>
      <c r="BA96" s="2969"/>
      <c r="BB96" s="2969"/>
      <c r="BC96" s="2969"/>
      <c r="BD96" s="2970"/>
      <c r="BE96" s="1150"/>
    </row>
    <row r="97" spans="1:57" ht="15.75" customHeight="1" thickBot="1">
      <c r="A97" s="1144"/>
      <c r="B97" s="2704" t="s">
        <v>1775</v>
      </c>
      <c r="C97" s="2705"/>
      <c r="D97" s="2705"/>
      <c r="E97" s="2705"/>
      <c r="F97" s="2705"/>
      <c r="G97" s="2705"/>
      <c r="H97" s="2705"/>
      <c r="I97" s="2705"/>
      <c r="J97" s="2705"/>
      <c r="K97" s="2705"/>
      <c r="L97" s="2705"/>
      <c r="M97" s="2705"/>
      <c r="N97" s="2705"/>
      <c r="O97" s="2705"/>
      <c r="P97" s="2705"/>
      <c r="Q97" s="2705"/>
      <c r="R97" s="2705"/>
      <c r="S97" s="2705"/>
      <c r="T97" s="2705"/>
      <c r="U97" s="2706"/>
      <c r="V97" s="1144"/>
      <c r="W97" s="1144"/>
      <c r="X97" s="2971"/>
      <c r="Y97" s="2972"/>
      <c r="Z97" s="2972"/>
      <c r="AA97" s="2972"/>
      <c r="AB97" s="2972"/>
      <c r="AC97" s="2972"/>
      <c r="AD97" s="2972"/>
      <c r="AE97" s="2972"/>
      <c r="AF97" s="2972"/>
      <c r="AG97" s="2972"/>
      <c r="AH97" s="2972"/>
      <c r="AI97" s="2972"/>
      <c r="AJ97" s="2972"/>
      <c r="AK97" s="2972"/>
      <c r="AL97" s="2972"/>
      <c r="AM97" s="2972"/>
      <c r="AN97" s="2972"/>
      <c r="AO97" s="2972"/>
      <c r="AP97" s="2972"/>
      <c r="AQ97" s="2972"/>
      <c r="AR97" s="2972"/>
      <c r="AS97" s="2972"/>
      <c r="AT97" s="2972"/>
      <c r="AU97" s="2972"/>
      <c r="AV97" s="2972"/>
      <c r="AW97" s="2972"/>
      <c r="AX97" s="2972"/>
      <c r="AY97" s="2972"/>
      <c r="AZ97" s="2972"/>
      <c r="BA97" s="2972"/>
      <c r="BB97" s="2972"/>
      <c r="BC97" s="2972"/>
      <c r="BD97" s="2973"/>
      <c r="BE97" s="1150"/>
    </row>
    <row r="98" spans="1:57" ht="15.75" customHeight="1" thickBot="1">
      <c r="A98" s="1144"/>
      <c r="B98" s="2704"/>
      <c r="C98" s="2705"/>
      <c r="D98" s="2705"/>
      <c r="E98" s="2705"/>
      <c r="F98" s="2705"/>
      <c r="G98" s="2705"/>
      <c r="H98" s="2706"/>
      <c r="I98" s="2704" t="s">
        <v>2300</v>
      </c>
      <c r="J98" s="2705"/>
      <c r="K98" s="2705"/>
      <c r="L98" s="2705"/>
      <c r="M98" s="2705"/>
      <c r="N98" s="2706"/>
      <c r="O98" s="2974" t="s">
        <v>2301</v>
      </c>
      <c r="P98" s="2975"/>
      <c r="Q98" s="2975"/>
      <c r="R98" s="2975"/>
      <c r="S98" s="2975"/>
      <c r="T98" s="2975"/>
      <c r="U98" s="2976"/>
      <c r="V98" s="1144"/>
      <c r="W98" s="1144"/>
      <c r="X98" s="2890" t="s">
        <v>2315</v>
      </c>
      <c r="Y98" s="2891"/>
      <c r="Z98" s="2891"/>
      <c r="AA98" s="2891"/>
      <c r="AB98" s="2891"/>
      <c r="AC98" s="2891"/>
      <c r="AD98" s="2891"/>
      <c r="AE98" s="2891"/>
      <c r="AF98" s="2891"/>
      <c r="AG98" s="2891"/>
      <c r="AH98" s="2891"/>
      <c r="AI98" s="2891"/>
      <c r="AJ98" s="2891"/>
      <c r="AK98" s="2891"/>
      <c r="AL98" s="2891"/>
      <c r="AM98" s="2891"/>
      <c r="AN98" s="2891"/>
      <c r="AO98" s="2891"/>
      <c r="AP98" s="2891"/>
      <c r="AQ98" s="2891"/>
      <c r="AR98" s="2891"/>
      <c r="AS98" s="2891"/>
      <c r="AT98" s="2891"/>
      <c r="AU98" s="2891"/>
      <c r="AV98" s="2891"/>
      <c r="AW98" s="2891"/>
      <c r="AX98" s="2891"/>
      <c r="AY98" s="2891"/>
      <c r="AZ98" s="2891"/>
      <c r="BA98" s="2891"/>
      <c r="BB98" s="2891"/>
      <c r="BC98" s="2891"/>
      <c r="BD98" s="2892"/>
      <c r="BE98" s="1150"/>
    </row>
    <row r="99" spans="1:57" ht="15.75" customHeight="1" thickBot="1">
      <c r="A99" s="1144"/>
      <c r="B99" s="2977" t="s">
        <v>2302</v>
      </c>
      <c r="C99" s="2978"/>
      <c r="D99" s="2978"/>
      <c r="E99" s="2978"/>
      <c r="F99" s="2978"/>
      <c r="G99" s="2978"/>
      <c r="H99" s="2979"/>
      <c r="I99" s="2980"/>
      <c r="J99" s="2930"/>
      <c r="K99" s="2930"/>
      <c r="L99" s="2930"/>
      <c r="M99" s="2930"/>
      <c r="N99" s="2930"/>
      <c r="O99" s="2930"/>
      <c r="P99" s="2930"/>
      <c r="Q99" s="2930"/>
      <c r="R99" s="2930"/>
      <c r="S99" s="2930"/>
      <c r="T99" s="2930"/>
      <c r="U99" s="2981"/>
      <c r="V99" s="1144"/>
      <c r="W99" s="1144"/>
      <c r="X99" s="2890"/>
      <c r="Y99" s="2891"/>
      <c r="Z99" s="2891"/>
      <c r="AA99" s="2891"/>
      <c r="AB99" s="2891"/>
      <c r="AC99" s="2891"/>
      <c r="AD99" s="2891"/>
      <c r="AE99" s="2891"/>
      <c r="AF99" s="2891"/>
      <c r="AG99" s="2891"/>
      <c r="AH99" s="2891"/>
      <c r="AI99" s="2891"/>
      <c r="AJ99" s="2891"/>
      <c r="AK99" s="2891"/>
      <c r="AL99" s="2891"/>
      <c r="AM99" s="2891"/>
      <c r="AN99" s="2891"/>
      <c r="AO99" s="2891"/>
      <c r="AP99" s="2891"/>
      <c r="AQ99" s="2891"/>
      <c r="AR99" s="2891"/>
      <c r="AS99" s="2891"/>
      <c r="AT99" s="2891"/>
      <c r="AU99" s="2891"/>
      <c r="AV99" s="2891"/>
      <c r="AW99" s="2891"/>
      <c r="AX99" s="2891"/>
      <c r="AY99" s="2891"/>
      <c r="AZ99" s="2891"/>
      <c r="BA99" s="2891"/>
      <c r="BB99" s="2891"/>
      <c r="BC99" s="2891"/>
      <c r="BD99" s="2892"/>
      <c r="BE99" s="1150"/>
    </row>
    <row r="100" spans="1:57" ht="15.75" customHeight="1" thickBot="1">
      <c r="A100" s="1144"/>
      <c r="B100" s="2977" t="s">
        <v>2303</v>
      </c>
      <c r="C100" s="2978"/>
      <c r="D100" s="2978"/>
      <c r="E100" s="2978"/>
      <c r="F100" s="2978"/>
      <c r="G100" s="2978"/>
      <c r="H100" s="2979"/>
      <c r="I100" s="2948"/>
      <c r="J100" s="2941"/>
      <c r="K100" s="2941"/>
      <c r="L100" s="2941"/>
      <c r="M100" s="2941"/>
      <c r="N100" s="2941"/>
      <c r="O100" s="2949"/>
      <c r="P100" s="2949"/>
      <c r="Q100" s="2949"/>
      <c r="R100" s="2949"/>
      <c r="S100" s="2949"/>
      <c r="T100" s="2949"/>
      <c r="U100" s="2950"/>
      <c r="V100" s="1144"/>
      <c r="W100" s="1144"/>
      <c r="X100" s="2890"/>
      <c r="Y100" s="2891"/>
      <c r="Z100" s="2891"/>
      <c r="AA100" s="2891"/>
      <c r="AB100" s="2891"/>
      <c r="AC100" s="2891"/>
      <c r="AD100" s="2891"/>
      <c r="AE100" s="2891"/>
      <c r="AF100" s="2891"/>
      <c r="AG100" s="2891"/>
      <c r="AH100" s="2891"/>
      <c r="AI100" s="2891"/>
      <c r="AJ100" s="2891"/>
      <c r="AK100" s="2891"/>
      <c r="AL100" s="2891"/>
      <c r="AM100" s="2891"/>
      <c r="AN100" s="2891"/>
      <c r="AO100" s="2891"/>
      <c r="AP100" s="2891"/>
      <c r="AQ100" s="2891"/>
      <c r="AR100" s="2891"/>
      <c r="AS100" s="2891"/>
      <c r="AT100" s="2891"/>
      <c r="AU100" s="2891"/>
      <c r="AV100" s="2891"/>
      <c r="AW100" s="2891"/>
      <c r="AX100" s="2891"/>
      <c r="AY100" s="2891"/>
      <c r="AZ100" s="2891"/>
      <c r="BA100" s="2891"/>
      <c r="BB100" s="2891"/>
      <c r="BC100" s="2891"/>
      <c r="BD100" s="2892"/>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0"/>
      <c r="Y101" s="2891"/>
      <c r="Z101" s="2891"/>
      <c r="AA101" s="2891"/>
      <c r="AB101" s="2891"/>
      <c r="AC101" s="2891"/>
      <c r="AD101" s="2891"/>
      <c r="AE101" s="2891"/>
      <c r="AF101" s="2891"/>
      <c r="AG101" s="2891"/>
      <c r="AH101" s="2891"/>
      <c r="AI101" s="2891"/>
      <c r="AJ101" s="2891"/>
      <c r="AK101" s="2891"/>
      <c r="AL101" s="2891"/>
      <c r="AM101" s="2891"/>
      <c r="AN101" s="2891"/>
      <c r="AO101" s="2891"/>
      <c r="AP101" s="2891"/>
      <c r="AQ101" s="2891"/>
      <c r="AR101" s="2891"/>
      <c r="AS101" s="2891"/>
      <c r="AT101" s="2891"/>
      <c r="AU101" s="2891"/>
      <c r="AV101" s="2891"/>
      <c r="AW101" s="2891"/>
      <c r="AX101" s="2891"/>
      <c r="AY101" s="2891"/>
      <c r="AZ101" s="2891"/>
      <c r="BA101" s="2891"/>
      <c r="BB101" s="2891"/>
      <c r="BC101" s="2891"/>
      <c r="BD101" s="2892"/>
      <c r="BE101" s="1150"/>
    </row>
    <row r="102" spans="1:57" ht="15.75" customHeight="1">
      <c r="A102" s="1144"/>
      <c r="B102" s="1155" t="s">
        <v>1940</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255</v>
      </c>
      <c r="W102" s="1144"/>
      <c r="X102" s="2890"/>
      <c r="Y102" s="2891"/>
      <c r="Z102" s="2891"/>
      <c r="AA102" s="2891"/>
      <c r="AB102" s="2891"/>
      <c r="AC102" s="2891"/>
      <c r="AD102" s="2891"/>
      <c r="AE102" s="2891"/>
      <c r="AF102" s="2891"/>
      <c r="AG102" s="2891"/>
      <c r="AH102" s="2891"/>
      <c r="AI102" s="2891"/>
      <c r="AJ102" s="2891"/>
      <c r="AK102" s="2891"/>
      <c r="AL102" s="2891"/>
      <c r="AM102" s="2891"/>
      <c r="AN102" s="2891"/>
      <c r="AO102" s="2891"/>
      <c r="AP102" s="2891"/>
      <c r="AQ102" s="2891"/>
      <c r="AR102" s="2891"/>
      <c r="AS102" s="2891"/>
      <c r="AT102" s="2891"/>
      <c r="AU102" s="2891"/>
      <c r="AV102" s="2891"/>
      <c r="AW102" s="2891"/>
      <c r="AX102" s="2891"/>
      <c r="AY102" s="2891"/>
      <c r="AZ102" s="2891"/>
      <c r="BA102" s="2891"/>
      <c r="BB102" s="2891"/>
      <c r="BC102" s="2891"/>
      <c r="BD102" s="2892"/>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0"/>
      <c r="Y103" s="2891"/>
      <c r="Z103" s="2891"/>
      <c r="AA103" s="2891"/>
      <c r="AB103" s="2891"/>
      <c r="AC103" s="2891"/>
      <c r="AD103" s="2891"/>
      <c r="AE103" s="2891"/>
      <c r="AF103" s="2891"/>
      <c r="AG103" s="2891"/>
      <c r="AH103" s="2891"/>
      <c r="AI103" s="2891"/>
      <c r="AJ103" s="2891"/>
      <c r="AK103" s="2891"/>
      <c r="AL103" s="2891"/>
      <c r="AM103" s="2891"/>
      <c r="AN103" s="2891"/>
      <c r="AO103" s="2891"/>
      <c r="AP103" s="2891"/>
      <c r="AQ103" s="2891"/>
      <c r="AR103" s="2891"/>
      <c r="AS103" s="2891"/>
      <c r="AT103" s="2891"/>
      <c r="AU103" s="2891"/>
      <c r="AV103" s="2891"/>
      <c r="AW103" s="2891"/>
      <c r="AX103" s="2891"/>
      <c r="AY103" s="2891"/>
      <c r="AZ103" s="2891"/>
      <c r="BA103" s="2891"/>
      <c r="BB103" s="2891"/>
      <c r="BC103" s="2891"/>
      <c r="BD103" s="2892"/>
      <c r="BE103" s="1150"/>
    </row>
    <row r="104" spans="1:57" ht="15.75" customHeight="1">
      <c r="A104" s="1144"/>
      <c r="B104" s="2731" t="s">
        <v>1941</v>
      </c>
      <c r="C104" s="2732"/>
      <c r="D104" s="2732"/>
      <c r="E104" s="2732"/>
      <c r="F104" s="2732"/>
      <c r="G104" s="2732"/>
      <c r="H104" s="2732"/>
      <c r="I104" s="2732"/>
      <c r="J104" s="2732"/>
      <c r="K104" s="2732"/>
      <c r="L104" s="2732"/>
      <c r="M104" s="2732"/>
      <c r="N104" s="2732"/>
      <c r="O104" s="2732"/>
      <c r="P104" s="2732"/>
      <c r="Q104" s="2732"/>
      <c r="R104" s="2732"/>
      <c r="S104" s="2732"/>
      <c r="T104" s="2732"/>
      <c r="U104" s="2951"/>
      <c r="V104" s="1144"/>
      <c r="W104" s="1144"/>
      <c r="X104" s="2890"/>
      <c r="Y104" s="2891"/>
      <c r="Z104" s="2891"/>
      <c r="AA104" s="2891"/>
      <c r="AB104" s="2891"/>
      <c r="AC104" s="2891"/>
      <c r="AD104" s="2891"/>
      <c r="AE104" s="2891"/>
      <c r="AF104" s="2891"/>
      <c r="AG104" s="2891"/>
      <c r="AH104" s="2891"/>
      <c r="AI104" s="2891"/>
      <c r="AJ104" s="2891"/>
      <c r="AK104" s="2891"/>
      <c r="AL104" s="2891"/>
      <c r="AM104" s="2891"/>
      <c r="AN104" s="2891"/>
      <c r="AO104" s="2891"/>
      <c r="AP104" s="2891"/>
      <c r="AQ104" s="2891"/>
      <c r="AR104" s="2891"/>
      <c r="AS104" s="2891"/>
      <c r="AT104" s="2891"/>
      <c r="AU104" s="2891"/>
      <c r="AV104" s="2891"/>
      <c r="AW104" s="2891"/>
      <c r="AX104" s="2891"/>
      <c r="AY104" s="2891"/>
      <c r="AZ104" s="2891"/>
      <c r="BA104" s="2891"/>
      <c r="BB104" s="2891"/>
      <c r="BC104" s="2891"/>
      <c r="BD104" s="2892"/>
      <c r="BE104" s="1150"/>
    </row>
    <row r="105" spans="1:57" ht="15.75" customHeight="1">
      <c r="A105" s="1144"/>
      <c r="B105" s="2952"/>
      <c r="C105" s="2953"/>
      <c r="D105" s="2953"/>
      <c r="E105" s="2953"/>
      <c r="F105" s="2953"/>
      <c r="G105" s="2953"/>
      <c r="H105" s="2954"/>
      <c r="I105" s="2956" t="s">
        <v>1934</v>
      </c>
      <c r="J105" s="2957"/>
      <c r="K105" s="2957"/>
      <c r="L105" s="2957"/>
      <c r="M105" s="2957"/>
      <c r="N105" s="2957"/>
      <c r="O105" s="2958"/>
      <c r="P105" s="2962" t="s">
        <v>2317</v>
      </c>
      <c r="Q105" s="2963"/>
      <c r="R105" s="2963"/>
      <c r="S105" s="2963"/>
      <c r="T105" s="2963"/>
      <c r="U105" s="2964"/>
      <c r="V105" s="1144"/>
      <c r="W105" s="1144"/>
      <c r="X105" s="2890"/>
      <c r="Y105" s="2891"/>
      <c r="Z105" s="2891"/>
      <c r="AA105" s="2891"/>
      <c r="AB105" s="2891"/>
      <c r="AC105" s="2891"/>
      <c r="AD105" s="2891"/>
      <c r="AE105" s="2891"/>
      <c r="AF105" s="2891"/>
      <c r="AG105" s="2891"/>
      <c r="AH105" s="2891"/>
      <c r="AI105" s="2891"/>
      <c r="AJ105" s="2891"/>
      <c r="AK105" s="2891"/>
      <c r="AL105" s="2891"/>
      <c r="AM105" s="2891"/>
      <c r="AN105" s="2891"/>
      <c r="AO105" s="2891"/>
      <c r="AP105" s="2891"/>
      <c r="AQ105" s="2891"/>
      <c r="AR105" s="2891"/>
      <c r="AS105" s="2891"/>
      <c r="AT105" s="2891"/>
      <c r="AU105" s="2891"/>
      <c r="AV105" s="2891"/>
      <c r="AW105" s="2891"/>
      <c r="AX105" s="2891"/>
      <c r="AY105" s="2891"/>
      <c r="AZ105" s="2891"/>
      <c r="BA105" s="2891"/>
      <c r="BB105" s="2891"/>
      <c r="BC105" s="2891"/>
      <c r="BD105" s="2892"/>
      <c r="BE105" s="1150"/>
    </row>
    <row r="106" spans="1:57" ht="15.75" customHeight="1" thickBot="1">
      <c r="A106" s="1144"/>
      <c r="B106" s="2921"/>
      <c r="C106" s="2922"/>
      <c r="D106" s="2922"/>
      <c r="E106" s="2922"/>
      <c r="F106" s="2922"/>
      <c r="G106" s="2922"/>
      <c r="H106" s="2955"/>
      <c r="I106" s="2959"/>
      <c r="J106" s="2960"/>
      <c r="K106" s="2960"/>
      <c r="L106" s="2960"/>
      <c r="M106" s="2960"/>
      <c r="N106" s="2960"/>
      <c r="O106" s="2961"/>
      <c r="P106" s="2965"/>
      <c r="Q106" s="2966"/>
      <c r="R106" s="2966"/>
      <c r="S106" s="2966"/>
      <c r="T106" s="2966"/>
      <c r="U106" s="2967"/>
      <c r="V106" s="1144"/>
      <c r="W106" s="1144"/>
      <c r="X106" s="2890"/>
      <c r="Y106" s="2891"/>
      <c r="Z106" s="2891"/>
      <c r="AA106" s="2891"/>
      <c r="AB106" s="2891"/>
      <c r="AC106" s="2891"/>
      <c r="AD106" s="2891"/>
      <c r="AE106" s="2891"/>
      <c r="AF106" s="2891"/>
      <c r="AG106" s="2891"/>
      <c r="AH106" s="2891"/>
      <c r="AI106" s="2891"/>
      <c r="AJ106" s="2891"/>
      <c r="AK106" s="2891"/>
      <c r="AL106" s="2891"/>
      <c r="AM106" s="2891"/>
      <c r="AN106" s="2891"/>
      <c r="AO106" s="2891"/>
      <c r="AP106" s="2891"/>
      <c r="AQ106" s="2891"/>
      <c r="AR106" s="2891"/>
      <c r="AS106" s="2891"/>
      <c r="AT106" s="2891"/>
      <c r="AU106" s="2891"/>
      <c r="AV106" s="2891"/>
      <c r="AW106" s="2891"/>
      <c r="AX106" s="2891"/>
      <c r="AY106" s="2891"/>
      <c r="AZ106" s="2891"/>
      <c r="BA106" s="2891"/>
      <c r="BB106" s="2891"/>
      <c r="BC106" s="2891"/>
      <c r="BD106" s="2892"/>
      <c r="BE106" s="1150"/>
    </row>
    <row r="107" spans="1:57" ht="15.75" customHeight="1" thickBot="1">
      <c r="A107" s="1144"/>
      <c r="B107" s="2977" t="s">
        <v>2302</v>
      </c>
      <c r="C107" s="2978"/>
      <c r="D107" s="2978"/>
      <c r="E107" s="2978"/>
      <c r="F107" s="2978"/>
      <c r="G107" s="2978"/>
      <c r="H107" s="2979"/>
      <c r="I107" s="2998"/>
      <c r="J107" s="2999"/>
      <c r="K107" s="2999"/>
      <c r="L107" s="2999"/>
      <c r="M107" s="2999"/>
      <c r="N107" s="2999"/>
      <c r="O107" s="3000"/>
      <c r="P107" s="2998"/>
      <c r="Q107" s="2999"/>
      <c r="R107" s="2999"/>
      <c r="S107" s="2999"/>
      <c r="T107" s="2999"/>
      <c r="U107" s="3000"/>
      <c r="V107" s="1144"/>
      <c r="W107" s="1144"/>
      <c r="X107" s="2890"/>
      <c r="Y107" s="2891"/>
      <c r="Z107" s="2891"/>
      <c r="AA107" s="2891"/>
      <c r="AB107" s="2891"/>
      <c r="AC107" s="2891"/>
      <c r="AD107" s="2891"/>
      <c r="AE107" s="2891"/>
      <c r="AF107" s="2891"/>
      <c r="AG107" s="2891"/>
      <c r="AH107" s="2891"/>
      <c r="AI107" s="2891"/>
      <c r="AJ107" s="2891"/>
      <c r="AK107" s="2891"/>
      <c r="AL107" s="2891"/>
      <c r="AM107" s="2891"/>
      <c r="AN107" s="2891"/>
      <c r="AO107" s="2891"/>
      <c r="AP107" s="2891"/>
      <c r="AQ107" s="2891"/>
      <c r="AR107" s="2891"/>
      <c r="AS107" s="2891"/>
      <c r="AT107" s="2891"/>
      <c r="AU107" s="2891"/>
      <c r="AV107" s="2891"/>
      <c r="AW107" s="2891"/>
      <c r="AX107" s="2891"/>
      <c r="AY107" s="2891"/>
      <c r="AZ107" s="2891"/>
      <c r="BA107" s="2891"/>
      <c r="BB107" s="2891"/>
      <c r="BC107" s="2891"/>
      <c r="BD107" s="2892"/>
      <c r="BE107" s="1150"/>
    </row>
    <row r="108" spans="1:57" ht="15.75" customHeight="1" thickBot="1">
      <c r="A108" s="1144"/>
      <c r="B108" s="2977" t="s">
        <v>2303</v>
      </c>
      <c r="C108" s="2978"/>
      <c r="D108" s="2978"/>
      <c r="E108" s="2978"/>
      <c r="F108" s="2978"/>
      <c r="G108" s="2978"/>
      <c r="H108" s="2979"/>
      <c r="I108" s="2998"/>
      <c r="J108" s="2999"/>
      <c r="K108" s="2999"/>
      <c r="L108" s="2999"/>
      <c r="M108" s="2999"/>
      <c r="N108" s="2999"/>
      <c r="O108" s="3000"/>
      <c r="P108" s="2998"/>
      <c r="Q108" s="2999"/>
      <c r="R108" s="2999"/>
      <c r="S108" s="2999"/>
      <c r="T108" s="2999"/>
      <c r="U108" s="3000"/>
      <c r="V108" s="1144"/>
      <c r="W108" s="1144"/>
      <c r="X108" s="2893"/>
      <c r="Y108" s="2894"/>
      <c r="Z108" s="2894"/>
      <c r="AA108" s="2894"/>
      <c r="AB108" s="2894"/>
      <c r="AC108" s="2894"/>
      <c r="AD108" s="2894"/>
      <c r="AE108" s="2894"/>
      <c r="AF108" s="2894"/>
      <c r="AG108" s="2894"/>
      <c r="AH108" s="2894"/>
      <c r="AI108" s="2894"/>
      <c r="AJ108" s="2894"/>
      <c r="AK108" s="2894"/>
      <c r="AL108" s="2894"/>
      <c r="AM108" s="2894"/>
      <c r="AN108" s="2894"/>
      <c r="AO108" s="2894"/>
      <c r="AP108" s="2894"/>
      <c r="AQ108" s="2894"/>
      <c r="AR108" s="2894"/>
      <c r="AS108" s="2894"/>
      <c r="AT108" s="2894"/>
      <c r="AU108" s="2894"/>
      <c r="AV108" s="2894"/>
      <c r="AW108" s="2894"/>
      <c r="AX108" s="2894"/>
      <c r="AY108" s="2894"/>
      <c r="AZ108" s="2894"/>
      <c r="BA108" s="2894"/>
      <c r="BB108" s="2894"/>
      <c r="BC108" s="2894"/>
      <c r="BD108" s="2895"/>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26" t="s">
        <v>1942</v>
      </c>
      <c r="C110" s="2827"/>
      <c r="D110" s="2827"/>
      <c r="E110" s="2827"/>
      <c r="F110" s="2827"/>
      <c r="G110" s="2827"/>
      <c r="H110" s="2827"/>
      <c r="I110" s="2827"/>
      <c r="J110" s="2827"/>
      <c r="K110" s="2827"/>
      <c r="L110" s="2827"/>
      <c r="M110" s="2827"/>
      <c r="N110" s="2827"/>
      <c r="O110" s="2827"/>
      <c r="P110" s="2827"/>
      <c r="Q110" s="2827"/>
      <c r="R110" s="2982"/>
      <c r="S110" s="2982"/>
      <c r="T110" s="2982"/>
      <c r="U110" s="2982"/>
      <c r="V110" s="2982"/>
      <c r="W110" s="2982"/>
      <c r="X110" s="2982"/>
      <c r="Y110" s="2982"/>
      <c r="Z110" s="2982"/>
      <c r="AA110" s="2982"/>
      <c r="AB110" s="2982"/>
      <c r="AC110" s="2982"/>
      <c r="AD110" s="2982"/>
      <c r="AE110" s="2982"/>
      <c r="AF110" s="2982"/>
      <c r="AG110" s="2912" t="s">
        <v>1884</v>
      </c>
      <c r="AH110" s="2912"/>
      <c r="AI110" s="2912"/>
      <c r="AJ110" s="2913"/>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983" t="s">
        <v>1943</v>
      </c>
      <c r="C111" s="2984"/>
      <c r="D111" s="2984"/>
      <c r="E111" s="2984"/>
      <c r="F111" s="2984"/>
      <c r="G111" s="2984"/>
      <c r="H111" s="2984"/>
      <c r="I111" s="2984"/>
      <c r="J111" s="2984"/>
      <c r="K111" s="2984"/>
      <c r="L111" s="2984"/>
      <c r="M111" s="2984"/>
      <c r="N111" s="2984"/>
      <c r="O111" s="2984"/>
      <c r="P111" s="2984"/>
      <c r="Q111" s="2985"/>
      <c r="R111" s="2986" t="s">
        <v>2320</v>
      </c>
      <c r="S111" s="2987"/>
      <c r="T111" s="2987"/>
      <c r="U111" s="2987"/>
      <c r="V111" s="2987"/>
      <c r="W111" s="2987"/>
      <c r="X111" s="2987"/>
      <c r="Y111" s="2987"/>
      <c r="Z111" s="2987"/>
      <c r="AA111" s="2987"/>
      <c r="AB111" s="2987"/>
      <c r="AC111" s="2987"/>
      <c r="AD111" s="2987"/>
      <c r="AE111" s="2987"/>
      <c r="AF111" s="2987"/>
      <c r="AG111" s="2987"/>
      <c r="AH111" s="2987"/>
      <c r="AI111" s="2987"/>
      <c r="AJ111" s="2987"/>
      <c r="AK111" s="2987"/>
      <c r="AL111" s="2987"/>
      <c r="AM111" s="2987"/>
      <c r="AN111" s="2987"/>
      <c r="AO111" s="2987"/>
      <c r="AP111" s="2987"/>
      <c r="AQ111" s="2987"/>
      <c r="AR111" s="2987"/>
      <c r="AS111" s="2987"/>
      <c r="AT111" s="2987"/>
      <c r="AU111" s="2987"/>
      <c r="AV111" s="2987"/>
      <c r="AW111" s="2987"/>
      <c r="AX111" s="2988"/>
      <c r="AY111" s="1144"/>
      <c r="AZ111" s="1144"/>
      <c r="BA111" s="1144"/>
      <c r="BB111" s="1144"/>
      <c r="BC111" s="1144" t="s">
        <v>255</v>
      </c>
      <c r="BD111" s="1144"/>
      <c r="BE111" s="1150"/>
    </row>
    <row r="112" spans="1:57" ht="15.75" customHeight="1">
      <c r="A112" s="1144"/>
      <c r="B112" s="2989" t="s">
        <v>2321</v>
      </c>
      <c r="C112" s="2990"/>
      <c r="D112" s="2990"/>
      <c r="E112" s="2990"/>
      <c r="F112" s="2990"/>
      <c r="G112" s="2990"/>
      <c r="H112" s="2990"/>
      <c r="I112" s="2990"/>
      <c r="J112" s="2990"/>
      <c r="K112" s="2990"/>
      <c r="L112" s="2990"/>
      <c r="M112" s="2990"/>
      <c r="N112" s="2990"/>
      <c r="O112" s="2990"/>
      <c r="P112" s="2990"/>
      <c r="Q112" s="2990"/>
      <c r="R112" s="2990"/>
      <c r="S112" s="2990"/>
      <c r="T112" s="2990"/>
      <c r="U112" s="2990"/>
      <c r="V112" s="2990"/>
      <c r="W112" s="2990"/>
      <c r="X112" s="2990"/>
      <c r="Y112" s="2990"/>
      <c r="Z112" s="2990"/>
      <c r="AA112" s="2990"/>
      <c r="AB112" s="2990"/>
      <c r="AC112" s="2990"/>
      <c r="AD112" s="2990"/>
      <c r="AE112" s="2990"/>
      <c r="AF112" s="2990"/>
      <c r="AG112" s="2990"/>
      <c r="AH112" s="2990"/>
      <c r="AI112" s="2990"/>
      <c r="AJ112" s="2990"/>
      <c r="AK112" s="2990"/>
      <c r="AL112" s="2990"/>
      <c r="AM112" s="2990"/>
      <c r="AN112" s="2990"/>
      <c r="AO112" s="2990"/>
      <c r="AP112" s="2990"/>
      <c r="AQ112" s="2990"/>
      <c r="AR112" s="2990"/>
      <c r="AS112" s="2990"/>
      <c r="AT112" s="2990"/>
      <c r="AU112" s="2990"/>
      <c r="AV112" s="2990"/>
      <c r="AW112" s="2990"/>
      <c r="AX112" s="2991"/>
      <c r="AY112" s="1144"/>
      <c r="AZ112" s="1144"/>
      <c r="BA112" s="1144"/>
      <c r="BB112" s="1144"/>
      <c r="BC112" s="1144"/>
      <c r="BD112" s="1144"/>
      <c r="BE112" s="1150"/>
    </row>
    <row r="113" spans="1:57" ht="15.75" customHeight="1">
      <c r="A113" s="1144"/>
      <c r="B113" s="2992"/>
      <c r="C113" s="2993"/>
      <c r="D113" s="2993"/>
      <c r="E113" s="2993"/>
      <c r="F113" s="2993"/>
      <c r="G113" s="2993"/>
      <c r="H113" s="2993"/>
      <c r="I113" s="2993"/>
      <c r="J113" s="2993"/>
      <c r="K113" s="2993"/>
      <c r="L113" s="2993"/>
      <c r="M113" s="2993"/>
      <c r="N113" s="2993"/>
      <c r="O113" s="2993"/>
      <c r="P113" s="2993"/>
      <c r="Q113" s="2993"/>
      <c r="R113" s="2993"/>
      <c r="S113" s="2993"/>
      <c r="T113" s="2993"/>
      <c r="U113" s="2993"/>
      <c r="V113" s="2993"/>
      <c r="W113" s="2993"/>
      <c r="X113" s="2993"/>
      <c r="Y113" s="2993"/>
      <c r="Z113" s="2993"/>
      <c r="AA113" s="2993"/>
      <c r="AB113" s="2993"/>
      <c r="AC113" s="2993"/>
      <c r="AD113" s="2993"/>
      <c r="AE113" s="2993"/>
      <c r="AF113" s="2993"/>
      <c r="AG113" s="2993"/>
      <c r="AH113" s="2993"/>
      <c r="AI113" s="2993"/>
      <c r="AJ113" s="2993"/>
      <c r="AK113" s="2993"/>
      <c r="AL113" s="2993"/>
      <c r="AM113" s="2993"/>
      <c r="AN113" s="2993"/>
      <c r="AO113" s="2993"/>
      <c r="AP113" s="2993"/>
      <c r="AQ113" s="2993"/>
      <c r="AR113" s="2993"/>
      <c r="AS113" s="2993"/>
      <c r="AT113" s="2993"/>
      <c r="AU113" s="2993"/>
      <c r="AV113" s="2993"/>
      <c r="AW113" s="2993"/>
      <c r="AX113" s="2994"/>
      <c r="AY113" s="1144"/>
      <c r="AZ113" s="1144"/>
      <c r="BA113" s="1144"/>
      <c r="BB113" s="1144"/>
      <c r="BC113" s="1144"/>
      <c r="BD113" s="1144"/>
      <c r="BE113" s="1150"/>
    </row>
    <row r="114" spans="1:57" ht="15.75" customHeight="1">
      <c r="A114" s="1144"/>
      <c r="B114" s="2992"/>
      <c r="C114" s="2993"/>
      <c r="D114" s="2993"/>
      <c r="E114" s="2993"/>
      <c r="F114" s="2993"/>
      <c r="G114" s="2993"/>
      <c r="H114" s="2993"/>
      <c r="I114" s="2993"/>
      <c r="J114" s="2993"/>
      <c r="K114" s="2993"/>
      <c r="L114" s="2993"/>
      <c r="M114" s="2993"/>
      <c r="N114" s="2993"/>
      <c r="O114" s="2993"/>
      <c r="P114" s="2993"/>
      <c r="Q114" s="2993"/>
      <c r="R114" s="2993"/>
      <c r="S114" s="2993"/>
      <c r="T114" s="2993"/>
      <c r="U114" s="2993"/>
      <c r="V114" s="2993"/>
      <c r="W114" s="2993"/>
      <c r="X114" s="2993"/>
      <c r="Y114" s="2993"/>
      <c r="Z114" s="2993"/>
      <c r="AA114" s="2993"/>
      <c r="AB114" s="2993"/>
      <c r="AC114" s="2993"/>
      <c r="AD114" s="2993"/>
      <c r="AE114" s="2993"/>
      <c r="AF114" s="2993"/>
      <c r="AG114" s="2993"/>
      <c r="AH114" s="2993"/>
      <c r="AI114" s="2993"/>
      <c r="AJ114" s="2993"/>
      <c r="AK114" s="2993"/>
      <c r="AL114" s="2993"/>
      <c r="AM114" s="2993"/>
      <c r="AN114" s="2993"/>
      <c r="AO114" s="2993"/>
      <c r="AP114" s="2993"/>
      <c r="AQ114" s="2993"/>
      <c r="AR114" s="2993"/>
      <c r="AS114" s="2993"/>
      <c r="AT114" s="2993"/>
      <c r="AU114" s="2993"/>
      <c r="AV114" s="2993"/>
      <c r="AW114" s="2993"/>
      <c r="AX114" s="2994"/>
      <c r="AY114" s="1144"/>
      <c r="AZ114" s="1144"/>
      <c r="BA114" s="1144"/>
      <c r="BB114" s="1144"/>
      <c r="BC114" s="1144"/>
      <c r="BD114" s="1144"/>
      <c r="BE114" s="1150"/>
    </row>
    <row r="115" spans="1:57" ht="15.75" customHeight="1">
      <c r="A115" s="1144"/>
      <c r="B115" s="2992"/>
      <c r="C115" s="2993"/>
      <c r="D115" s="2993"/>
      <c r="E115" s="2993"/>
      <c r="F115" s="2993"/>
      <c r="G115" s="2993"/>
      <c r="H115" s="2993"/>
      <c r="I115" s="2993"/>
      <c r="J115" s="2993"/>
      <c r="K115" s="2993"/>
      <c r="L115" s="2993"/>
      <c r="M115" s="2993"/>
      <c r="N115" s="2993"/>
      <c r="O115" s="2993"/>
      <c r="P115" s="2993"/>
      <c r="Q115" s="2993"/>
      <c r="R115" s="2993"/>
      <c r="S115" s="2993"/>
      <c r="T115" s="2993"/>
      <c r="U115" s="2993"/>
      <c r="V115" s="2993"/>
      <c r="W115" s="2993"/>
      <c r="X115" s="2993"/>
      <c r="Y115" s="2993"/>
      <c r="Z115" s="2993"/>
      <c r="AA115" s="2993"/>
      <c r="AB115" s="2993"/>
      <c r="AC115" s="2993"/>
      <c r="AD115" s="2993"/>
      <c r="AE115" s="2993"/>
      <c r="AF115" s="2993"/>
      <c r="AG115" s="2993"/>
      <c r="AH115" s="2993"/>
      <c r="AI115" s="2993"/>
      <c r="AJ115" s="2993"/>
      <c r="AK115" s="2993"/>
      <c r="AL115" s="2993"/>
      <c r="AM115" s="2993"/>
      <c r="AN115" s="2993"/>
      <c r="AO115" s="2993"/>
      <c r="AP115" s="2993"/>
      <c r="AQ115" s="2993"/>
      <c r="AR115" s="2993"/>
      <c r="AS115" s="2993"/>
      <c r="AT115" s="2993"/>
      <c r="AU115" s="2993"/>
      <c r="AV115" s="2993"/>
      <c r="AW115" s="2993"/>
      <c r="AX115" s="2994"/>
      <c r="AY115" s="1144"/>
      <c r="AZ115" s="1144"/>
      <c r="BA115" s="1144"/>
      <c r="BB115" s="1144"/>
      <c r="BC115" s="1144"/>
      <c r="BD115" s="1144"/>
      <c r="BE115" s="1150"/>
    </row>
    <row r="116" spans="1:57" ht="15.75" customHeight="1">
      <c r="A116" s="1144"/>
      <c r="B116" s="2992"/>
      <c r="C116" s="2993"/>
      <c r="D116" s="2993"/>
      <c r="E116" s="2993"/>
      <c r="F116" s="2993"/>
      <c r="G116" s="2993"/>
      <c r="H116" s="2993"/>
      <c r="I116" s="2993"/>
      <c r="J116" s="2993"/>
      <c r="K116" s="2993"/>
      <c r="L116" s="2993"/>
      <c r="M116" s="2993"/>
      <c r="N116" s="2993"/>
      <c r="O116" s="2993"/>
      <c r="P116" s="2993"/>
      <c r="Q116" s="2993"/>
      <c r="R116" s="2993"/>
      <c r="S116" s="2993"/>
      <c r="T116" s="2993"/>
      <c r="U116" s="2993"/>
      <c r="V116" s="2993"/>
      <c r="W116" s="2993"/>
      <c r="X116" s="2993"/>
      <c r="Y116" s="2993"/>
      <c r="Z116" s="2993"/>
      <c r="AA116" s="2993"/>
      <c r="AB116" s="2993"/>
      <c r="AC116" s="2993"/>
      <c r="AD116" s="2993"/>
      <c r="AE116" s="2993"/>
      <c r="AF116" s="2993"/>
      <c r="AG116" s="2993"/>
      <c r="AH116" s="2993"/>
      <c r="AI116" s="2993"/>
      <c r="AJ116" s="2993"/>
      <c r="AK116" s="2993"/>
      <c r="AL116" s="2993"/>
      <c r="AM116" s="2993"/>
      <c r="AN116" s="2993"/>
      <c r="AO116" s="2993"/>
      <c r="AP116" s="2993"/>
      <c r="AQ116" s="2993"/>
      <c r="AR116" s="2993"/>
      <c r="AS116" s="2993"/>
      <c r="AT116" s="2993"/>
      <c r="AU116" s="2993"/>
      <c r="AV116" s="2993"/>
      <c r="AW116" s="2993"/>
      <c r="AX116" s="2994"/>
      <c r="AY116" s="1144"/>
      <c r="AZ116" s="1144"/>
      <c r="BA116" s="1144"/>
      <c r="BB116" s="1144"/>
      <c r="BC116" s="1144"/>
      <c r="BD116" s="1144"/>
      <c r="BE116" s="1150"/>
    </row>
    <row r="117" spans="1:57" ht="15.75" customHeight="1">
      <c r="A117" s="1144"/>
      <c r="B117" s="2992"/>
      <c r="C117" s="2993"/>
      <c r="D117" s="2993"/>
      <c r="E117" s="2993"/>
      <c r="F117" s="2993"/>
      <c r="G117" s="2993"/>
      <c r="H117" s="2993"/>
      <c r="I117" s="2993"/>
      <c r="J117" s="2993"/>
      <c r="K117" s="2993"/>
      <c r="L117" s="2993"/>
      <c r="M117" s="2993"/>
      <c r="N117" s="2993"/>
      <c r="O117" s="2993"/>
      <c r="P117" s="2993"/>
      <c r="Q117" s="2993"/>
      <c r="R117" s="2993"/>
      <c r="S117" s="2993"/>
      <c r="T117" s="2993"/>
      <c r="U117" s="2993"/>
      <c r="V117" s="2993"/>
      <c r="W117" s="2993"/>
      <c r="X117" s="2993"/>
      <c r="Y117" s="2993"/>
      <c r="Z117" s="2993"/>
      <c r="AA117" s="2993"/>
      <c r="AB117" s="2993"/>
      <c r="AC117" s="2993"/>
      <c r="AD117" s="2993"/>
      <c r="AE117" s="2993"/>
      <c r="AF117" s="2993"/>
      <c r="AG117" s="2993"/>
      <c r="AH117" s="2993"/>
      <c r="AI117" s="2993"/>
      <c r="AJ117" s="2993"/>
      <c r="AK117" s="2993"/>
      <c r="AL117" s="2993"/>
      <c r="AM117" s="2993"/>
      <c r="AN117" s="2993"/>
      <c r="AO117" s="2993"/>
      <c r="AP117" s="2993"/>
      <c r="AQ117" s="2993"/>
      <c r="AR117" s="2993"/>
      <c r="AS117" s="2993"/>
      <c r="AT117" s="2993"/>
      <c r="AU117" s="2993"/>
      <c r="AV117" s="2993"/>
      <c r="AW117" s="2993"/>
      <c r="AX117" s="2994"/>
      <c r="AY117" s="1144"/>
      <c r="AZ117" s="1144"/>
      <c r="BA117" s="1144"/>
      <c r="BB117" s="1144"/>
      <c r="BC117" s="1144"/>
      <c r="BD117" s="1144"/>
      <c r="BE117" s="1150"/>
    </row>
    <row r="118" spans="1:57" ht="15.75" customHeight="1">
      <c r="A118" s="1144"/>
      <c r="B118" s="2992"/>
      <c r="C118" s="2993"/>
      <c r="D118" s="2993"/>
      <c r="E118" s="2993"/>
      <c r="F118" s="2993"/>
      <c r="G118" s="2993"/>
      <c r="H118" s="2993"/>
      <c r="I118" s="2993"/>
      <c r="J118" s="2993"/>
      <c r="K118" s="2993"/>
      <c r="L118" s="2993"/>
      <c r="M118" s="2993"/>
      <c r="N118" s="2993"/>
      <c r="O118" s="2993"/>
      <c r="P118" s="2993"/>
      <c r="Q118" s="2993"/>
      <c r="R118" s="2993"/>
      <c r="S118" s="2993"/>
      <c r="T118" s="2993"/>
      <c r="U118" s="2993"/>
      <c r="V118" s="2993"/>
      <c r="W118" s="2993"/>
      <c r="X118" s="2993"/>
      <c r="Y118" s="2993"/>
      <c r="Z118" s="2993"/>
      <c r="AA118" s="2993"/>
      <c r="AB118" s="2993"/>
      <c r="AC118" s="2993"/>
      <c r="AD118" s="2993"/>
      <c r="AE118" s="2993"/>
      <c r="AF118" s="2993"/>
      <c r="AG118" s="2993"/>
      <c r="AH118" s="2993"/>
      <c r="AI118" s="2993"/>
      <c r="AJ118" s="2993"/>
      <c r="AK118" s="2993"/>
      <c r="AL118" s="2993"/>
      <c r="AM118" s="2993"/>
      <c r="AN118" s="2993"/>
      <c r="AO118" s="2993"/>
      <c r="AP118" s="2993"/>
      <c r="AQ118" s="2993"/>
      <c r="AR118" s="2993"/>
      <c r="AS118" s="2993"/>
      <c r="AT118" s="2993"/>
      <c r="AU118" s="2993"/>
      <c r="AV118" s="2993"/>
      <c r="AW118" s="2993"/>
      <c r="AX118" s="2994"/>
      <c r="AY118" s="1144"/>
      <c r="AZ118" s="1144"/>
      <c r="BA118" s="1144"/>
      <c r="BB118" s="1144"/>
      <c r="BC118" s="1144"/>
      <c r="BD118" s="1144"/>
      <c r="BE118" s="1150"/>
    </row>
    <row r="119" spans="1:57" ht="15.75" customHeight="1">
      <c r="A119" s="1144"/>
      <c r="B119" s="2992"/>
      <c r="C119" s="2993"/>
      <c r="D119" s="2993"/>
      <c r="E119" s="2993"/>
      <c r="F119" s="2993"/>
      <c r="G119" s="2993"/>
      <c r="H119" s="2993"/>
      <c r="I119" s="2993"/>
      <c r="J119" s="2993"/>
      <c r="K119" s="2993"/>
      <c r="L119" s="2993"/>
      <c r="M119" s="2993"/>
      <c r="N119" s="2993"/>
      <c r="O119" s="2993"/>
      <c r="P119" s="2993"/>
      <c r="Q119" s="2993"/>
      <c r="R119" s="2993"/>
      <c r="S119" s="2993"/>
      <c r="T119" s="2993"/>
      <c r="U119" s="2993"/>
      <c r="V119" s="2993"/>
      <c r="W119" s="2993"/>
      <c r="X119" s="2993"/>
      <c r="Y119" s="2993"/>
      <c r="Z119" s="2993"/>
      <c r="AA119" s="2993"/>
      <c r="AB119" s="2993"/>
      <c r="AC119" s="2993"/>
      <c r="AD119" s="2993"/>
      <c r="AE119" s="2993"/>
      <c r="AF119" s="2993"/>
      <c r="AG119" s="2993"/>
      <c r="AH119" s="2993"/>
      <c r="AI119" s="2993"/>
      <c r="AJ119" s="2993"/>
      <c r="AK119" s="2993"/>
      <c r="AL119" s="2993"/>
      <c r="AM119" s="2993"/>
      <c r="AN119" s="2993"/>
      <c r="AO119" s="2993"/>
      <c r="AP119" s="2993"/>
      <c r="AQ119" s="2993"/>
      <c r="AR119" s="2993"/>
      <c r="AS119" s="2993"/>
      <c r="AT119" s="2993"/>
      <c r="AU119" s="2993"/>
      <c r="AV119" s="2993"/>
      <c r="AW119" s="2993"/>
      <c r="AX119" s="2994"/>
      <c r="AY119" s="1144"/>
      <c r="AZ119" s="1144"/>
      <c r="BA119" s="1144"/>
      <c r="BB119" s="1144"/>
      <c r="BC119" s="1144"/>
      <c r="BD119" s="1144"/>
      <c r="BE119" s="1150"/>
    </row>
    <row r="120" spans="1:57" ht="15.75" customHeight="1">
      <c r="A120" s="1144"/>
      <c r="B120" s="2992"/>
      <c r="C120" s="2993"/>
      <c r="D120" s="2993"/>
      <c r="E120" s="2993"/>
      <c r="F120" s="2993"/>
      <c r="G120" s="2993"/>
      <c r="H120" s="2993"/>
      <c r="I120" s="2993"/>
      <c r="J120" s="2993"/>
      <c r="K120" s="2993"/>
      <c r="L120" s="2993"/>
      <c r="M120" s="2993"/>
      <c r="N120" s="2993"/>
      <c r="O120" s="2993"/>
      <c r="P120" s="2993"/>
      <c r="Q120" s="2993"/>
      <c r="R120" s="2993"/>
      <c r="S120" s="2993"/>
      <c r="T120" s="2993"/>
      <c r="U120" s="2993"/>
      <c r="V120" s="2993"/>
      <c r="W120" s="2993"/>
      <c r="X120" s="2993"/>
      <c r="Y120" s="2993"/>
      <c r="Z120" s="2993"/>
      <c r="AA120" s="2993"/>
      <c r="AB120" s="2993"/>
      <c r="AC120" s="2993"/>
      <c r="AD120" s="2993"/>
      <c r="AE120" s="2993"/>
      <c r="AF120" s="2993"/>
      <c r="AG120" s="2993"/>
      <c r="AH120" s="2993"/>
      <c r="AI120" s="2993"/>
      <c r="AJ120" s="2993"/>
      <c r="AK120" s="2993"/>
      <c r="AL120" s="2993"/>
      <c r="AM120" s="2993"/>
      <c r="AN120" s="2993"/>
      <c r="AO120" s="2993"/>
      <c r="AP120" s="2993"/>
      <c r="AQ120" s="2993"/>
      <c r="AR120" s="2993"/>
      <c r="AS120" s="2993"/>
      <c r="AT120" s="2993"/>
      <c r="AU120" s="2993"/>
      <c r="AV120" s="2993"/>
      <c r="AW120" s="2993"/>
      <c r="AX120" s="2994"/>
      <c r="AY120" s="1144"/>
      <c r="AZ120" s="1144"/>
      <c r="BA120" s="1144"/>
      <c r="BB120" s="1144"/>
      <c r="BC120" s="1144"/>
      <c r="BD120" s="1144"/>
      <c r="BE120" s="1150"/>
    </row>
    <row r="121" spans="1:57" ht="15.75" customHeight="1" thickBot="1">
      <c r="A121" s="1144"/>
      <c r="B121" s="2995"/>
      <c r="C121" s="2996"/>
      <c r="D121" s="2996"/>
      <c r="E121" s="2996"/>
      <c r="F121" s="2996"/>
      <c r="G121" s="2996"/>
      <c r="H121" s="2996"/>
      <c r="I121" s="2996"/>
      <c r="J121" s="2996"/>
      <c r="K121" s="2996"/>
      <c r="L121" s="2996"/>
      <c r="M121" s="2996"/>
      <c r="N121" s="2996"/>
      <c r="O121" s="2996"/>
      <c r="P121" s="2996"/>
      <c r="Q121" s="2996"/>
      <c r="R121" s="2996"/>
      <c r="S121" s="2996"/>
      <c r="T121" s="2996"/>
      <c r="U121" s="2996"/>
      <c r="V121" s="2996"/>
      <c r="W121" s="2996"/>
      <c r="X121" s="2996"/>
      <c r="Y121" s="2996"/>
      <c r="Z121" s="2996"/>
      <c r="AA121" s="2996"/>
      <c r="AB121" s="2996"/>
      <c r="AC121" s="2996"/>
      <c r="AD121" s="2996"/>
      <c r="AE121" s="2996"/>
      <c r="AF121" s="2996"/>
      <c r="AG121" s="2996"/>
      <c r="AH121" s="2996"/>
      <c r="AI121" s="2996"/>
      <c r="AJ121" s="2996"/>
      <c r="AK121" s="2996"/>
      <c r="AL121" s="2996"/>
      <c r="AM121" s="2996"/>
      <c r="AN121" s="2996"/>
      <c r="AO121" s="2996"/>
      <c r="AP121" s="2996"/>
      <c r="AQ121" s="2996"/>
      <c r="AR121" s="2996"/>
      <c r="AS121" s="2996"/>
      <c r="AT121" s="2996"/>
      <c r="AU121" s="2996"/>
      <c r="AV121" s="2996"/>
      <c r="AW121" s="2996"/>
      <c r="AX121" s="2997"/>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1944</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2322</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731" t="s">
        <v>1945</v>
      </c>
      <c r="C125" s="2732"/>
      <c r="D125" s="2732"/>
      <c r="E125" s="2732"/>
      <c r="F125" s="2732"/>
      <c r="G125" s="2732"/>
      <c r="H125" s="2732"/>
      <c r="I125" s="2732"/>
      <c r="J125" s="2732"/>
      <c r="K125" s="2732"/>
      <c r="L125" s="2732"/>
      <c r="M125" s="2732"/>
      <c r="N125" s="2732"/>
      <c r="O125" s="2732"/>
      <c r="P125" s="2732"/>
      <c r="Q125" s="2732"/>
      <c r="R125" s="2732"/>
      <c r="S125" s="2732"/>
      <c r="T125" s="2732"/>
      <c r="U125" s="2951"/>
      <c r="V125" s="1144"/>
      <c r="W125" s="1146"/>
      <c r="X125" s="2731" t="s">
        <v>2323</v>
      </c>
      <c r="Y125" s="2732"/>
      <c r="Z125" s="2732"/>
      <c r="AA125" s="2732"/>
      <c r="AB125" s="2732"/>
      <c r="AC125" s="2732"/>
      <c r="AD125" s="2732"/>
      <c r="AE125" s="2732"/>
      <c r="AF125" s="2732"/>
      <c r="AG125" s="2732"/>
      <c r="AH125" s="2732"/>
      <c r="AI125" s="2732"/>
      <c r="AJ125" s="2732"/>
      <c r="AK125" s="2732"/>
      <c r="AL125" s="2732"/>
      <c r="AM125" s="2732"/>
      <c r="AN125" s="2732"/>
      <c r="AO125" s="2732"/>
      <c r="AP125" s="2732"/>
      <c r="AQ125" s="2951"/>
      <c r="AR125" s="1144"/>
      <c r="AS125" s="1144"/>
      <c r="AT125" s="1144"/>
      <c r="AU125" s="1144"/>
      <c r="AV125" s="1144"/>
      <c r="AW125" s="1144"/>
      <c r="AX125" s="1144"/>
      <c r="AY125" s="1144"/>
      <c r="AZ125" s="1144"/>
      <c r="BA125" s="1144"/>
      <c r="BB125" s="1144"/>
      <c r="BC125" s="1144"/>
      <c r="BD125" s="1144"/>
      <c r="BE125" s="1150"/>
    </row>
    <row r="126" spans="1:57" ht="15.75" customHeight="1">
      <c r="A126" s="1144"/>
      <c r="B126" s="2952"/>
      <c r="C126" s="2953"/>
      <c r="D126" s="2953"/>
      <c r="E126" s="2953"/>
      <c r="F126" s="2953"/>
      <c r="G126" s="2953"/>
      <c r="H126" s="2954"/>
      <c r="I126" s="2956" t="s">
        <v>1934</v>
      </c>
      <c r="J126" s="2957"/>
      <c r="K126" s="2957"/>
      <c r="L126" s="2957"/>
      <c r="M126" s="2957"/>
      <c r="N126" s="2957"/>
      <c r="O126" s="2958"/>
      <c r="P126" s="2962" t="s">
        <v>2324</v>
      </c>
      <c r="Q126" s="2963"/>
      <c r="R126" s="2963"/>
      <c r="S126" s="2963"/>
      <c r="T126" s="2963"/>
      <c r="U126" s="2964"/>
      <c r="V126" s="1144"/>
      <c r="W126" s="1144"/>
      <c r="X126" s="2952"/>
      <c r="Y126" s="2953"/>
      <c r="Z126" s="2953"/>
      <c r="AA126" s="2953"/>
      <c r="AB126" s="2953"/>
      <c r="AC126" s="2953"/>
      <c r="AD126" s="2954"/>
      <c r="AE126" s="2956" t="s">
        <v>1934</v>
      </c>
      <c r="AF126" s="2957"/>
      <c r="AG126" s="2957"/>
      <c r="AH126" s="2957"/>
      <c r="AI126" s="2957"/>
      <c r="AJ126" s="2957"/>
      <c r="AK126" s="2958"/>
      <c r="AL126" s="2962" t="s">
        <v>2317</v>
      </c>
      <c r="AM126" s="2963"/>
      <c r="AN126" s="2963"/>
      <c r="AO126" s="2963"/>
      <c r="AP126" s="2963"/>
      <c r="AQ126" s="2964"/>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921"/>
      <c r="C127" s="2922"/>
      <c r="D127" s="2922"/>
      <c r="E127" s="2922"/>
      <c r="F127" s="2922"/>
      <c r="G127" s="2922"/>
      <c r="H127" s="2955"/>
      <c r="I127" s="2959"/>
      <c r="J127" s="2960"/>
      <c r="K127" s="2960"/>
      <c r="L127" s="2960"/>
      <c r="M127" s="2960"/>
      <c r="N127" s="2960"/>
      <c r="O127" s="2961"/>
      <c r="P127" s="2965"/>
      <c r="Q127" s="2966"/>
      <c r="R127" s="2966"/>
      <c r="S127" s="2966"/>
      <c r="T127" s="2966"/>
      <c r="U127" s="2967"/>
      <c r="V127" s="1144"/>
      <c r="W127" s="1144"/>
      <c r="X127" s="2921"/>
      <c r="Y127" s="2922"/>
      <c r="Z127" s="2922"/>
      <c r="AA127" s="2922"/>
      <c r="AB127" s="2922"/>
      <c r="AC127" s="2922"/>
      <c r="AD127" s="2955"/>
      <c r="AE127" s="2959"/>
      <c r="AF127" s="2960"/>
      <c r="AG127" s="2960"/>
      <c r="AH127" s="2960"/>
      <c r="AI127" s="2960"/>
      <c r="AJ127" s="2960"/>
      <c r="AK127" s="2961"/>
      <c r="AL127" s="2965"/>
      <c r="AM127" s="2966"/>
      <c r="AN127" s="2966"/>
      <c r="AO127" s="2966"/>
      <c r="AP127" s="2966"/>
      <c r="AQ127" s="2967"/>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977" t="s">
        <v>2302</v>
      </c>
      <c r="C128" s="2978"/>
      <c r="D128" s="2978"/>
      <c r="E128" s="2978"/>
      <c r="F128" s="2978"/>
      <c r="G128" s="2978"/>
      <c r="H128" s="2979"/>
      <c r="I128" s="2998"/>
      <c r="J128" s="2999"/>
      <c r="K128" s="2999"/>
      <c r="L128" s="2999"/>
      <c r="M128" s="2999"/>
      <c r="N128" s="2999"/>
      <c r="O128" s="3000"/>
      <c r="P128" s="2998"/>
      <c r="Q128" s="2999"/>
      <c r="R128" s="2999"/>
      <c r="S128" s="2999"/>
      <c r="T128" s="2999"/>
      <c r="U128" s="3000"/>
      <c r="V128" s="1144"/>
      <c r="W128" s="1144"/>
      <c r="X128" s="2977" t="s">
        <v>2302</v>
      </c>
      <c r="Y128" s="2978"/>
      <c r="Z128" s="2978"/>
      <c r="AA128" s="2978"/>
      <c r="AB128" s="2978"/>
      <c r="AC128" s="2978"/>
      <c r="AD128" s="2979"/>
      <c r="AE128" s="2998"/>
      <c r="AF128" s="2999"/>
      <c r="AG128" s="2999"/>
      <c r="AH128" s="2999"/>
      <c r="AI128" s="2999"/>
      <c r="AJ128" s="2999"/>
      <c r="AK128" s="3000"/>
      <c r="AL128" s="2998"/>
      <c r="AM128" s="2999"/>
      <c r="AN128" s="2999"/>
      <c r="AO128" s="2999"/>
      <c r="AP128" s="2999"/>
      <c r="AQ128" s="3000"/>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977" t="s">
        <v>2303</v>
      </c>
      <c r="C129" s="2978"/>
      <c r="D129" s="2978"/>
      <c r="E129" s="2978"/>
      <c r="F129" s="2978"/>
      <c r="G129" s="2978"/>
      <c r="H129" s="2979"/>
      <c r="I129" s="2998"/>
      <c r="J129" s="2999"/>
      <c r="K129" s="2999"/>
      <c r="L129" s="2999"/>
      <c r="M129" s="2999"/>
      <c r="N129" s="2999"/>
      <c r="O129" s="3000"/>
      <c r="P129" s="2998"/>
      <c r="Q129" s="2999"/>
      <c r="R129" s="2999"/>
      <c r="S129" s="2999"/>
      <c r="T129" s="2999"/>
      <c r="U129" s="3000"/>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731" t="s">
        <v>2304</v>
      </c>
      <c r="D131" s="2732"/>
      <c r="E131" s="2732"/>
      <c r="F131" s="2732"/>
      <c r="G131" s="2732"/>
      <c r="H131" s="2732"/>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32"/>
      <c r="AD131" s="2732"/>
      <c r="AE131" s="2732"/>
      <c r="AF131" s="2732"/>
      <c r="AG131" s="2733"/>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3011" t="s">
        <v>1946</v>
      </c>
      <c r="D132" s="3012"/>
      <c r="E132" s="3012"/>
      <c r="F132" s="3012"/>
      <c r="G132" s="3012"/>
      <c r="H132" s="3012"/>
      <c r="I132" s="3012"/>
      <c r="J132" s="3012"/>
      <c r="K132" s="3012"/>
      <c r="L132" s="3012"/>
      <c r="M132" s="3012"/>
      <c r="N132" s="3012"/>
      <c r="O132" s="3012"/>
      <c r="P132" s="3013"/>
      <c r="Q132" s="3014" t="s">
        <v>1947</v>
      </c>
      <c r="R132" s="3012"/>
      <c r="S132" s="3013"/>
      <c r="T132" s="3015" t="s">
        <v>2305</v>
      </c>
      <c r="U132" s="3016"/>
      <c r="V132" s="3016"/>
      <c r="W132" s="3016"/>
      <c r="X132" s="3016"/>
      <c r="Y132" s="3016"/>
      <c r="Z132" s="3016"/>
      <c r="AA132" s="3017"/>
      <c r="AB132" s="3018" t="s">
        <v>1948</v>
      </c>
      <c r="AC132" s="3019"/>
      <c r="AD132" s="3019"/>
      <c r="AE132" s="3019"/>
      <c r="AF132" s="3019"/>
      <c r="AG132" s="3020"/>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3001" t="s">
        <v>1949</v>
      </c>
      <c r="D133" s="3002"/>
      <c r="E133" s="3002"/>
      <c r="F133" s="3002"/>
      <c r="G133" s="3002"/>
      <c r="H133" s="3002"/>
      <c r="I133" s="3002"/>
      <c r="J133" s="3002"/>
      <c r="K133" s="3002"/>
      <c r="L133" s="3002"/>
      <c r="M133" s="3002"/>
      <c r="N133" s="3002"/>
      <c r="O133" s="3002"/>
      <c r="P133" s="3003"/>
      <c r="Q133" s="3004">
        <v>55</v>
      </c>
      <c r="R133" s="3005"/>
      <c r="S133" s="3006"/>
      <c r="T133" s="3007"/>
      <c r="U133" s="3008"/>
      <c r="V133" s="3008"/>
      <c r="W133" s="3008"/>
      <c r="X133" s="3008"/>
      <c r="Y133" s="3008"/>
      <c r="Z133" s="3008"/>
      <c r="AA133" s="3008"/>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3001" t="s">
        <v>1950</v>
      </c>
      <c r="D134" s="3002"/>
      <c r="E134" s="3002"/>
      <c r="F134" s="3002"/>
      <c r="G134" s="3002"/>
      <c r="H134" s="3002"/>
      <c r="I134" s="3002"/>
      <c r="J134" s="3002"/>
      <c r="K134" s="3002"/>
      <c r="L134" s="3002"/>
      <c r="M134" s="3002"/>
      <c r="N134" s="3002"/>
      <c r="O134" s="3002"/>
      <c r="P134" s="3003"/>
      <c r="Q134" s="3004">
        <v>55</v>
      </c>
      <c r="R134" s="3005"/>
      <c r="S134" s="3006"/>
      <c r="T134" s="3009"/>
      <c r="U134" s="3010"/>
      <c r="V134" s="3010"/>
      <c r="W134" s="3010"/>
      <c r="X134" s="3010"/>
      <c r="Y134" s="3010"/>
      <c r="Z134" s="3010"/>
      <c r="AA134" s="3010"/>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3001" t="s">
        <v>1951</v>
      </c>
      <c r="D135" s="3002"/>
      <c r="E135" s="3002"/>
      <c r="F135" s="3002"/>
      <c r="G135" s="3002"/>
      <c r="H135" s="3002"/>
      <c r="I135" s="3002"/>
      <c r="J135" s="3002"/>
      <c r="K135" s="3002"/>
      <c r="L135" s="3002"/>
      <c r="M135" s="3002"/>
      <c r="N135" s="3002"/>
      <c r="O135" s="3002"/>
      <c r="P135" s="3003"/>
      <c r="Q135" s="3004">
        <v>55</v>
      </c>
      <c r="R135" s="3005"/>
      <c r="S135" s="3006"/>
      <c r="T135" s="3007"/>
      <c r="U135" s="3008"/>
      <c r="V135" s="3008"/>
      <c r="W135" s="3008"/>
      <c r="X135" s="3008"/>
      <c r="Y135" s="3008"/>
      <c r="Z135" s="3008"/>
      <c r="AA135" s="3008"/>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3001" t="s">
        <v>1914</v>
      </c>
      <c r="D136" s="3002"/>
      <c r="E136" s="3002"/>
      <c r="F136" s="3002"/>
      <c r="G136" s="3002"/>
      <c r="H136" s="3002"/>
      <c r="I136" s="3002"/>
      <c r="J136" s="3002"/>
      <c r="K136" s="3002"/>
      <c r="L136" s="3002"/>
      <c r="M136" s="3002"/>
      <c r="N136" s="3002"/>
      <c r="O136" s="3002"/>
      <c r="P136" s="3003"/>
      <c r="Q136" s="3004">
        <v>55</v>
      </c>
      <c r="R136" s="3005"/>
      <c r="S136" s="3006"/>
      <c r="T136" s="3007"/>
      <c r="U136" s="3008"/>
      <c r="V136" s="3008"/>
      <c r="W136" s="3008"/>
      <c r="X136" s="3008"/>
      <c r="Y136" s="3008"/>
      <c r="Z136" s="3008"/>
      <c r="AA136" s="3030"/>
      <c r="AB136" s="3021">
        <v>0</v>
      </c>
      <c r="AC136" s="3022"/>
      <c r="AD136" s="3022"/>
      <c r="AE136" s="3022"/>
      <c r="AF136" s="3022"/>
      <c r="AG136" s="3023"/>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702" t="s">
        <v>174</v>
      </c>
      <c r="D137" s="2703"/>
      <c r="E137" s="2703"/>
      <c r="F137" s="3024" t="s">
        <v>1952</v>
      </c>
      <c r="G137" s="3024"/>
      <c r="H137" s="3024"/>
      <c r="I137" s="3024"/>
      <c r="J137" s="3024"/>
      <c r="K137" s="3024"/>
      <c r="L137" s="3024"/>
      <c r="M137" s="3024"/>
      <c r="N137" s="3024"/>
      <c r="O137" s="3024"/>
      <c r="P137" s="3024"/>
      <c r="Q137" s="3025">
        <v>55</v>
      </c>
      <c r="R137" s="3025"/>
      <c r="S137" s="3025"/>
      <c r="T137" s="3026"/>
      <c r="U137" s="3026"/>
      <c r="V137" s="3026"/>
      <c r="W137" s="3026"/>
      <c r="X137" s="3026"/>
      <c r="Y137" s="3026"/>
      <c r="Z137" s="3026"/>
      <c r="AA137" s="3026"/>
      <c r="AB137" s="3027">
        <v>0</v>
      </c>
      <c r="AC137" s="3028"/>
      <c r="AD137" s="3028"/>
      <c r="AE137" s="3028"/>
      <c r="AF137" s="3028"/>
      <c r="AG137" s="3029"/>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702" t="s">
        <v>174</v>
      </c>
      <c r="D138" s="2703"/>
      <c r="E138" s="2703"/>
      <c r="F138" s="3024" t="s">
        <v>1952</v>
      </c>
      <c r="G138" s="3024"/>
      <c r="H138" s="3024"/>
      <c r="I138" s="3024"/>
      <c r="J138" s="3024"/>
      <c r="K138" s="3024"/>
      <c r="L138" s="3024"/>
      <c r="M138" s="3024"/>
      <c r="N138" s="3024"/>
      <c r="O138" s="3024"/>
      <c r="P138" s="3024"/>
      <c r="Q138" s="3025">
        <v>55</v>
      </c>
      <c r="R138" s="3025"/>
      <c r="S138" s="3025"/>
      <c r="T138" s="3026"/>
      <c r="U138" s="3026"/>
      <c r="V138" s="3026"/>
      <c r="W138" s="3026"/>
      <c r="X138" s="3026"/>
      <c r="Y138" s="3026"/>
      <c r="Z138" s="3026"/>
      <c r="AA138" s="3026"/>
      <c r="AB138" s="3027">
        <v>0</v>
      </c>
      <c r="AC138" s="3028"/>
      <c r="AD138" s="3028"/>
      <c r="AE138" s="3028"/>
      <c r="AF138" s="3028"/>
      <c r="AG138" s="3029"/>
      <c r="AH138" s="1144"/>
      <c r="AI138" s="1144"/>
      <c r="AJ138" s="1144"/>
      <c r="AK138" s="1144" t="s">
        <v>255</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702" t="s">
        <v>174</v>
      </c>
      <c r="D139" s="2703"/>
      <c r="E139" s="2703"/>
      <c r="F139" s="3031" t="s">
        <v>1952</v>
      </c>
      <c r="G139" s="3031"/>
      <c r="H139" s="3031"/>
      <c r="I139" s="3031"/>
      <c r="J139" s="3031"/>
      <c r="K139" s="3031"/>
      <c r="L139" s="3031"/>
      <c r="M139" s="3031"/>
      <c r="N139" s="3031"/>
      <c r="O139" s="3031"/>
      <c r="P139" s="3031"/>
      <c r="Q139" s="2871">
        <v>55</v>
      </c>
      <c r="R139" s="2871"/>
      <c r="S139" s="2871"/>
      <c r="T139" s="2870"/>
      <c r="U139" s="2870"/>
      <c r="V139" s="2870"/>
      <c r="W139" s="2870"/>
      <c r="X139" s="2870"/>
      <c r="Y139" s="2870"/>
      <c r="Z139" s="2870"/>
      <c r="AA139" s="2870"/>
      <c r="AB139" s="3032">
        <v>0</v>
      </c>
      <c r="AC139" s="3033"/>
      <c r="AD139" s="3033"/>
      <c r="AE139" s="3033"/>
      <c r="AF139" s="3033"/>
      <c r="AG139" s="3034"/>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04" t="s">
        <v>1953</v>
      </c>
      <c r="D141" s="2705"/>
      <c r="E141" s="2705"/>
      <c r="F141" s="2705"/>
      <c r="G141" s="2705"/>
      <c r="H141" s="2705"/>
      <c r="I141" s="2705"/>
      <c r="J141" s="2705"/>
      <c r="K141" s="2705"/>
      <c r="L141" s="2705"/>
      <c r="M141" s="2705"/>
      <c r="N141" s="2706"/>
      <c r="O141" s="1144"/>
      <c r="P141" s="3036" t="s">
        <v>1954</v>
      </c>
      <c r="Q141" s="3037"/>
      <c r="R141" s="3037"/>
      <c r="S141" s="3037"/>
      <c r="T141" s="3037"/>
      <c r="U141" s="3037"/>
      <c r="V141" s="3037"/>
      <c r="W141" s="3037"/>
      <c r="X141" s="3037"/>
      <c r="Y141" s="3037"/>
      <c r="Z141" s="3037"/>
      <c r="AA141" s="3037"/>
      <c r="AB141" s="3037"/>
      <c r="AC141" s="3037"/>
      <c r="AD141" s="3037"/>
      <c r="AE141" s="3037"/>
      <c r="AF141" s="3037"/>
      <c r="AG141" s="3037"/>
      <c r="AH141" s="3037"/>
      <c r="AI141" s="3037"/>
      <c r="AJ141" s="3037"/>
      <c r="AK141" s="3037"/>
      <c r="AL141" s="3037"/>
      <c r="AM141" s="3037"/>
      <c r="AN141" s="3037"/>
      <c r="AO141" s="3038"/>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918" t="s">
        <v>1955</v>
      </c>
      <c r="D142" s="2919"/>
      <c r="E142" s="2919"/>
      <c r="F142" s="2919"/>
      <c r="G142" s="2919"/>
      <c r="H142" s="2920"/>
      <c r="I142" s="2918" t="s">
        <v>1956</v>
      </c>
      <c r="J142" s="2919"/>
      <c r="K142" s="2919"/>
      <c r="L142" s="2919"/>
      <c r="M142" s="2919"/>
      <c r="N142" s="2920"/>
      <c r="O142" s="1144"/>
      <c r="P142" s="3039" t="s">
        <v>2315</v>
      </c>
      <c r="Q142" s="3040"/>
      <c r="R142" s="3040"/>
      <c r="S142" s="3040"/>
      <c r="T142" s="3040"/>
      <c r="U142" s="3040"/>
      <c r="V142" s="3040"/>
      <c r="W142" s="3040"/>
      <c r="X142" s="3040"/>
      <c r="Y142" s="3040"/>
      <c r="Z142" s="3040"/>
      <c r="AA142" s="3040"/>
      <c r="AB142" s="3040"/>
      <c r="AC142" s="3040"/>
      <c r="AD142" s="3040"/>
      <c r="AE142" s="3040"/>
      <c r="AF142" s="3040"/>
      <c r="AG142" s="3040"/>
      <c r="AH142" s="3040"/>
      <c r="AI142" s="3040"/>
      <c r="AJ142" s="3040"/>
      <c r="AK142" s="3040"/>
      <c r="AL142" s="3040"/>
      <c r="AM142" s="3040"/>
      <c r="AN142" s="3040"/>
      <c r="AO142" s="3041"/>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805"/>
      <c r="D143" s="2805"/>
      <c r="E143" s="2805"/>
      <c r="F143" s="2805"/>
      <c r="G143" s="2805"/>
      <c r="H143" s="2805"/>
      <c r="I143" s="3035"/>
      <c r="J143" s="3035"/>
      <c r="K143" s="3035"/>
      <c r="L143" s="3035"/>
      <c r="M143" s="3035"/>
      <c r="N143" s="3035"/>
      <c r="O143" s="1144"/>
      <c r="P143" s="3039"/>
      <c r="Q143" s="3040"/>
      <c r="R143" s="3040"/>
      <c r="S143" s="3040"/>
      <c r="T143" s="3040"/>
      <c r="U143" s="3040"/>
      <c r="V143" s="3040"/>
      <c r="W143" s="3040"/>
      <c r="X143" s="3040"/>
      <c r="Y143" s="3040"/>
      <c r="Z143" s="3040"/>
      <c r="AA143" s="3040"/>
      <c r="AB143" s="3040"/>
      <c r="AC143" s="3040"/>
      <c r="AD143" s="3040"/>
      <c r="AE143" s="3040"/>
      <c r="AF143" s="3040"/>
      <c r="AG143" s="3040"/>
      <c r="AH143" s="3040"/>
      <c r="AI143" s="3040"/>
      <c r="AJ143" s="3040"/>
      <c r="AK143" s="3040"/>
      <c r="AL143" s="3040"/>
      <c r="AM143" s="3040"/>
      <c r="AN143" s="3040"/>
      <c r="AO143" s="3041"/>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805"/>
      <c r="D144" s="2805"/>
      <c r="E144" s="2805"/>
      <c r="F144" s="2805"/>
      <c r="G144" s="2805"/>
      <c r="H144" s="2805"/>
      <c r="I144" s="3035"/>
      <c r="J144" s="3035"/>
      <c r="K144" s="3035"/>
      <c r="L144" s="3035"/>
      <c r="M144" s="3035"/>
      <c r="N144" s="3035"/>
      <c r="O144" s="1144"/>
      <c r="P144" s="3039"/>
      <c r="Q144" s="3040"/>
      <c r="R144" s="3040"/>
      <c r="S144" s="3040"/>
      <c r="T144" s="3040"/>
      <c r="U144" s="3040"/>
      <c r="V144" s="3040"/>
      <c r="W144" s="3040"/>
      <c r="X144" s="3040"/>
      <c r="Y144" s="3040"/>
      <c r="Z144" s="3040"/>
      <c r="AA144" s="3040"/>
      <c r="AB144" s="3040"/>
      <c r="AC144" s="3040"/>
      <c r="AD144" s="3040"/>
      <c r="AE144" s="3040"/>
      <c r="AF144" s="3040"/>
      <c r="AG144" s="3040"/>
      <c r="AH144" s="3040"/>
      <c r="AI144" s="3040"/>
      <c r="AJ144" s="3040"/>
      <c r="AK144" s="3040"/>
      <c r="AL144" s="3040"/>
      <c r="AM144" s="3040"/>
      <c r="AN144" s="3040"/>
      <c r="AO144" s="3041"/>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805"/>
      <c r="D145" s="2805"/>
      <c r="E145" s="2805"/>
      <c r="F145" s="2805"/>
      <c r="G145" s="2805"/>
      <c r="H145" s="2805"/>
      <c r="I145" s="3035"/>
      <c r="J145" s="3035"/>
      <c r="K145" s="3035"/>
      <c r="L145" s="3035"/>
      <c r="M145" s="3035"/>
      <c r="N145" s="3035"/>
      <c r="O145" s="1144"/>
      <c r="P145" s="3039"/>
      <c r="Q145" s="3040"/>
      <c r="R145" s="3040"/>
      <c r="S145" s="3040"/>
      <c r="T145" s="3040"/>
      <c r="U145" s="3040"/>
      <c r="V145" s="3040"/>
      <c r="W145" s="3040"/>
      <c r="X145" s="3040"/>
      <c r="Y145" s="3040"/>
      <c r="Z145" s="3040"/>
      <c r="AA145" s="3040"/>
      <c r="AB145" s="3040"/>
      <c r="AC145" s="3040"/>
      <c r="AD145" s="3040"/>
      <c r="AE145" s="3040"/>
      <c r="AF145" s="3040"/>
      <c r="AG145" s="3040"/>
      <c r="AH145" s="3040"/>
      <c r="AI145" s="3040"/>
      <c r="AJ145" s="3040"/>
      <c r="AK145" s="3040"/>
      <c r="AL145" s="3040"/>
      <c r="AM145" s="3040"/>
      <c r="AN145" s="3040"/>
      <c r="AO145" s="3041"/>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805"/>
      <c r="D146" s="2805"/>
      <c r="E146" s="2805"/>
      <c r="F146" s="2805"/>
      <c r="G146" s="2805"/>
      <c r="H146" s="2805"/>
      <c r="I146" s="3035"/>
      <c r="J146" s="3035"/>
      <c r="K146" s="3035"/>
      <c r="L146" s="3035"/>
      <c r="M146" s="3035"/>
      <c r="N146" s="3035"/>
      <c r="O146" s="1144"/>
      <c r="P146" s="3039"/>
      <c r="Q146" s="3040"/>
      <c r="R146" s="3040"/>
      <c r="S146" s="3040"/>
      <c r="T146" s="3040"/>
      <c r="U146" s="3040"/>
      <c r="V146" s="3040"/>
      <c r="W146" s="3040"/>
      <c r="X146" s="3040"/>
      <c r="Y146" s="3040"/>
      <c r="Z146" s="3040"/>
      <c r="AA146" s="3040"/>
      <c r="AB146" s="3040"/>
      <c r="AC146" s="3040"/>
      <c r="AD146" s="3040"/>
      <c r="AE146" s="3040"/>
      <c r="AF146" s="3040"/>
      <c r="AG146" s="3040"/>
      <c r="AH146" s="3040"/>
      <c r="AI146" s="3040"/>
      <c r="AJ146" s="3040"/>
      <c r="AK146" s="3040"/>
      <c r="AL146" s="3040"/>
      <c r="AM146" s="3040"/>
      <c r="AN146" s="3040"/>
      <c r="AO146" s="3041"/>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805"/>
      <c r="D147" s="2805"/>
      <c r="E147" s="2805"/>
      <c r="F147" s="2805"/>
      <c r="G147" s="2805"/>
      <c r="H147" s="2805"/>
      <c r="I147" s="3035"/>
      <c r="J147" s="3035"/>
      <c r="K147" s="3035"/>
      <c r="L147" s="3035"/>
      <c r="M147" s="3035"/>
      <c r="N147" s="3035"/>
      <c r="O147" s="1144"/>
      <c r="P147" s="3039"/>
      <c r="Q147" s="3040"/>
      <c r="R147" s="3040"/>
      <c r="S147" s="3040"/>
      <c r="T147" s="3040"/>
      <c r="U147" s="3040"/>
      <c r="V147" s="3040"/>
      <c r="W147" s="3040"/>
      <c r="X147" s="3040"/>
      <c r="Y147" s="3040"/>
      <c r="Z147" s="3040"/>
      <c r="AA147" s="3040"/>
      <c r="AB147" s="3040"/>
      <c r="AC147" s="3040"/>
      <c r="AD147" s="3040"/>
      <c r="AE147" s="3040"/>
      <c r="AF147" s="3040"/>
      <c r="AG147" s="3040"/>
      <c r="AH147" s="3040"/>
      <c r="AI147" s="3040"/>
      <c r="AJ147" s="3040"/>
      <c r="AK147" s="3040"/>
      <c r="AL147" s="3040"/>
      <c r="AM147" s="3040"/>
      <c r="AN147" s="3040"/>
      <c r="AO147" s="3041"/>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805"/>
      <c r="D148" s="2805"/>
      <c r="E148" s="2805"/>
      <c r="F148" s="2805"/>
      <c r="G148" s="2805"/>
      <c r="H148" s="2805"/>
      <c r="I148" s="3035"/>
      <c r="J148" s="3035"/>
      <c r="K148" s="3035"/>
      <c r="L148" s="3035"/>
      <c r="M148" s="3035"/>
      <c r="N148" s="3035"/>
      <c r="O148" s="1144"/>
      <c r="P148" s="3039"/>
      <c r="Q148" s="3040"/>
      <c r="R148" s="3040"/>
      <c r="S148" s="3040"/>
      <c r="T148" s="3040"/>
      <c r="U148" s="3040"/>
      <c r="V148" s="3040"/>
      <c r="W148" s="3040"/>
      <c r="X148" s="3040"/>
      <c r="Y148" s="3040"/>
      <c r="Z148" s="3040"/>
      <c r="AA148" s="3040"/>
      <c r="AB148" s="3040"/>
      <c r="AC148" s="3040"/>
      <c r="AD148" s="3040"/>
      <c r="AE148" s="3040"/>
      <c r="AF148" s="3040"/>
      <c r="AG148" s="3040"/>
      <c r="AH148" s="3040"/>
      <c r="AI148" s="3040"/>
      <c r="AJ148" s="3040"/>
      <c r="AK148" s="3040"/>
      <c r="AL148" s="3040"/>
      <c r="AM148" s="3040"/>
      <c r="AN148" s="3040"/>
      <c r="AO148" s="3041"/>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805"/>
      <c r="D149" s="2805"/>
      <c r="E149" s="2805"/>
      <c r="F149" s="2805"/>
      <c r="G149" s="2805"/>
      <c r="H149" s="2805"/>
      <c r="I149" s="3035"/>
      <c r="J149" s="3035"/>
      <c r="K149" s="3035"/>
      <c r="L149" s="3035"/>
      <c r="M149" s="3035"/>
      <c r="N149" s="3035"/>
      <c r="O149" s="1144"/>
      <c r="P149" s="3042"/>
      <c r="Q149" s="3043"/>
      <c r="R149" s="3043"/>
      <c r="S149" s="3043"/>
      <c r="T149" s="3043"/>
      <c r="U149" s="3043"/>
      <c r="V149" s="3043"/>
      <c r="W149" s="3043"/>
      <c r="X149" s="3043"/>
      <c r="Y149" s="3043"/>
      <c r="Z149" s="3043"/>
      <c r="AA149" s="3043"/>
      <c r="AB149" s="3043"/>
      <c r="AC149" s="3043"/>
      <c r="AD149" s="3043"/>
      <c r="AE149" s="3043"/>
      <c r="AF149" s="3043"/>
      <c r="AG149" s="3043"/>
      <c r="AH149" s="3043"/>
      <c r="AI149" s="3043"/>
      <c r="AJ149" s="3043"/>
      <c r="AK149" s="3043"/>
      <c r="AL149" s="3043"/>
      <c r="AM149" s="3043"/>
      <c r="AN149" s="3043"/>
      <c r="AO149" s="3044"/>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2306</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3054"/>
      <c r="D153" s="3055"/>
      <c r="E153" s="3055"/>
      <c r="F153" s="3055"/>
      <c r="G153" s="3055"/>
      <c r="H153" s="3055"/>
      <c r="I153" s="3055"/>
      <c r="J153" s="3055"/>
      <c r="K153" s="3055"/>
      <c r="L153" s="3055"/>
      <c r="M153" s="3056"/>
      <c r="N153" s="3057" t="s">
        <v>1957</v>
      </c>
      <c r="O153" s="3057"/>
      <c r="P153" s="3057"/>
      <c r="Q153" s="3057"/>
      <c r="R153" s="3057"/>
      <c r="S153" s="3057"/>
      <c r="T153" s="3058"/>
      <c r="U153" s="3059" t="s">
        <v>1946</v>
      </c>
      <c r="V153" s="2846"/>
      <c r="W153" s="2846"/>
      <c r="X153" s="2846"/>
      <c r="Y153" s="2846"/>
      <c r="Z153" s="2846"/>
      <c r="AA153" s="2846"/>
      <c r="AB153" s="2846"/>
      <c r="AC153" s="2846"/>
      <c r="AD153" s="2846"/>
      <c r="AE153" s="2847"/>
      <c r="AF153" s="1144"/>
      <c r="AG153" s="1144"/>
      <c r="AH153" s="2697" t="s">
        <v>1958</v>
      </c>
      <c r="AI153" s="2698"/>
      <c r="AJ153" s="2698"/>
      <c r="AK153" s="2698"/>
      <c r="AL153" s="2698"/>
      <c r="AM153" s="2698"/>
      <c r="AN153" s="2698"/>
      <c r="AO153" s="2698"/>
      <c r="AP153" s="2698"/>
      <c r="AQ153" s="2698"/>
      <c r="AR153" s="2698"/>
      <c r="AS153" s="3045">
        <v>6500000</v>
      </c>
      <c r="AT153" s="3045"/>
      <c r="AU153" s="3045"/>
      <c r="AV153" s="3045"/>
      <c r="AW153" s="3045"/>
      <c r="AX153" s="1144"/>
      <c r="AY153" s="1144"/>
      <c r="AZ153" s="1144"/>
      <c r="BA153" s="1144"/>
      <c r="BB153" s="1144"/>
      <c r="BC153" s="1144"/>
      <c r="BD153" s="1144"/>
      <c r="BE153" s="1150"/>
    </row>
    <row r="154" spans="1:57" ht="15.75" customHeight="1">
      <c r="A154" s="1144"/>
      <c r="B154" s="1144"/>
      <c r="C154" s="3011" t="s">
        <v>1959</v>
      </c>
      <c r="D154" s="3012"/>
      <c r="E154" s="3012"/>
      <c r="F154" s="3012"/>
      <c r="G154" s="3012"/>
      <c r="H154" s="3012"/>
      <c r="I154" s="3012"/>
      <c r="J154" s="3012"/>
      <c r="K154" s="3012"/>
      <c r="L154" s="3012"/>
      <c r="M154" s="3046"/>
      <c r="N154" s="3047">
        <f>'Sources and Uses Budget'!B105</f>
        <v>68883892.600918442</v>
      </c>
      <c r="O154" s="3047"/>
      <c r="P154" s="3047"/>
      <c r="Q154" s="3047"/>
      <c r="R154" s="3047"/>
      <c r="S154" s="3047"/>
      <c r="T154" s="3048"/>
      <c r="U154" s="3049"/>
      <c r="V154" s="3050"/>
      <c r="W154" s="3050"/>
      <c r="X154" s="3050"/>
      <c r="Y154" s="3050"/>
      <c r="Z154" s="3050"/>
      <c r="AA154" s="3050"/>
      <c r="AB154" s="3050"/>
      <c r="AC154" s="3050"/>
      <c r="AD154" s="3050"/>
      <c r="AE154" s="3051"/>
      <c r="AF154" s="1144"/>
      <c r="AG154" s="1144"/>
      <c r="AH154" s="3052" t="s">
        <v>1960</v>
      </c>
      <c r="AI154" s="3053"/>
      <c r="AJ154" s="3053"/>
      <c r="AK154" s="3053"/>
      <c r="AL154" s="3053"/>
      <c r="AM154" s="3053"/>
      <c r="AN154" s="3053"/>
      <c r="AO154" s="3053"/>
      <c r="AP154" s="3053"/>
      <c r="AQ154" s="3053"/>
      <c r="AR154" s="3053"/>
      <c r="AS154" s="3045">
        <v>0</v>
      </c>
      <c r="AT154" s="3045"/>
      <c r="AU154" s="3045"/>
      <c r="AV154" s="3045"/>
      <c r="AW154" s="3045"/>
      <c r="AX154" s="1144"/>
      <c r="AY154" s="1144"/>
      <c r="AZ154" s="1144"/>
      <c r="BA154" s="1144"/>
      <c r="BB154" s="1144"/>
      <c r="BC154" s="1144"/>
      <c r="BD154" s="1144"/>
      <c r="BE154" s="1150"/>
    </row>
    <row r="155" spans="1:57" ht="15.75" customHeight="1">
      <c r="A155" s="1144"/>
      <c r="B155" s="1144"/>
      <c r="C155" s="3011" t="s">
        <v>1961</v>
      </c>
      <c r="D155" s="3012"/>
      <c r="E155" s="3012"/>
      <c r="F155" s="3012"/>
      <c r="G155" s="3012"/>
      <c r="H155" s="3012"/>
      <c r="I155" s="3012"/>
      <c r="J155" s="3012"/>
      <c r="K155" s="3012"/>
      <c r="L155" s="3012"/>
      <c r="M155" s="3046"/>
      <c r="N155" s="3047">
        <f>N154/J29</f>
        <v>956720.73056831164</v>
      </c>
      <c r="O155" s="3047"/>
      <c r="P155" s="3047"/>
      <c r="Q155" s="3047"/>
      <c r="R155" s="3047"/>
      <c r="S155" s="3047"/>
      <c r="T155" s="3048"/>
      <c r="U155" s="1167"/>
      <c r="V155" s="1167"/>
      <c r="W155" s="1167"/>
      <c r="X155" s="1167"/>
      <c r="Y155" s="1167"/>
      <c r="Z155" s="1167"/>
      <c r="AA155" s="1167"/>
      <c r="AB155" s="1167"/>
      <c r="AC155" s="1167"/>
      <c r="AD155" s="1167"/>
      <c r="AE155" s="1168"/>
      <c r="AF155" s="1144"/>
      <c r="AG155" s="1144"/>
      <c r="AH155" s="3001" t="s">
        <v>1962</v>
      </c>
      <c r="AI155" s="3002"/>
      <c r="AJ155" s="3002"/>
      <c r="AK155" s="3002"/>
      <c r="AL155" s="3002"/>
      <c r="AM155" s="3002"/>
      <c r="AN155" s="3002"/>
      <c r="AO155" s="3002"/>
      <c r="AP155" s="3002"/>
      <c r="AQ155" s="3002"/>
      <c r="AR155" s="3003"/>
      <c r="AS155" s="3045">
        <v>2500000</v>
      </c>
      <c r="AT155" s="3045"/>
      <c r="AU155" s="3045"/>
      <c r="AV155" s="3045"/>
      <c r="AW155" s="3045"/>
      <c r="AX155" s="1144"/>
      <c r="AY155" s="1144"/>
      <c r="AZ155" s="1144"/>
      <c r="BA155" s="1144"/>
      <c r="BB155" s="1144"/>
      <c r="BC155" s="1144"/>
      <c r="BD155" s="1144"/>
      <c r="BE155" s="1150"/>
    </row>
    <row r="156" spans="1:57" ht="15.75" customHeight="1">
      <c r="A156" s="1144"/>
      <c r="B156" s="1144"/>
      <c r="C156" s="3069" t="s">
        <v>1963</v>
      </c>
      <c r="D156" s="2866"/>
      <c r="E156" s="2866"/>
      <c r="F156" s="2866"/>
      <c r="G156" s="2866"/>
      <c r="H156" s="2866"/>
      <c r="I156" s="2866"/>
      <c r="J156" s="2866"/>
      <c r="K156" s="2866"/>
      <c r="L156" s="2866"/>
      <c r="M156" s="2867"/>
      <c r="N156" s="3070">
        <v>0</v>
      </c>
      <c r="O156" s="3070"/>
      <c r="P156" s="3070"/>
      <c r="Q156" s="3070"/>
      <c r="R156" s="3070"/>
      <c r="S156" s="3070"/>
      <c r="T156" s="3071"/>
      <c r="U156" s="3072"/>
      <c r="V156" s="3073"/>
      <c r="W156" s="3073"/>
      <c r="X156" s="3073"/>
      <c r="Y156" s="3073"/>
      <c r="Z156" s="3073"/>
      <c r="AA156" s="3073"/>
      <c r="AB156" s="3073"/>
      <c r="AC156" s="3073"/>
      <c r="AD156" s="3073"/>
      <c r="AE156" s="3074"/>
      <c r="AF156" s="1144"/>
      <c r="AG156" s="1144"/>
      <c r="AH156" s="3049"/>
      <c r="AI156" s="3050"/>
      <c r="AJ156" s="3050"/>
      <c r="AK156" s="3050"/>
      <c r="AL156" s="3050"/>
      <c r="AM156" s="3050"/>
      <c r="AN156" s="3050"/>
      <c r="AO156" s="3050"/>
      <c r="AP156" s="3050"/>
      <c r="AQ156" s="3050"/>
      <c r="AR156" s="3075"/>
      <c r="AS156" s="3076"/>
      <c r="AT156" s="3077"/>
      <c r="AU156" s="3077"/>
      <c r="AV156" s="3077"/>
      <c r="AW156" s="3078"/>
      <c r="AX156" s="1144"/>
      <c r="AY156" s="1144"/>
      <c r="AZ156" s="1144"/>
      <c r="BA156" s="1144"/>
      <c r="BB156" s="1144"/>
      <c r="BC156" s="1144"/>
      <c r="BD156" s="1144"/>
      <c r="BE156" s="1150"/>
    </row>
    <row r="157" spans="1:57" ht="15.75" customHeight="1" thickBot="1">
      <c r="A157" s="1144"/>
      <c r="B157" s="1144"/>
      <c r="C157" s="3001" t="s">
        <v>1964</v>
      </c>
      <c r="D157" s="3002"/>
      <c r="E157" s="3002"/>
      <c r="F157" s="3002"/>
      <c r="G157" s="3002"/>
      <c r="H157" s="3002"/>
      <c r="I157" s="3002"/>
      <c r="J157" s="3002"/>
      <c r="K157" s="3002"/>
      <c r="L157" s="3002"/>
      <c r="M157" s="3060"/>
      <c r="N157" s="3061">
        <f>SUM('Sources and Uses Budget'!B85:B86)</f>
        <v>784804</v>
      </c>
      <c r="O157" s="3061"/>
      <c r="P157" s="3061"/>
      <c r="Q157" s="3061"/>
      <c r="R157" s="3061"/>
      <c r="S157" s="3061"/>
      <c r="T157" s="3062"/>
      <c r="U157" s="3063"/>
      <c r="V157" s="3064"/>
      <c r="W157" s="3064"/>
      <c r="X157" s="3064"/>
      <c r="Y157" s="3064"/>
      <c r="Z157" s="3064"/>
      <c r="AA157" s="3064"/>
      <c r="AB157" s="3064"/>
      <c r="AC157" s="3064"/>
      <c r="AD157" s="3064"/>
      <c r="AE157" s="3065"/>
      <c r="AF157" s="1144"/>
      <c r="AG157" s="1144"/>
      <c r="AH157" s="3066" t="s">
        <v>2325</v>
      </c>
      <c r="AI157" s="3067"/>
      <c r="AJ157" s="3067"/>
      <c r="AK157" s="3067"/>
      <c r="AL157" s="3067"/>
      <c r="AM157" s="3067"/>
      <c r="AN157" s="3067"/>
      <c r="AO157" s="3067"/>
      <c r="AP157" s="3067"/>
      <c r="AQ157" s="3067"/>
      <c r="AR157" s="3067"/>
      <c r="AS157" s="3068">
        <f>SUM(AS153:AW155)</f>
        <v>9000000</v>
      </c>
      <c r="AT157" s="3068"/>
      <c r="AU157" s="3068"/>
      <c r="AV157" s="3068"/>
      <c r="AW157" s="3068"/>
      <c r="AX157" s="1144"/>
      <c r="AY157" s="1144"/>
      <c r="AZ157" s="1144"/>
      <c r="BA157" s="1144"/>
      <c r="BB157" s="1144"/>
      <c r="BC157" s="1144"/>
      <c r="BD157" s="1144"/>
      <c r="BE157" s="1150"/>
    </row>
    <row r="158" spans="1:57" ht="15.75" customHeight="1" thickBot="1">
      <c r="A158" s="1144"/>
      <c r="B158" s="1144"/>
      <c r="C158" s="3001" t="s">
        <v>1966</v>
      </c>
      <c r="D158" s="3002"/>
      <c r="E158" s="3002"/>
      <c r="F158" s="3002"/>
      <c r="G158" s="3002"/>
      <c r="H158" s="3002"/>
      <c r="I158" s="3002"/>
      <c r="J158" s="3002"/>
      <c r="K158" s="3002"/>
      <c r="L158" s="3002"/>
      <c r="M158" s="3060"/>
      <c r="N158" s="3061">
        <f>'Sources and Uses Budget'!B8</f>
        <v>15000</v>
      </c>
      <c r="O158" s="3061"/>
      <c r="P158" s="3061"/>
      <c r="Q158" s="3061"/>
      <c r="R158" s="3061"/>
      <c r="S158" s="3061"/>
      <c r="T158" s="3062"/>
      <c r="U158" s="3063"/>
      <c r="V158" s="3064"/>
      <c r="W158" s="3064"/>
      <c r="X158" s="3064"/>
      <c r="Y158" s="3064"/>
      <c r="Z158" s="3064"/>
      <c r="AA158" s="3064"/>
      <c r="AB158" s="3064"/>
      <c r="AC158" s="3064"/>
      <c r="AD158" s="3064"/>
      <c r="AE158" s="3065"/>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3001" t="s">
        <v>1967</v>
      </c>
      <c r="D159" s="3002"/>
      <c r="E159" s="3002"/>
      <c r="F159" s="3002"/>
      <c r="G159" s="3002"/>
      <c r="H159" s="3002"/>
      <c r="I159" s="3002"/>
      <c r="J159" s="3002"/>
      <c r="K159" s="3002"/>
      <c r="L159" s="3002"/>
      <c r="M159" s="3060"/>
      <c r="N159" s="3079">
        <v>0</v>
      </c>
      <c r="O159" s="3079"/>
      <c r="P159" s="3079"/>
      <c r="Q159" s="3079"/>
      <c r="R159" s="3079"/>
      <c r="S159" s="3079"/>
      <c r="T159" s="3080"/>
      <c r="U159" s="3063"/>
      <c r="V159" s="3064"/>
      <c r="W159" s="3064"/>
      <c r="X159" s="3064"/>
      <c r="Y159" s="3064"/>
      <c r="Z159" s="3064"/>
      <c r="AA159" s="3064"/>
      <c r="AB159" s="3064"/>
      <c r="AC159" s="3064"/>
      <c r="AD159" s="3064"/>
      <c r="AE159" s="3065"/>
      <c r="AF159" s="1144"/>
      <c r="AG159" s="1144"/>
      <c r="AH159" s="2697" t="s">
        <v>2326</v>
      </c>
      <c r="AI159" s="2698"/>
      <c r="AJ159" s="2698"/>
      <c r="AK159" s="2698"/>
      <c r="AL159" s="2698"/>
      <c r="AM159" s="2698"/>
      <c r="AN159" s="2698"/>
      <c r="AO159" s="2698"/>
      <c r="AP159" s="2698"/>
      <c r="AQ159" s="2698"/>
      <c r="AR159" s="2698"/>
      <c r="AS159" s="3085" t="s">
        <v>2327</v>
      </c>
      <c r="AT159" s="3085"/>
      <c r="AU159" s="3085"/>
      <c r="AV159" s="3085"/>
      <c r="AW159" s="3085"/>
      <c r="AX159" s="3085"/>
      <c r="AY159" s="3085" t="s">
        <v>2328</v>
      </c>
      <c r="AZ159" s="3085"/>
      <c r="BA159" s="3085"/>
      <c r="BB159" s="3085"/>
      <c r="BC159" s="3085"/>
      <c r="BD159" s="3086"/>
      <c r="BE159" s="1150"/>
    </row>
    <row r="160" spans="1:57" ht="15.75" customHeight="1">
      <c r="A160" s="1144"/>
      <c r="B160" s="1144"/>
      <c r="C160" s="3001" t="s">
        <v>1960</v>
      </c>
      <c r="D160" s="3002"/>
      <c r="E160" s="3002"/>
      <c r="F160" s="3002"/>
      <c r="G160" s="3002"/>
      <c r="H160" s="3002"/>
      <c r="I160" s="3002"/>
      <c r="J160" s="3002"/>
      <c r="K160" s="3002"/>
      <c r="L160" s="3002"/>
      <c r="M160" s="3060"/>
      <c r="N160" s="3079">
        <v>0</v>
      </c>
      <c r="O160" s="3079"/>
      <c r="P160" s="3079"/>
      <c r="Q160" s="3079"/>
      <c r="R160" s="3079"/>
      <c r="S160" s="3079"/>
      <c r="T160" s="3080"/>
      <c r="U160" s="3063"/>
      <c r="V160" s="3064"/>
      <c r="W160" s="3064"/>
      <c r="X160" s="3064"/>
      <c r="Y160" s="3064"/>
      <c r="Z160" s="3064"/>
      <c r="AA160" s="3064"/>
      <c r="AB160" s="3064"/>
      <c r="AC160" s="3064"/>
      <c r="AD160" s="3064"/>
      <c r="AE160" s="3065"/>
      <c r="AF160" s="1144"/>
      <c r="AG160" s="1144"/>
      <c r="AH160" s="3081" t="s">
        <v>2329</v>
      </c>
      <c r="AI160" s="3082"/>
      <c r="AJ160" s="3082"/>
      <c r="AK160" s="3082"/>
      <c r="AL160" s="3082"/>
      <c r="AM160" s="3082"/>
      <c r="AN160" s="3082"/>
      <c r="AO160" s="3082"/>
      <c r="AP160" s="3082"/>
      <c r="AQ160" s="3082"/>
      <c r="AR160" s="3082"/>
      <c r="AS160" s="3083">
        <v>1000000</v>
      </c>
      <c r="AT160" s="3083"/>
      <c r="AU160" s="3083"/>
      <c r="AV160" s="3083"/>
      <c r="AW160" s="3083"/>
      <c r="AX160" s="3083"/>
      <c r="AY160" s="3083">
        <v>500000</v>
      </c>
      <c r="AZ160" s="3083"/>
      <c r="BA160" s="3083"/>
      <c r="BB160" s="3083"/>
      <c r="BC160" s="3083"/>
      <c r="BD160" s="3084"/>
      <c r="BE160" s="1150"/>
    </row>
    <row r="161" spans="1:57" ht="15.75" customHeight="1">
      <c r="A161" s="1144"/>
      <c r="B161" s="1144"/>
      <c r="C161" s="3088" t="s">
        <v>305</v>
      </c>
      <c r="D161" s="3089"/>
      <c r="E161" s="3024" t="s">
        <v>1952</v>
      </c>
      <c r="F161" s="3024"/>
      <c r="G161" s="3024"/>
      <c r="H161" s="3024"/>
      <c r="I161" s="3024"/>
      <c r="J161" s="3024"/>
      <c r="K161" s="3024"/>
      <c r="L161" s="3024"/>
      <c r="M161" s="3087"/>
      <c r="N161" s="3079">
        <v>0</v>
      </c>
      <c r="O161" s="3079"/>
      <c r="P161" s="3079"/>
      <c r="Q161" s="3079"/>
      <c r="R161" s="3079"/>
      <c r="S161" s="3079"/>
      <c r="T161" s="3080"/>
      <c r="U161" s="3063"/>
      <c r="V161" s="3064"/>
      <c r="W161" s="3064"/>
      <c r="X161" s="3064"/>
      <c r="Y161" s="3064"/>
      <c r="Z161" s="3064"/>
      <c r="AA161" s="3064"/>
      <c r="AB161" s="3064"/>
      <c r="AC161" s="3064"/>
      <c r="AD161" s="3064"/>
      <c r="AE161" s="3065"/>
      <c r="AF161" s="1144"/>
      <c r="AG161" s="1144"/>
      <c r="AH161" s="3081" t="s">
        <v>2330</v>
      </c>
      <c r="AI161" s="3082"/>
      <c r="AJ161" s="3082"/>
      <c r="AK161" s="3082"/>
      <c r="AL161" s="3082"/>
      <c r="AM161" s="3082"/>
      <c r="AN161" s="3082"/>
      <c r="AO161" s="3082"/>
      <c r="AP161" s="3082"/>
      <c r="AQ161" s="3082"/>
      <c r="AR161" s="3082"/>
      <c r="AS161" s="3083">
        <v>2000000</v>
      </c>
      <c r="AT161" s="3083"/>
      <c r="AU161" s="3083"/>
      <c r="AV161" s="3083"/>
      <c r="AW161" s="3083"/>
      <c r="AX161" s="3083"/>
      <c r="AY161" s="3083">
        <v>250000</v>
      </c>
      <c r="AZ161" s="3083"/>
      <c r="BA161" s="3083"/>
      <c r="BB161" s="3083"/>
      <c r="BC161" s="3083"/>
      <c r="BD161" s="3084"/>
      <c r="BE161" s="1150"/>
    </row>
    <row r="162" spans="1:57" ht="15.75" customHeight="1">
      <c r="A162" s="1144"/>
      <c r="B162" s="1144"/>
      <c r="C162" s="3072" t="s">
        <v>305</v>
      </c>
      <c r="D162" s="3073"/>
      <c r="E162" s="3024" t="s">
        <v>1952</v>
      </c>
      <c r="F162" s="3024"/>
      <c r="G162" s="3024"/>
      <c r="H162" s="3024"/>
      <c r="I162" s="3024"/>
      <c r="J162" s="3024"/>
      <c r="K162" s="3024"/>
      <c r="L162" s="3024"/>
      <c r="M162" s="3087"/>
      <c r="N162" s="3079">
        <v>0</v>
      </c>
      <c r="O162" s="3079"/>
      <c r="P162" s="3079"/>
      <c r="Q162" s="3079"/>
      <c r="R162" s="3079"/>
      <c r="S162" s="3079"/>
      <c r="T162" s="3080"/>
      <c r="U162" s="3063"/>
      <c r="V162" s="3064"/>
      <c r="W162" s="3064"/>
      <c r="X162" s="3064"/>
      <c r="Y162" s="3064"/>
      <c r="Z162" s="3064"/>
      <c r="AA162" s="3064"/>
      <c r="AB162" s="3064"/>
      <c r="AC162" s="3064"/>
      <c r="AD162" s="3064"/>
      <c r="AE162" s="3065"/>
      <c r="AF162" s="1144"/>
      <c r="AG162" s="1144"/>
      <c r="AH162" s="3081" t="s">
        <v>2331</v>
      </c>
      <c r="AI162" s="3082"/>
      <c r="AJ162" s="3082"/>
      <c r="AK162" s="3082"/>
      <c r="AL162" s="3082"/>
      <c r="AM162" s="3082"/>
      <c r="AN162" s="3082"/>
      <c r="AO162" s="3082"/>
      <c r="AP162" s="3082"/>
      <c r="AQ162" s="3082"/>
      <c r="AR162" s="3082"/>
      <c r="AS162" s="3083">
        <v>25000000</v>
      </c>
      <c r="AT162" s="3083"/>
      <c r="AU162" s="3083"/>
      <c r="AV162" s="3083"/>
      <c r="AW162" s="3083"/>
      <c r="AX162" s="3083"/>
      <c r="AY162" s="3083">
        <v>1500000</v>
      </c>
      <c r="AZ162" s="3083"/>
      <c r="BA162" s="3083"/>
      <c r="BB162" s="3083"/>
      <c r="BC162" s="3083"/>
      <c r="BD162" s="3084"/>
      <c r="BE162" s="1150"/>
    </row>
    <row r="163" spans="1:57" ht="15.75" customHeight="1" thickBot="1">
      <c r="A163" s="1144"/>
      <c r="B163" s="1144"/>
      <c r="C163" s="3096" t="s">
        <v>305</v>
      </c>
      <c r="D163" s="3097"/>
      <c r="E163" s="3031" t="s">
        <v>1952</v>
      </c>
      <c r="F163" s="3031"/>
      <c r="G163" s="3031"/>
      <c r="H163" s="3031"/>
      <c r="I163" s="3031"/>
      <c r="J163" s="3031"/>
      <c r="K163" s="3031"/>
      <c r="L163" s="3031"/>
      <c r="M163" s="3098"/>
      <c r="N163" s="3099">
        <v>0</v>
      </c>
      <c r="O163" s="3099"/>
      <c r="P163" s="3099"/>
      <c r="Q163" s="3099"/>
      <c r="R163" s="3099"/>
      <c r="S163" s="3099"/>
      <c r="T163" s="3100"/>
      <c r="U163" s="3101"/>
      <c r="V163" s="3102"/>
      <c r="W163" s="3102"/>
      <c r="X163" s="3102"/>
      <c r="Y163" s="3102"/>
      <c r="Z163" s="3102"/>
      <c r="AA163" s="3102"/>
      <c r="AB163" s="3102"/>
      <c r="AC163" s="3102"/>
      <c r="AD163" s="3102"/>
      <c r="AE163" s="3103"/>
      <c r="AF163" s="1144"/>
      <c r="AG163" s="1144"/>
      <c r="AH163" s="3081" t="s">
        <v>2332</v>
      </c>
      <c r="AI163" s="3082"/>
      <c r="AJ163" s="3082"/>
      <c r="AK163" s="3082"/>
      <c r="AL163" s="3082"/>
      <c r="AM163" s="3082"/>
      <c r="AN163" s="3082"/>
      <c r="AO163" s="3082"/>
      <c r="AP163" s="3082"/>
      <c r="AQ163" s="3082"/>
      <c r="AR163" s="3082"/>
      <c r="AS163" s="3083">
        <v>1500000</v>
      </c>
      <c r="AT163" s="3083"/>
      <c r="AU163" s="3083"/>
      <c r="AV163" s="3083"/>
      <c r="AW163" s="3083"/>
      <c r="AX163" s="3083"/>
      <c r="AY163" s="3083">
        <v>250000</v>
      </c>
      <c r="AZ163" s="3083"/>
      <c r="BA163" s="3083"/>
      <c r="BB163" s="3083"/>
      <c r="BC163" s="3083"/>
      <c r="BD163" s="3084"/>
      <c r="BE163" s="1150"/>
    </row>
    <row r="164" spans="1:57" ht="15.75" customHeight="1">
      <c r="A164" s="1144"/>
      <c r="B164" s="1144"/>
      <c r="C164" s="3090" t="s">
        <v>1968</v>
      </c>
      <c r="D164" s="3091"/>
      <c r="E164" s="3091"/>
      <c r="F164" s="3091"/>
      <c r="G164" s="3091"/>
      <c r="H164" s="3091"/>
      <c r="I164" s="3091"/>
      <c r="J164" s="3091"/>
      <c r="K164" s="3091"/>
      <c r="L164" s="3091"/>
      <c r="M164" s="3092"/>
      <c r="N164" s="3093">
        <f>SUM(N156:T163)</f>
        <v>799804</v>
      </c>
      <c r="O164" s="3094"/>
      <c r="P164" s="3094"/>
      <c r="Q164" s="3094"/>
      <c r="R164" s="3094"/>
      <c r="S164" s="3094"/>
      <c r="T164" s="3095"/>
      <c r="U164" s="1144"/>
      <c r="V164" s="1144"/>
      <c r="W164" s="1144"/>
      <c r="X164" s="1144"/>
      <c r="Y164" s="1144"/>
      <c r="Z164" s="1144"/>
      <c r="AA164" s="1144"/>
      <c r="AB164" s="1144"/>
      <c r="AC164" s="1144"/>
      <c r="AD164" s="1144"/>
      <c r="AE164" s="1144"/>
      <c r="AF164" s="1144"/>
      <c r="AG164" s="1144"/>
      <c r="AH164" s="3081" t="s">
        <v>2333</v>
      </c>
      <c r="AI164" s="3082"/>
      <c r="AJ164" s="3082"/>
      <c r="AK164" s="3082"/>
      <c r="AL164" s="3082"/>
      <c r="AM164" s="3082"/>
      <c r="AN164" s="3082"/>
      <c r="AO164" s="3082"/>
      <c r="AP164" s="3082"/>
      <c r="AQ164" s="3082"/>
      <c r="AR164" s="3082"/>
      <c r="AS164" s="3083">
        <v>500000</v>
      </c>
      <c r="AT164" s="3083"/>
      <c r="AU164" s="3083"/>
      <c r="AV164" s="3083"/>
      <c r="AW164" s="3083"/>
      <c r="AX164" s="3083"/>
      <c r="AY164" s="3083">
        <v>0</v>
      </c>
      <c r="AZ164" s="3083"/>
      <c r="BA164" s="3083"/>
      <c r="BB164" s="3083"/>
      <c r="BC164" s="3083"/>
      <c r="BD164" s="3084"/>
      <c r="BE164" s="1150"/>
    </row>
    <row r="165" spans="1:57" ht="15.75" customHeight="1" thickBot="1">
      <c r="A165" s="1144"/>
      <c r="B165" s="1144"/>
      <c r="C165" s="2868" t="s">
        <v>1969</v>
      </c>
      <c r="D165" s="2869"/>
      <c r="E165" s="2869"/>
      <c r="F165" s="2869"/>
      <c r="G165" s="2869"/>
      <c r="H165" s="2869"/>
      <c r="I165" s="2869"/>
      <c r="J165" s="2869"/>
      <c r="K165" s="2869"/>
      <c r="L165" s="2869"/>
      <c r="M165" s="2869"/>
      <c r="N165" s="3117">
        <f>(N154-N164)/J29</f>
        <v>945612.34167942277</v>
      </c>
      <c r="O165" s="3117"/>
      <c r="P165" s="3117"/>
      <c r="Q165" s="3117"/>
      <c r="R165" s="3117"/>
      <c r="S165" s="3117"/>
      <c r="T165" s="3118"/>
      <c r="U165" s="1151"/>
      <c r="V165" s="1144"/>
      <c r="W165" s="1144"/>
      <c r="X165" s="1144"/>
      <c r="Y165" s="1144"/>
      <c r="Z165" s="1144"/>
      <c r="AA165" s="1144"/>
      <c r="AB165" s="1144"/>
      <c r="AC165" s="1144"/>
      <c r="AD165" s="1144"/>
      <c r="AE165" s="1144"/>
      <c r="AF165" s="1144"/>
      <c r="AG165" s="1144"/>
      <c r="AH165" s="3081" t="s">
        <v>2334</v>
      </c>
      <c r="AI165" s="3082"/>
      <c r="AJ165" s="3082"/>
      <c r="AK165" s="3082"/>
      <c r="AL165" s="3082"/>
      <c r="AM165" s="3082"/>
      <c r="AN165" s="3082"/>
      <c r="AO165" s="3082"/>
      <c r="AP165" s="3082"/>
      <c r="AQ165" s="3082"/>
      <c r="AR165" s="3082"/>
      <c r="AS165" s="3083">
        <v>0</v>
      </c>
      <c r="AT165" s="3083"/>
      <c r="AU165" s="3083"/>
      <c r="AV165" s="3083"/>
      <c r="AW165" s="3083"/>
      <c r="AX165" s="3083"/>
      <c r="AY165" s="3083">
        <v>0</v>
      </c>
      <c r="AZ165" s="3083"/>
      <c r="BA165" s="3083"/>
      <c r="BB165" s="3083"/>
      <c r="BC165" s="3083"/>
      <c r="BD165" s="3084"/>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883" t="s">
        <v>1965</v>
      </c>
      <c r="AI166" s="2884"/>
      <c r="AJ166" s="2884"/>
      <c r="AK166" s="2884"/>
      <c r="AL166" s="2884"/>
      <c r="AM166" s="2884"/>
      <c r="AN166" s="2884"/>
      <c r="AO166" s="2884"/>
      <c r="AP166" s="2884"/>
      <c r="AQ166" s="2884"/>
      <c r="AR166" s="2884"/>
      <c r="AS166" s="3119">
        <f>SUM(AS160:AX165)</f>
        <v>30000000</v>
      </c>
      <c r="AT166" s="3119"/>
      <c r="AU166" s="3119"/>
      <c r="AV166" s="3119"/>
      <c r="AW166" s="3119"/>
      <c r="AX166" s="3119"/>
      <c r="AY166" s="3119">
        <f>SUM(AY160:BD165)</f>
        <v>2500000</v>
      </c>
      <c r="AZ166" s="3119"/>
      <c r="BA166" s="3119"/>
      <c r="BB166" s="3119"/>
      <c r="BC166" s="3119"/>
      <c r="BD166" s="3120"/>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3104" t="s">
        <v>1970</v>
      </c>
      <c r="C168" s="3105"/>
      <c r="D168" s="3105"/>
      <c r="E168" s="3105"/>
      <c r="F168" s="3105"/>
      <c r="G168" s="3105"/>
      <c r="H168" s="3105"/>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3105"/>
      <c r="AD168" s="3105"/>
      <c r="AE168" s="3105"/>
      <c r="AF168" s="3105"/>
      <c r="AG168" s="3105"/>
      <c r="AH168" s="3105"/>
      <c r="AI168" s="3105"/>
      <c r="AJ168" s="3105"/>
      <c r="AK168" s="3105"/>
      <c r="AL168" s="3105"/>
      <c r="AM168" s="3105"/>
      <c r="AN168" s="3105"/>
      <c r="AO168" s="3105"/>
      <c r="AP168" s="3105"/>
      <c r="AQ168" s="3105"/>
      <c r="AR168" s="3105"/>
      <c r="AS168" s="3105"/>
      <c r="AT168" s="3105"/>
      <c r="AU168" s="3105"/>
      <c r="AV168" s="3105"/>
      <c r="AW168" s="3105"/>
      <c r="AX168" s="3105"/>
      <c r="AY168" s="3105"/>
      <c r="AZ168" s="3105"/>
      <c r="BA168" s="3105"/>
      <c r="BB168" s="3105"/>
      <c r="BC168" s="3105"/>
      <c r="BD168" s="3106"/>
      <c r="BE168" s="1150"/>
    </row>
    <row r="169" spans="1:57" ht="15.75" customHeight="1">
      <c r="A169" s="1144"/>
      <c r="B169" s="3107"/>
      <c r="C169" s="3108"/>
      <c r="D169" s="3108"/>
      <c r="E169" s="3108"/>
      <c r="F169" s="3108"/>
      <c r="G169" s="3108"/>
      <c r="H169" s="3108"/>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108"/>
      <c r="AD169" s="3108"/>
      <c r="AE169" s="3108"/>
      <c r="AF169" s="3108"/>
      <c r="AG169" s="3108"/>
      <c r="AH169" s="3108"/>
      <c r="AI169" s="3108"/>
      <c r="AJ169" s="3108"/>
      <c r="AK169" s="3108"/>
      <c r="AL169" s="3108"/>
      <c r="AM169" s="3108"/>
      <c r="AN169" s="3108"/>
      <c r="AO169" s="3108"/>
      <c r="AP169" s="3108"/>
      <c r="AQ169" s="3108"/>
      <c r="AR169" s="3108"/>
      <c r="AS169" s="3108"/>
      <c r="AT169" s="3108"/>
      <c r="AU169" s="3108"/>
      <c r="AV169" s="3108"/>
      <c r="AW169" s="3108"/>
      <c r="AX169" s="3108"/>
      <c r="AY169" s="3108"/>
      <c r="AZ169" s="3108"/>
      <c r="BA169" s="3108"/>
      <c r="BB169" s="3108"/>
      <c r="BC169" s="3108"/>
      <c r="BD169" s="3109"/>
      <c r="BE169" s="1150"/>
    </row>
    <row r="170" spans="1:57" ht="15.75" customHeight="1">
      <c r="A170" s="1144"/>
      <c r="B170" s="3110" t="s">
        <v>1971</v>
      </c>
      <c r="C170" s="3111"/>
      <c r="D170" s="3111"/>
      <c r="E170" s="3111"/>
      <c r="F170" s="3111"/>
      <c r="G170" s="3111"/>
      <c r="H170" s="3111"/>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111"/>
      <c r="AD170" s="3111"/>
      <c r="AE170" s="3111"/>
      <c r="AF170" s="3111"/>
      <c r="AG170" s="3111"/>
      <c r="AH170" s="3111"/>
      <c r="AI170" s="3111"/>
      <c r="AJ170" s="3111"/>
      <c r="AK170" s="3111"/>
      <c r="AL170" s="3111"/>
      <c r="AM170" s="3111"/>
      <c r="AN170" s="3111"/>
      <c r="AO170" s="3111"/>
      <c r="AP170" s="3111"/>
      <c r="AQ170" s="3111"/>
      <c r="AR170" s="3111"/>
      <c r="AS170" s="3111"/>
      <c r="AT170" s="3111"/>
      <c r="AU170" s="3111"/>
      <c r="AV170" s="3111"/>
      <c r="AW170" s="3111"/>
      <c r="AX170" s="3111"/>
      <c r="AY170" s="3111"/>
      <c r="AZ170" s="3111"/>
      <c r="BA170" s="3111"/>
      <c r="BB170" s="3111"/>
      <c r="BC170" s="3111"/>
      <c r="BD170" s="3112"/>
      <c r="BE170" s="1150"/>
    </row>
    <row r="171" spans="1:57" ht="15.75" customHeight="1">
      <c r="A171" s="1144"/>
      <c r="B171" s="3110" t="s">
        <v>1972</v>
      </c>
      <c r="C171" s="3111"/>
      <c r="D171" s="3111"/>
      <c r="E171" s="3111"/>
      <c r="F171" s="3111"/>
      <c r="G171" s="3111"/>
      <c r="H171" s="3111"/>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111"/>
      <c r="AD171" s="3111"/>
      <c r="AE171" s="3111"/>
      <c r="AF171" s="3111"/>
      <c r="AG171" s="3111"/>
      <c r="AH171" s="3111"/>
      <c r="AI171" s="3111"/>
      <c r="AJ171" s="3111"/>
      <c r="AK171" s="3111"/>
      <c r="AL171" s="3111"/>
      <c r="AM171" s="3111"/>
      <c r="AN171" s="3111"/>
      <c r="AO171" s="3111"/>
      <c r="AP171" s="3111"/>
      <c r="AQ171" s="3111"/>
      <c r="AR171" s="3111"/>
      <c r="AS171" s="3111"/>
      <c r="AT171" s="3111"/>
      <c r="AU171" s="3111"/>
      <c r="AV171" s="3111"/>
      <c r="AW171" s="3111"/>
      <c r="AX171" s="3111"/>
      <c r="AY171" s="3111"/>
      <c r="AZ171" s="3111"/>
      <c r="BA171" s="3111"/>
      <c r="BB171" s="3111"/>
      <c r="BC171" s="3111"/>
      <c r="BD171" s="3112"/>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3113" t="s">
        <v>1973</v>
      </c>
      <c r="C173" s="3114"/>
      <c r="D173" s="3114"/>
      <c r="E173" s="3114"/>
      <c r="F173" s="3114"/>
      <c r="G173" s="3114"/>
      <c r="H173" s="3114"/>
      <c r="I173" s="3114"/>
      <c r="J173" s="3114"/>
      <c r="K173" s="3114"/>
      <c r="L173" s="3114"/>
      <c r="M173" s="3114"/>
      <c r="N173" s="3114"/>
      <c r="O173" s="3114"/>
      <c r="P173" s="3114"/>
      <c r="Q173" s="3114"/>
      <c r="R173" s="3114"/>
      <c r="S173" s="3114"/>
      <c r="T173" s="3114"/>
      <c r="U173" s="3114"/>
      <c r="V173" s="3114"/>
      <c r="W173" s="3114"/>
      <c r="X173" s="3114"/>
      <c r="Y173" s="3114"/>
      <c r="Z173" s="3114"/>
      <c r="AA173" s="3114"/>
      <c r="AB173" s="3114"/>
      <c r="AC173" s="3114"/>
      <c r="AD173" s="3114"/>
      <c r="AE173" s="3114"/>
      <c r="AF173" s="3114"/>
      <c r="AG173" s="3114"/>
      <c r="AH173" s="3114"/>
      <c r="AI173" s="3114"/>
      <c r="AJ173" s="3114"/>
      <c r="AK173" s="3114"/>
      <c r="AL173" s="3114"/>
      <c r="AM173" s="3114"/>
      <c r="AN173" s="3114"/>
      <c r="AO173" s="3114"/>
      <c r="AP173" s="3114"/>
      <c r="AQ173" s="3114"/>
      <c r="AR173" s="3114"/>
      <c r="AS173" s="3114"/>
      <c r="AT173" s="3114"/>
      <c r="AU173" s="3114"/>
      <c r="AV173" s="3114"/>
      <c r="AW173" s="3114"/>
      <c r="AX173" s="3114"/>
      <c r="AY173" s="3114"/>
      <c r="AZ173" s="3114"/>
      <c r="BA173" s="3114"/>
      <c r="BB173" s="3114"/>
      <c r="BC173" s="3114"/>
      <c r="BD173" s="3115"/>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1974</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3116" t="s">
        <v>1975</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6"/>
      <c r="AD177" s="3116"/>
      <c r="AE177" s="3116"/>
      <c r="AF177" s="3116"/>
      <c r="AG177" s="3116"/>
      <c r="AH177" s="3116"/>
      <c r="AI177" s="3116"/>
      <c r="AJ177" s="3116"/>
      <c r="AK177" s="3116"/>
      <c r="AL177" s="3116"/>
      <c r="AM177" s="3116"/>
      <c r="AN177" s="3116"/>
      <c r="AO177" s="3116"/>
      <c r="AP177" s="3116"/>
      <c r="AQ177" s="3116"/>
      <c r="AR177" s="3116"/>
      <c r="AS177" s="3116"/>
      <c r="AT177" s="3116"/>
      <c r="AU177" s="3116"/>
      <c r="AV177" s="3116"/>
      <c r="AW177" s="3116"/>
      <c r="AX177" s="3116"/>
      <c r="AY177" s="3116"/>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3127" t="s">
        <v>2745</v>
      </c>
      <c r="I179" s="3127"/>
      <c r="J179" s="3127"/>
      <c r="K179" s="3127"/>
      <c r="L179" s="3127"/>
      <c r="M179" s="3127"/>
      <c r="N179" s="3127"/>
      <c r="O179" s="3127"/>
      <c r="P179" s="3127"/>
      <c r="Q179" s="3127"/>
      <c r="R179" s="3127"/>
      <c r="S179" s="3127"/>
      <c r="T179" s="3127"/>
      <c r="U179" s="3127"/>
      <c r="V179" s="3127"/>
      <c r="W179" s="3127"/>
      <c r="X179" s="3127"/>
      <c r="Y179" s="3127"/>
      <c r="Z179" s="3127"/>
      <c r="AA179" s="3127"/>
      <c r="AB179" s="3127"/>
      <c r="AC179" s="3127"/>
      <c r="AD179" s="3127"/>
      <c r="AE179" s="3127"/>
      <c r="AF179" s="3127"/>
      <c r="AG179" s="3127"/>
      <c r="AH179" s="3127"/>
      <c r="AI179" s="3127"/>
      <c r="AJ179" s="3127"/>
      <c r="AK179" s="3127"/>
      <c r="AL179" s="3127"/>
      <c r="AM179" s="3127"/>
      <c r="AN179" s="3127"/>
      <c r="AO179" s="3127"/>
      <c r="AP179" s="3127"/>
      <c r="AQ179" s="3127"/>
      <c r="AR179" s="3127"/>
      <c r="AS179" s="3127"/>
      <c r="AT179" s="3127"/>
      <c r="AU179" s="3127"/>
      <c r="AV179" s="3127"/>
      <c r="AW179" s="3127"/>
      <c r="AX179" s="3127"/>
      <c r="AY179" s="3127"/>
      <c r="AZ179" s="3127"/>
      <c r="BA179" s="1144"/>
      <c r="BB179" s="1144"/>
      <c r="BC179" s="1144"/>
      <c r="BD179" s="1150"/>
      <c r="BE179" s="1150"/>
    </row>
    <row r="180" spans="1:57" ht="15.75" customHeight="1">
      <c r="A180" s="1144"/>
      <c r="B180" s="1143"/>
      <c r="C180" s="1144"/>
      <c r="D180" s="1144"/>
      <c r="E180" s="1144"/>
      <c r="F180" s="1144"/>
      <c r="G180" s="1144"/>
      <c r="H180" s="3127"/>
      <c r="I180" s="3127"/>
      <c r="J180" s="3127"/>
      <c r="K180" s="3127"/>
      <c r="L180" s="3127"/>
      <c r="M180" s="3127"/>
      <c r="N180" s="3127"/>
      <c r="O180" s="3127"/>
      <c r="P180" s="3127"/>
      <c r="Q180" s="3127"/>
      <c r="R180" s="3127"/>
      <c r="S180" s="3127"/>
      <c r="T180" s="3127"/>
      <c r="U180" s="3127"/>
      <c r="V180" s="3127"/>
      <c r="W180" s="3127"/>
      <c r="X180" s="3127"/>
      <c r="Y180" s="3127"/>
      <c r="Z180" s="3127"/>
      <c r="AA180" s="3127"/>
      <c r="AB180" s="3127"/>
      <c r="AC180" s="3127"/>
      <c r="AD180" s="3127"/>
      <c r="AE180" s="3127"/>
      <c r="AF180" s="3127"/>
      <c r="AG180" s="3127"/>
      <c r="AH180" s="3127"/>
      <c r="AI180" s="3127"/>
      <c r="AJ180" s="3127"/>
      <c r="AK180" s="3127"/>
      <c r="AL180" s="3127"/>
      <c r="AM180" s="3127"/>
      <c r="AN180" s="3127"/>
      <c r="AO180" s="3127"/>
      <c r="AP180" s="3127"/>
      <c r="AQ180" s="3127"/>
      <c r="AR180" s="3127"/>
      <c r="AS180" s="3127"/>
      <c r="AT180" s="3127"/>
      <c r="AU180" s="3127"/>
      <c r="AV180" s="3127"/>
      <c r="AW180" s="3127"/>
      <c r="AX180" s="3127"/>
      <c r="AY180" s="3127"/>
      <c r="AZ180" s="3127"/>
      <c r="BA180" s="1144"/>
      <c r="BB180" s="1144"/>
      <c r="BC180" s="1144"/>
      <c r="BD180" s="1150"/>
      <c r="BE180" s="1150"/>
    </row>
    <row r="181" spans="1:57" ht="15.75" customHeight="1">
      <c r="A181" s="1144"/>
      <c r="B181" s="1143"/>
      <c r="C181" s="1144"/>
      <c r="D181" s="1144"/>
      <c r="E181" s="1144"/>
      <c r="F181" s="1144"/>
      <c r="G181" s="1144"/>
      <c r="H181" s="3127"/>
      <c r="I181" s="3127"/>
      <c r="J181" s="3127"/>
      <c r="K181" s="3127"/>
      <c r="L181" s="3127"/>
      <c r="M181" s="3127"/>
      <c r="N181" s="3127"/>
      <c r="O181" s="3127"/>
      <c r="P181" s="3127"/>
      <c r="Q181" s="3127"/>
      <c r="R181" s="3127"/>
      <c r="S181" s="3127"/>
      <c r="T181" s="3127"/>
      <c r="U181" s="3127"/>
      <c r="V181" s="3127"/>
      <c r="W181" s="3127"/>
      <c r="X181" s="3127"/>
      <c r="Y181" s="3127"/>
      <c r="Z181" s="3127"/>
      <c r="AA181" s="3127"/>
      <c r="AB181" s="3127"/>
      <c r="AC181" s="3127"/>
      <c r="AD181" s="3127"/>
      <c r="AE181" s="3127"/>
      <c r="AF181" s="3127"/>
      <c r="AG181" s="3127"/>
      <c r="AH181" s="3127"/>
      <c r="AI181" s="3127"/>
      <c r="AJ181" s="3127"/>
      <c r="AK181" s="3127"/>
      <c r="AL181" s="3127"/>
      <c r="AM181" s="3127"/>
      <c r="AN181" s="3127"/>
      <c r="AO181" s="3127"/>
      <c r="AP181" s="3127"/>
      <c r="AQ181" s="3127"/>
      <c r="AR181" s="3127"/>
      <c r="AS181" s="3127"/>
      <c r="AT181" s="3127"/>
      <c r="AU181" s="3127"/>
      <c r="AV181" s="3127"/>
      <c r="AW181" s="3127"/>
      <c r="AX181" s="3127"/>
      <c r="AY181" s="3127"/>
      <c r="AZ181" s="3127"/>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3128" t="s">
        <v>1976</v>
      </c>
      <c r="I184" s="3128"/>
      <c r="J184" s="3128"/>
      <c r="K184" s="3128"/>
      <c r="L184" s="3128"/>
      <c r="M184" s="3128"/>
      <c r="N184" s="3128"/>
      <c r="O184" s="3128"/>
      <c r="P184" s="3128"/>
      <c r="Q184" s="3128"/>
      <c r="R184" s="3128"/>
      <c r="S184" s="3128"/>
      <c r="T184" s="3128"/>
      <c r="U184" s="3128"/>
      <c r="V184" s="3128"/>
      <c r="W184" s="3128"/>
      <c r="X184" s="3128"/>
      <c r="Y184" s="3128"/>
      <c r="Z184" s="3128"/>
      <c r="AA184" s="3128"/>
      <c r="AB184" s="3128"/>
      <c r="AC184" s="3128"/>
      <c r="AD184" s="3128"/>
      <c r="AE184" s="3128"/>
      <c r="AF184" s="3128"/>
      <c r="AG184" s="3128"/>
      <c r="AH184" s="3128"/>
      <c r="AI184" s="3128"/>
      <c r="AJ184" s="3128"/>
      <c r="AK184" s="3128"/>
      <c r="AL184" s="3128"/>
      <c r="AM184" s="3128"/>
      <c r="AN184" s="3128"/>
      <c r="AO184" s="3128"/>
      <c r="AP184" s="3128"/>
      <c r="AQ184" s="3128"/>
      <c r="AR184" s="3128"/>
      <c r="AS184" s="3128"/>
      <c r="AT184" s="3128"/>
      <c r="AU184" s="3128"/>
      <c r="AV184" s="3128"/>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3121" t="s">
        <v>1977</v>
      </c>
      <c r="I186" s="3121"/>
      <c r="J186" s="3121"/>
      <c r="K186" s="3121"/>
      <c r="L186" s="1156"/>
      <c r="M186" s="1156"/>
      <c r="N186" s="1156"/>
      <c r="O186" s="1156"/>
      <c r="P186" s="1156"/>
      <c r="Q186" s="1156"/>
      <c r="R186" s="1156"/>
      <c r="S186" s="3122"/>
      <c r="T186" s="3123"/>
      <c r="U186" s="3123"/>
      <c r="V186" s="3123"/>
      <c r="W186" s="3123"/>
      <c r="X186" s="3123"/>
      <c r="Y186" s="3123"/>
      <c r="Z186" s="3123"/>
      <c r="AA186" s="3123"/>
      <c r="AB186" s="3123"/>
      <c r="AC186" s="3123"/>
      <c r="AD186" s="3123"/>
      <c r="AE186" s="3123"/>
      <c r="AF186" s="3123"/>
      <c r="AG186" s="3123"/>
      <c r="AH186" s="3123"/>
      <c r="AI186" s="3123"/>
      <c r="AJ186" s="3124"/>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3121" t="s">
        <v>1978</v>
      </c>
      <c r="I188" s="3121"/>
      <c r="J188" s="3121"/>
      <c r="K188" s="1177"/>
      <c r="L188" s="1156"/>
      <c r="M188" s="1156"/>
      <c r="N188" s="1156"/>
      <c r="O188" s="1156"/>
      <c r="P188" s="1156"/>
      <c r="Q188" s="1156"/>
      <c r="R188" s="1156"/>
      <c r="S188" s="3122"/>
      <c r="T188" s="3123"/>
      <c r="U188" s="3123"/>
      <c r="V188" s="3123"/>
      <c r="W188" s="3123"/>
      <c r="X188" s="3123"/>
      <c r="Y188" s="3123"/>
      <c r="Z188" s="3123"/>
      <c r="AA188" s="3123"/>
      <c r="AB188" s="3123"/>
      <c r="AC188" s="3123"/>
      <c r="AD188" s="3123"/>
      <c r="AE188" s="3123"/>
      <c r="AF188" s="3123"/>
      <c r="AG188" s="3123"/>
      <c r="AH188" s="3123"/>
      <c r="AI188" s="3123"/>
      <c r="AJ188" s="3124"/>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3121" t="s">
        <v>457</v>
      </c>
      <c r="I190" s="3121"/>
      <c r="J190" s="1177"/>
      <c r="K190" s="1177"/>
      <c r="L190" s="1156"/>
      <c r="M190" s="1156"/>
      <c r="N190" s="1156"/>
      <c r="O190" s="1156"/>
      <c r="P190" s="1156"/>
      <c r="Q190" s="1156"/>
      <c r="R190" s="1156"/>
      <c r="S190" s="3122"/>
      <c r="T190" s="3123"/>
      <c r="U190" s="3123"/>
      <c r="V190" s="3123"/>
      <c r="W190" s="3123"/>
      <c r="X190" s="3123"/>
      <c r="Y190" s="3123"/>
      <c r="Z190" s="3123"/>
      <c r="AA190" s="3123"/>
      <c r="AB190" s="3123"/>
      <c r="AC190" s="3123"/>
      <c r="AD190" s="3123"/>
      <c r="AE190" s="3123"/>
      <c r="AF190" s="3123"/>
      <c r="AG190" s="3123"/>
      <c r="AH190" s="3123"/>
      <c r="AI190" s="3123"/>
      <c r="AJ190" s="3124"/>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3125" t="s">
        <v>1979</v>
      </c>
      <c r="I192" s="3125"/>
      <c r="J192" s="3125"/>
      <c r="K192" s="3125"/>
      <c r="L192" s="3125"/>
      <c r="M192" s="3125"/>
      <c r="N192" s="3125"/>
      <c r="O192" s="3125"/>
      <c r="P192" s="1156"/>
      <c r="Q192" s="1156"/>
      <c r="R192" s="1156"/>
      <c r="S192" s="3122"/>
      <c r="T192" s="3123"/>
      <c r="U192" s="3123"/>
      <c r="V192" s="3123"/>
      <c r="W192" s="3123"/>
      <c r="X192" s="3123"/>
      <c r="Y192" s="3123"/>
      <c r="Z192" s="3123"/>
      <c r="AA192" s="3123"/>
      <c r="AB192" s="3123"/>
      <c r="AC192" s="3123"/>
      <c r="AD192" s="3123"/>
      <c r="AE192" s="3123"/>
      <c r="AF192" s="3123"/>
      <c r="AG192" s="3123"/>
      <c r="AH192" s="3123"/>
      <c r="AI192" s="3123"/>
      <c r="AJ192" s="3124"/>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3126" t="s">
        <v>1980</v>
      </c>
      <c r="I194" s="3126"/>
      <c r="J194" s="1156"/>
      <c r="K194" s="1156"/>
      <c r="L194" s="1156"/>
      <c r="M194" s="1156"/>
      <c r="N194" s="1156"/>
      <c r="O194" s="1156"/>
      <c r="P194" s="1156"/>
      <c r="Q194" s="1156"/>
      <c r="R194" s="1156"/>
      <c r="S194" s="3122"/>
      <c r="T194" s="3123"/>
      <c r="U194" s="3123"/>
      <c r="V194" s="3123"/>
      <c r="W194" s="3123"/>
      <c r="X194" s="3123"/>
      <c r="Y194" s="3123"/>
      <c r="Z194" s="3123"/>
      <c r="AA194" s="3123"/>
      <c r="AB194" s="3123"/>
      <c r="AC194" s="3123"/>
      <c r="AD194" s="3123"/>
      <c r="AE194" s="3123"/>
      <c r="AF194" s="3123"/>
      <c r="AG194" s="3123"/>
      <c r="AH194" s="3123"/>
      <c r="AI194" s="3123"/>
      <c r="AJ194" s="3124"/>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255</v>
      </c>
    </row>
  </sheetData>
  <sheetProtection algorithmName="SHA-512" hashValue="4T4+sQtg5svCGqBXgmigV6qeWz8lLXB6W3fdhkG/vl2CUx3mS5jcUpU7Y5Ag+gVUOoM/ouAG1dGINb/8/QMejw==" saltValue="JX57vaTUMXLs2isv6rSing=="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Riley Jones</cp:lastModifiedBy>
  <cp:lastPrinted>2022-07-25T22:03:19Z</cp:lastPrinted>
  <dcterms:created xsi:type="dcterms:W3CDTF">2007-12-27T18:26:28Z</dcterms:created>
  <dcterms:modified xsi:type="dcterms:W3CDTF">2022-08-08T23:57:23Z</dcterms:modified>
</cp:coreProperties>
</file>